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37.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er 1" sheetId="1" r:id="rId3"/>
    <sheet state="visible" name="Coder 2" sheetId="2" r:id="rId4"/>
    <sheet state="visible" name="Coder 3" sheetId="3" r:id="rId5"/>
    <sheet state="visible" name="Coder 4" sheetId="4" r:id="rId6"/>
    <sheet state="visible" name="Coder 5" sheetId="5" r:id="rId7"/>
    <sheet state="visible" name="Coder 6" sheetId="6" r:id="rId8"/>
    <sheet state="visible" name="Data Pengganti" sheetId="7" r:id="rId9"/>
  </sheets>
  <definedNames>
    <definedName hidden="1" localSheetId="5" name="_xlnm._FilterDatabase">'Coder 6'!$Z$1:$Z$1136</definedName>
    <definedName hidden="1" localSheetId="6" name="_xlnm._FilterDatabase">'Data Pengganti'!$A$9:$Q$255</definedName>
    <definedName hidden="1" localSheetId="0" name="Z_D0A54268_7389_43AB_A5BA_78B6DAB825D3_.wvu.FilterData">'Coder 1'!$Q$5:$Q$505</definedName>
    <definedName hidden="1" localSheetId="2" name="Z_D0A54268_7389_43AB_A5BA_78B6DAB825D3_.wvu.FilterData">'Coder 3'!$A$5:$A$500</definedName>
    <definedName hidden="1" localSheetId="4" name="Z_D0A54268_7389_43AB_A5BA_78B6DAB825D3_.wvu.FilterData">'Coder 5'!$A$6:$A$508</definedName>
    <definedName hidden="1" localSheetId="5" name="Z_D0A54268_7389_43AB_A5BA_78B6DAB825D3_.wvu.FilterData">'Coder 6'!$K$5:$K$510</definedName>
    <definedName hidden="1" localSheetId="0" name="Z_E3B16FF4_157A_41A8_880D_5DDB83361892_.wvu.FilterData">'Coder 1'!$Z$1:$Z$505</definedName>
    <definedName hidden="1" localSheetId="1" name="Z_E3B16FF4_157A_41A8_880D_5DDB83361892_.wvu.FilterData">'Coder 2'!$I$4:$I$506</definedName>
    <definedName hidden="1" localSheetId="2" name="Z_E3B16FF4_157A_41A8_880D_5DDB83361892_.wvu.FilterData">'Coder 3'!$Y$1:$Y$500</definedName>
    <definedName hidden="1" localSheetId="3" name="Z_E3B16FF4_157A_41A8_880D_5DDB83361892_.wvu.FilterData">'Coder 4'!$Y$12</definedName>
    <definedName hidden="1" localSheetId="4" name="Z_E3B16FF4_157A_41A8_880D_5DDB83361892_.wvu.FilterData">'Coder 5'!$Z$5:$Z$7</definedName>
    <definedName hidden="1" localSheetId="5" name="Z_E3B16FF4_157A_41A8_880D_5DDB83361892_.wvu.FilterData">'Coder 6'!$Z$1:$Z$1042</definedName>
    <definedName hidden="1" localSheetId="6" name="Z_E3B16FF4_157A_41A8_880D_5DDB83361892_.wvu.FilterData">'Data Pengganti'!$A$10:$A$314</definedName>
    <definedName hidden="1" localSheetId="0" name="Z_20CAB334_E8B9_4848_AC8F_2E0A8DBFE604_.wvu.FilterData">'Coder 1'!$K$5:$K$505</definedName>
    <definedName hidden="1" localSheetId="2" name="Z_20CAB334_E8B9_4848_AC8F_2E0A8DBFE604_.wvu.FilterData">'Coder 3'!$K$6:$K$500</definedName>
    <definedName hidden="1" localSheetId="3" name="Z_20CAB334_E8B9_4848_AC8F_2E0A8DBFE604_.wvu.FilterData">'Coder 4'!$S$5:$S$513</definedName>
    <definedName hidden="1" localSheetId="4" name="Z_20CAB334_E8B9_4848_AC8F_2E0A8DBFE604_.wvu.FilterData">'Coder 5'!$N$6:$N$508</definedName>
    <definedName hidden="1" localSheetId="5" name="Z_20CAB334_E8B9_4848_AC8F_2E0A8DBFE604_.wvu.FilterData">'Coder 6'!$N$5:$N$510</definedName>
    <definedName hidden="1" localSheetId="0" name="Z_95107451_AD48_4E36_95D5_D44A7511BFD9_.wvu.FilterData">'Coder 1'!$S$5:$S$505</definedName>
    <definedName hidden="1" localSheetId="2" name="Z_95107451_AD48_4E36_95D5_D44A7511BFD9_.wvu.FilterData">'Coder 3'!$S$6:$S$500</definedName>
    <definedName hidden="1" localSheetId="4" name="Z_95107451_AD48_4E36_95D5_D44A7511BFD9_.wvu.FilterData">'Coder 5'!$P$7:$P$508</definedName>
    <definedName hidden="1" localSheetId="5" name="Z_95107451_AD48_4E36_95D5_D44A7511BFD9_.wvu.FilterData">'Coder 6'!$O$5:$O$510</definedName>
    <definedName hidden="1" localSheetId="0" name="Z_E0B68C8C_9E59_4D09_A796_DABAD0F2C26F_.wvu.FilterData">'Coder 1'!$O$5:$O$505</definedName>
    <definedName hidden="1" localSheetId="2" name="Z_E0B68C8C_9E59_4D09_A796_DABAD0F2C26F_.wvu.FilterData">'Coder 3'!$O$5:$O$500</definedName>
    <definedName hidden="1" localSheetId="4" name="Z_E0B68C8C_9E59_4D09_A796_DABAD0F2C26F_.wvu.FilterData">'Coder 5'!$S$6:$S$508</definedName>
    <definedName hidden="1" localSheetId="5" name="Z_E0B68C8C_9E59_4D09_A796_DABAD0F2C26F_.wvu.FilterData">'Coder 6'!$M$5:$M$510</definedName>
    <definedName hidden="1" localSheetId="5" name="Z_E86185C4_4744_4607_8BAA_B6F1F3EDD783_.wvu.FilterData">'Coder 6'!$U$5:$U$511</definedName>
    <definedName hidden="1" localSheetId="0" name="Z_62CFFA2F_2CDE_4159_80E8_0067D9460027_.wvu.FilterData">'Coder 1'!$N$5:$N$505</definedName>
    <definedName hidden="1" localSheetId="1" name="Z_62CFFA2F_2CDE_4159_80E8_0067D9460027_.wvu.FilterData">'Coder 2'!$P$4:$P$506</definedName>
    <definedName hidden="1" localSheetId="2" name="Z_62CFFA2F_2CDE_4159_80E8_0067D9460027_.wvu.FilterData">'Coder 3'!$I$6:$I$500</definedName>
    <definedName hidden="1" localSheetId="3" name="Z_62CFFA2F_2CDE_4159_80E8_0067D9460027_.wvu.FilterData">'Coder 4'!$Z$1:$Z$1498</definedName>
    <definedName hidden="1" localSheetId="4" name="Z_62CFFA2F_2CDE_4159_80E8_0067D9460027_.wvu.FilterData">'Coder 5'!$Z$1:$Z$674</definedName>
    <definedName hidden="1" localSheetId="5" name="Z_62CFFA2F_2CDE_4159_80E8_0067D9460027_.wvu.FilterData">'Coder 6'!$I$5:$I$510</definedName>
    <definedName hidden="1" localSheetId="0" name="Z_17EFBF60_FA66_46DD_8C66_7DD74D543108_.wvu.FilterData">'Coder 1'!$O$5:$O$505</definedName>
    <definedName hidden="1" localSheetId="1" name="Z_17EFBF60_FA66_46DD_8C66_7DD74D543108_.wvu.FilterData">'Coder 2'!$S$4:$S$506</definedName>
    <definedName hidden="1" localSheetId="2" name="Z_17EFBF60_FA66_46DD_8C66_7DD74D543108_.wvu.FilterData">'Coder 3'!$A$6:$A$500</definedName>
    <definedName hidden="1" localSheetId="3" name="Z_17EFBF60_FA66_46DD_8C66_7DD74D543108_.wvu.FilterData">'Coder 4'!$K$5:$K$513</definedName>
    <definedName hidden="1" localSheetId="4" name="Z_17EFBF60_FA66_46DD_8C66_7DD74D543108_.wvu.FilterData">'Coder 5'!$I$7:$I$508</definedName>
    <definedName hidden="1" localSheetId="5" name="Z_17EFBF60_FA66_46DD_8C66_7DD74D543108_.wvu.FilterData">'Coder 6'!$A$5:$A$510</definedName>
    <definedName hidden="1" localSheetId="0" name="Z_B69A7256_2244_4A5A_98B8_5882F2FF8700_.wvu.FilterData">'Coder 1'!$M$5:$M$505</definedName>
    <definedName hidden="1" localSheetId="2" name="Z_B69A7256_2244_4A5A_98B8_5882F2FF8700_.wvu.FilterData">'Coder 3'!$M$5:$M$500</definedName>
    <definedName hidden="1" localSheetId="4" name="Z_B69A7256_2244_4A5A_98B8_5882F2FF8700_.wvu.FilterData">'Coder 5'!$K$6:$K$508</definedName>
    <definedName hidden="1" localSheetId="5" name="Z_B69A7256_2244_4A5A_98B8_5882F2FF8700_.wvu.FilterData">'Coder 6'!$L$5:$L$510</definedName>
    <definedName hidden="1" localSheetId="0" name="Z_0B48C2DC_E7D4_4DCC_ACB5_09BD4089ED05_.wvu.FilterData">'Coder 1'!$I$6:$I$505</definedName>
    <definedName hidden="1" localSheetId="1" name="Z_0B48C2DC_E7D4_4DCC_ACB5_09BD4089ED05_.wvu.FilterData">'Coder 2'!$N$4:$N$506</definedName>
    <definedName hidden="1" localSheetId="2" name="Z_0B48C2DC_E7D4_4DCC_ACB5_09BD4089ED05_.wvu.FilterData">'Coder 3'!$AA$4</definedName>
    <definedName hidden="1" localSheetId="3" name="Z_0B48C2DC_E7D4_4DCC_ACB5_09BD4089ED05_.wvu.FilterData">'Coder 4'!$Y$1:$Y$513</definedName>
    <definedName hidden="1" localSheetId="4" name="Z_0B48C2DC_E7D4_4DCC_ACB5_09BD4089ED05_.wvu.FilterData">'Coder 5'!$Z$1:$Z$674</definedName>
    <definedName hidden="1" localSheetId="5" name="Z_0B48C2DC_E7D4_4DCC_ACB5_09BD4089ED05_.wvu.FilterData">'Coder 6'!$I$5:$I$510</definedName>
    <definedName hidden="1" localSheetId="0" name="Z_7A661D72_FC41_4646_AEAF_00CD193B6D95_.wvu.FilterData">'Coder 1'!$P$6:$P$505</definedName>
    <definedName hidden="1" localSheetId="1" name="Z_7A661D72_FC41_4646_AEAF_00CD193B6D95_.wvu.FilterData">'Coder 2'!$A$4:$A$506</definedName>
    <definedName hidden="1" localSheetId="2" name="Z_7A661D72_FC41_4646_AEAF_00CD193B6D95_.wvu.FilterData">'Coder 3'!$N$6:$N$496</definedName>
    <definedName hidden="1" localSheetId="3" name="Z_7A661D72_FC41_4646_AEAF_00CD193B6D95_.wvu.FilterData">'Coder 4'!$P$5:$P$513</definedName>
    <definedName hidden="1" localSheetId="4" name="Z_7A661D72_FC41_4646_AEAF_00CD193B6D95_.wvu.FilterData">'Coder 5'!$I$7:$I$508</definedName>
    <definedName hidden="1" localSheetId="5" name="Z_7A661D72_FC41_4646_AEAF_00CD193B6D95_.wvu.FilterData">'Coder 6'!$N$5:$N$510</definedName>
    <definedName hidden="1" localSheetId="0" name="Z_C0FD2F62_3ADA_4E44_ABC2_10E955012945_.wvu.FilterData">'Coder 1'!$L$5:$L$505</definedName>
    <definedName hidden="1" localSheetId="2" name="Z_C0FD2F62_3ADA_4E44_ABC2_10E955012945_.wvu.FilterData">'Coder 3'!$L$5:$L$500</definedName>
    <definedName hidden="1" localSheetId="4" name="Z_C0FD2F62_3ADA_4E44_ABC2_10E955012945_.wvu.FilterData">'Coder 5'!$O$22:$O$508</definedName>
    <definedName hidden="1" localSheetId="5" name="Z_C0FD2F62_3ADA_4E44_ABC2_10E955012945_.wvu.FilterData">'Coder 6'!$S$5:$S$510</definedName>
    <definedName hidden="1" localSheetId="0" name="Z_66348944_9FC2_49D4_937A_1A6FEBFF4639_.wvu.FilterData">'Coder 1'!$A$6:$A$505</definedName>
    <definedName hidden="1" localSheetId="1" name="Z_66348944_9FC2_49D4_937A_1A6FEBFF4639_.wvu.FilterData">'Coder 2'!$K$4:$K$506</definedName>
    <definedName hidden="1" localSheetId="2" name="Z_66348944_9FC2_49D4_937A_1A6FEBFF4639_.wvu.FilterData">'Coder 3'!$P$6:$P$496</definedName>
    <definedName hidden="1" localSheetId="3" name="Z_66348944_9FC2_49D4_937A_1A6FEBFF4639_.wvu.FilterData">'Coder 4'!$A$5:$A$513</definedName>
    <definedName hidden="1" localSheetId="4" name="Z_66348944_9FC2_49D4_937A_1A6FEBFF4639_.wvu.FilterData">'Coder 5'!$I$7:$I$508</definedName>
    <definedName hidden="1" localSheetId="5" name="Z_66348944_9FC2_49D4_937A_1A6FEBFF4639_.wvu.FilterData">'Coder 6'!$P$5:$P$510</definedName>
    <definedName hidden="1" localSheetId="0" name="Z_73395ED9_AE98_48BE_901B_FBF6E91AA159_.wvu.FilterData">'Coder 1'!$U$5:$U$505</definedName>
    <definedName hidden="1" localSheetId="2" name="Z_73395ED9_AE98_48BE_901B_FBF6E91AA159_.wvu.FilterData">'Coder 3'!$U$5:$U$500</definedName>
    <definedName hidden="1" localSheetId="5" name="Z_73395ED9_AE98_48BE_901B_FBF6E91AA159_.wvu.FilterData">'Coder 6'!$O$5:$O$510</definedName>
  </definedNames>
  <calcPr/>
  <customWorkbookViews>
    <customWorkbookView activeSheetId="0" maximized="1" tabRatio="600" windowHeight="0" windowWidth="0" guid="{B69A7256-2244-4A5A-98B8-5882F2FF8700}" name="Filter 11"/>
    <customWorkbookView activeSheetId="0" maximized="1" tabRatio="600" windowHeight="0" windowWidth="0" guid="{E0B68C8C-9E59-4D09-A796-DABAD0F2C26F}" name="Filter 12"/>
    <customWorkbookView activeSheetId="0" maximized="1" tabRatio="600" windowHeight="0" windowWidth="0" guid="{73395ED9-AE98-48BE-901B-FBF6E91AA159}" name="Filter 13"/>
    <customWorkbookView activeSheetId="0" maximized="1" tabRatio="600" windowHeight="0" windowWidth="0" guid="{E86185C4-4744-4607-8BAA-B6F1F3EDD783}" name="Filter 14"/>
    <customWorkbookView activeSheetId="0" maximized="1" tabRatio="600" windowHeight="0" windowWidth="0" guid="{95107451-AD48-4E36-95D5-D44A7511BFD9}" name="Filter 8"/>
    <customWorkbookView activeSheetId="0" maximized="1" tabRatio="600" windowHeight="0" windowWidth="0" guid="{C0FD2F62-3ADA-4E44-ABC2-10E955012945}" name="Filter 10"/>
    <customWorkbookView activeSheetId="0" maximized="1" tabRatio="600" windowHeight="0" windowWidth="0" guid="{D0A54268-7389-43AB-A5BA-78B6DAB825D3}" name="Filter 9"/>
    <customWorkbookView activeSheetId="0" maximized="1" tabRatio="600" windowHeight="0" windowWidth="0" guid="{17EFBF60-FA66-46DD-8C66-7DD74D543108}" name="Filter 6"/>
    <customWorkbookView activeSheetId="0" maximized="1" tabRatio="600" windowHeight="0" windowWidth="0" guid="{20CAB334-E8B9-4848-AC8F-2E0A8DBFE604}" name="Filter 7"/>
    <customWorkbookView activeSheetId="0" maximized="1" tabRatio="600" windowHeight="0" windowWidth="0" guid="{7A661D72-FC41-4646-AEAF-00CD193B6D95}" name="Filter 4"/>
    <customWorkbookView activeSheetId="0" maximized="1" tabRatio="600" windowHeight="0" windowWidth="0" guid="{66348944-9FC2-49D4-937A-1A6FEBFF4639}" name="Filter 5"/>
    <customWorkbookView activeSheetId="0" maximized="1" tabRatio="600" windowHeight="0" windowWidth="0" guid="{0B48C2DC-E7D4-4DCC-ACB5-09BD4089ED05}" name="Filter 2"/>
    <customWorkbookView activeSheetId="0" maximized="1" tabRatio="600" windowHeight="0" windowWidth="0" guid="{62CFFA2F-2CDE-4159-80E8-0067D9460027}" name="Filter 3"/>
    <customWorkbookView activeSheetId="0" maximized="1" tabRatio="600" windowHeight="0" windowWidth="0" guid="{E3B16FF4-157A-41A8-880D-5DDB83361892}"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202">
      <text>
        <t xml:space="preserve">+bhenageerushtia@gmail.com warna ini artinya apa?
_Assigned to bhena geerushtia_
	-Roy Thaniago
wah iya nih, aku pernah pengin tanya sama diki soal warna ini. tapi lupa terus. besok aku tanya deh
	-bhena geerushtia
Roy, kata Diki, warna oranye ini dari dirimuuu waktu itu, entah kapan, diki ga ingat
	-bhena geerushtia</t>
      </text>
    </comment>
    <comment authorId="0" ref="Q430">
      <text>
        <t xml:space="preserve">Gw rasa narasumber ini masuk sebagai individu yang mewakili disabilitas (anaknya).
	-Arlandy
Menurut gw bukan disabilitas. Kalau wartawannya mau usaha dikit, mereka bisa wawancarai disabilitas di organisasi (meski gak harus autisme). Jadi ini bkn ya, Dik.
	-Roy Thaniago</t>
      </text>
    </comment>
    <comment authorId="0" ref="B414">
      <text>
        <t xml:space="preserve">Ini lebih cocok masuk cluster perempuan dalam kekerasan.
	-Arlandy</t>
      </text>
    </comment>
    <comment authorId="0" ref="B401">
      <text>
        <t xml:space="preserve">Tidak relevan.
	-Arlandy</t>
      </text>
    </comment>
    <comment authorId="0" ref="B399">
      <text>
        <t xml:space="preserve">Tidak relevan.
	-Arlandy</t>
      </text>
    </comment>
    <comment authorId="0" ref="B398">
      <text>
        <t xml:space="preserve">Tidak relevan.
	-Arlandy</t>
      </text>
    </comment>
    <comment authorId="0" ref="B397">
      <text>
        <t xml:space="preserve">Tidak relevan, tentang perang.
	-Arlandy</t>
      </text>
    </comment>
    <comment authorId="0" ref="B400">
      <text>
        <t xml:space="preserve">Tidak relevan.
	-Arlandy</t>
      </text>
    </comment>
    <comment authorId="0" ref="B396">
      <text>
        <t xml:space="preserve">Opini.
	-Arlandy</t>
      </text>
    </comment>
    <comment authorId="0" ref="A1">
      <text>
        <t xml:space="preserve">revisi dari data pengganti tapi berita merupakan kolom
	-Dealysa Puspa Dwita
----
invalid
	-Villarian
----
invalid
	-Villarian
----
nyeritain sejarah iran. masuknya kemana yak??
	-Pendekar Cinta</t>
      </text>
    </comment>
    <comment authorId="0" ref="P253">
      <text>
        <t xml:space="preserve">Catatan: judul menggunakan istilah non-inklusif.
	-Arlandy</t>
      </text>
    </comment>
    <comment authorId="0" ref="K218">
      <text>
        <t xml:space="preserve">Ini gw bingung sih mesti nulisnya "mantan penderita" apa gimana, tapi teksnya gitu.
	-Arlandy
ditulis "penderita gangguan mental" sebagai istilah non-inklusif
	-Roy Thaniago</t>
      </text>
    </comment>
    <comment authorId="0" ref="P205">
      <text>
        <t xml:space="preserve">"Diduga gangguan jiwa" gw rasa masuk ke opinionated.
	-Arlandy
tapi kita gak punya instrumen untuk menilai itu, dik. jadi abaikan saja, dan coding sesuai yg tersedia aja ya
	-Roy Thaniago</t>
      </text>
    </comment>
    <comment authorId="0" ref="P202">
      <text>
        <t xml:space="preserve">Gw rasa judulnya agak sensasional, sih.
	-Arlandy</t>
      </text>
    </comment>
    <comment authorId="0" ref="B130">
      <text>
        <t xml:space="preserve">Bullying, slutshaming (kekerasan verbal)
	-Faris Dzaki</t>
      </text>
    </comment>
    <comment authorId="0" ref="B124">
      <text>
        <t xml:space="preserve">kekerasan verbal slutshaming
	-Faris Dzaki</t>
      </text>
    </comment>
    <comment authorId="0" ref="N128">
      <text>
        <t xml:space="preserve">Alih-alih dipublikasikan, identitas pelaku malah disembunyikan.
	-Arlandy</t>
      </text>
    </comment>
    <comment authorId="0" ref="S387">
      <text>
        <t xml:space="preserve">Istilah "disorientasi seksual" ini kayaknya perlu dimasukkin.
	-Arlandy
Dimasukkan sebagai apa dan untuk apa?
	-Roy Thaniago
Karena menurut gw istilah ini jelas memberi kesan kalo bukan heteroseksual berarti seseorang mengalami disorientasi.
	-Arlandy</t>
      </text>
    </comment>
    <comment authorId="0" ref="B341">
      <text>
        <t xml:space="preserve">Sebenernya ini lebih ke kekerasan seksual (RUU PKS), tapi penting dimasukkin ke cluster ini karena beritanya terkait minoritas seksual juga.
	-Arlandy</t>
      </text>
    </comment>
    <comment authorId="0" ref="I332">
      <text>
        <t xml:space="preserve">Mengarah pada fearmongering kelompok gay
	-Arlandy</t>
      </text>
    </comment>
    <comment authorId="0" ref="B289">
      <text>
        <t xml:space="preserve">Ini satu artikel dua berita berbeda.
	-Arlandy
representasi disabilitas mental: skizofrenia
	-Faris Dzaki
Ini gw bingung. Betul ada 1 berita soal skizofrenia, tapi ada 1 berita lain di link yang sama ini.
	-Arlandy
artikel ini invalid, Dik.
	-Roy Thaniago</t>
      </text>
    </comment>
    <comment authorId="0" ref="P261">
      <text>
        <t xml:space="preserve">Judulnya agak sensasional.
	-Arlandy</t>
      </text>
    </comment>
    <comment authorId="0" ref="I248">
      <text>
        <t xml:space="preserve">Ini gw bingung sih konteksnya, antara konflik atau everyday life.
	-Arlandy</t>
      </text>
    </comment>
    <comment authorId="0" ref="B248">
      <text>
        <t xml:space="preserve">Bener-bener dah ini Tribun.
	-Arlandy</t>
      </text>
    </comment>
    <comment authorId="0" ref="B243">
      <text>
        <t xml:space="preserve">Sebenernya disabilitas bukan fokus utama, tapi gw rasa berita ini penting karena menyangkut juga tentang kebijakan terhadap disabilitas.
	-Arlandy</t>
      </text>
    </comment>
    <comment authorId="0" ref="B168">
      <text>
        <t xml:space="preserve">Berita tidak relevan
	-Arlandy</t>
      </text>
    </comment>
    <comment authorId="0" ref="B159">
      <text>
        <t xml:space="preserve">Berita tidak relevan
	-Arlandy</t>
      </text>
    </comment>
    <comment authorId="0" ref="B158">
      <text>
        <t xml:space="preserve">Berita tidak relevan
	-Arlandy</t>
      </text>
    </comment>
    <comment authorId="0" ref="B157">
      <text>
        <t xml:space="preserve">Berita tidak relevan
	-Arlandy</t>
      </text>
    </comment>
    <comment authorId="0" ref="B156">
      <text>
        <t xml:space="preserve">Berita tidak relevan
	-Arlandy</t>
      </text>
    </comment>
    <comment authorId="0" ref="B154">
      <text>
        <t xml:space="preserve">Berita tidak relevan
	-Arlandy</t>
      </text>
    </comment>
    <comment authorId="0" ref="B139">
      <text>
        <t xml:space="preserve">Berita tidak relevan
	-Arlandy</t>
      </text>
    </comment>
    <comment authorId="0" ref="B138">
      <text>
        <t xml:space="preserve">Berita tidak relevan
	-Arlandy</t>
      </text>
    </comment>
    <comment authorId="0" ref="B137">
      <text>
        <t xml:space="preserve">Berita tidak relevan
	-Arlandy</t>
      </text>
    </comment>
    <comment authorId="0" ref="B136">
      <text>
        <t xml:space="preserve">Berita tidak relevan
	-Arlandy</t>
      </text>
    </comment>
    <comment authorId="0" ref="B135">
      <text>
        <t xml:space="preserve">Berita tidak relevan
	-Arlandy</t>
      </text>
    </comment>
    <comment authorId="0" ref="B133">
      <text>
        <t xml:space="preserve">Berita tidak relevan
	-Arlandy</t>
      </text>
    </comment>
    <comment authorId="0" ref="B152">
      <text>
        <t xml:space="preserve">Berita tidak relevan
	-Arlandy</t>
      </text>
    </comment>
    <comment authorId="0" ref="B150">
      <text>
        <t xml:space="preserve">Berita tidak relevan
	-Arlandy</t>
      </text>
    </comment>
    <comment authorId="0" ref="B149">
      <text>
        <t xml:space="preserve">Berita tidak relevan
	-Arlandy</t>
      </text>
    </comment>
    <comment authorId="0" ref="B148">
      <text>
        <t xml:space="preserve">Berita tidak relevan
	-Arlandy</t>
      </text>
    </comment>
    <comment authorId="0" ref="B147">
      <text>
        <t xml:space="preserve">Berita tidak relevan
	-Arlandy</t>
      </text>
    </comment>
    <comment authorId="0" ref="B146">
      <text>
        <t xml:space="preserve">Berita tidak relevan
	-Arlandy</t>
      </text>
    </comment>
    <comment authorId="0" ref="B143">
      <text>
        <t xml:space="preserve">Berita tidak relevan
	-Arlandy</t>
      </text>
    </comment>
  </commentList>
</comments>
</file>

<file path=xl/comments2.xml><?xml version="1.0" encoding="utf-8"?>
<comments xmlns:r="http://schemas.openxmlformats.org/officeDocument/2006/relationships" xmlns="http://schemas.openxmlformats.org/spreadsheetml/2006/main">
  <authors>
    <author/>
  </authors>
  <commentList>
    <comment authorId="0" ref="F491">
      <text>
        <t xml:space="preserve">ini dari berita sebenernya masuk, cuma gue ga bisa akses soalnya disuruh verifikasi dan gabisa verif terus. gue skip dulu ya.
	-Pendekar Cinta
ku ganti aja kalo gitu ya!
	-bhena geerushtia
raf data penggantinya: tidak ada data pengganti. ini langsung kubirukan aja ya. kode ku ganti ke awal. karena hari ini aku ingin memastikan smuanya sudh beres soalnya. takutnya km blm bs pegang codesheet.
	-bhena geerushtia</t>
      </text>
    </comment>
    <comment authorId="0" ref="H446">
      <text>
        <t xml:space="preserve">kayanya panjang beritanya salah deh ini
	-Pendekar Cinta</t>
      </text>
    </comment>
  </commentList>
</comments>
</file>

<file path=xl/comments3.xml><?xml version="1.0" encoding="utf-8"?>
<comments xmlns:r="http://schemas.openxmlformats.org/officeDocument/2006/relationships" xmlns="http://schemas.openxmlformats.org/spreadsheetml/2006/main">
  <authors>
    <author/>
  </authors>
  <commentList>
    <comment authorId="0" ref="Q460">
      <text>
        <t xml:space="preserve">lembaga OPSI
	-bhena geerushtia</t>
      </text>
    </comment>
    <comment authorId="0" ref="I449">
      <text>
        <t xml:space="preserve">homophobia
	-bhena geerushtia</t>
      </text>
    </comment>
    <comment authorId="0" ref="I457">
      <text>
        <t xml:space="preserve">cek fakta soal gender dan pembentukan orientasi  seksual anak
	-bhena geerushtia</t>
      </text>
    </comment>
    <comment authorId="0" ref="I428">
      <text>
        <t xml:space="preserve">penciptaan alat deteksi skizofrenia
	-bhena geerushtia</t>
      </text>
    </comment>
    <comment authorId="0" ref="I482">
      <text>
        <t xml:space="preserve">mengenal gangguan ekshibisionisme
	-bhena geerushtia</t>
      </text>
    </comment>
    <comment authorId="0" ref="I436">
      <text>
        <t xml:space="preserve">bakti sosial bagi penderita katarak dari  Sidomuncul
	-bhena geerushtia</t>
      </text>
    </comment>
    <comment authorId="0" ref="I407">
      <text>
        <t xml:space="preserve">kenali gejala skizofrenia
	-bhena geerushtia</t>
      </text>
    </comment>
    <comment authorId="0" ref="C373">
      <text>
        <t xml:space="preserve">kolom
	-Dealysa Puspa Dwita</t>
      </text>
    </comment>
    <comment authorId="0" ref="B254">
      <text>
        <t xml:space="preserve">foto dena rachman menggunakan kebaya
	-Dealysa Puspa Dwita
kenapa memang? berita ini valid kok.
	-Roy Thaniago</t>
      </text>
    </comment>
    <comment authorId="0" ref="B348">
      <text>
        <t xml:space="preserve">Sudah dari data pengganti tapi berita merupakan surat pembaca
	-Dealysa Puspa Dwita
betul. Ini akan diganti datanya nanti. +bhenageerushtia@gmail.com
	-Roy Thaniago
p-11438-re kode data ini udh kuganti ya jd ga ada data pengganti
	-bhena geerushtia</t>
      </text>
    </comment>
    <comment authorId="0" ref="B145">
      <text>
        <t xml:space="preserve">sudah direvisi dari data pengganti namun berita merupakan kolom
	-Dealysa Puspa Dwita
betul. nanti akan diperbaiki lg data penggantinya ya
	-Roy Thaniago
Gw gak nemu data ini di sheet data pengganti. Bisa tolong tunjukkan, Dea?
	-Roy Thaniago
eh apakah ini yg kmrn sudah kuperbaiki? yg roy tandai pink? soalnya kode itu kucari di sheet data pengganti gak ada
	-bhena geerushtia
dea berarti kode penggantinya ini ya d-11613-te
	-bhena geerushtia</t>
      </text>
    </comment>
    <comment authorId="0" ref="C325">
      <text>
        <t xml:space="preserve">website tidak bisa dibuka, has disallowed character
	-Dealysa Puspa Dwita
oke kugantiii
	-bhena geerushtia</t>
      </text>
    </comment>
    <comment authorId="0" ref="C324">
      <text>
        <t xml:space="preserve">kolom opini
	-Dealysa Puspa Dwita</t>
      </text>
    </comment>
    <comment authorId="0" ref="C383">
      <text>
        <t xml:space="preserve">provokator rasisme papua
	-Dealysa Puspa Dwita</t>
      </text>
    </comment>
    <comment authorId="0" ref="C385">
      <text>
        <t xml:space="preserve">rasisme cagliari
	-Dealysa Puspa Dwita</t>
      </text>
    </comment>
    <comment authorId="0" ref="C363">
      <text>
        <t xml:space="preserve">komentar junot di instagram tentang hubungan di luar nikah
	-Dealysa Puspa Dwita</t>
      </text>
    </comment>
    <comment authorId="0" ref="C357">
      <text>
        <t xml:space="preserve">link redirect ke okezone muslim
	-Dealysa Puspa Dwita
ok
	-bhena geerushtia
Gpp, ini tetap masuk. Okezone Muslim kita perlakukan seperti rubrik saja.
	-Roy Thaniago
+roythaniago@gmail.com ini brrti masuk dan menjadi data hijau?
	-bhena geerushtia
iya
	-Roy Thaniago</t>
      </text>
    </comment>
    <comment authorId="0" ref="C356">
      <text>
        <t xml:space="preserve">Dinar Candy rebut pacar orang
	-Dealysa Puspa Dwita</t>
      </text>
    </comment>
    <comment authorId="0" ref="C352">
      <text>
        <t xml:space="preserve">buku roman atheis
	-Dealysa Puspa Dwita</t>
      </text>
    </comment>
    <comment authorId="0" ref="C345">
      <text>
        <t xml:space="preserve">pengajuan dakwaan terhadap julian assange
	-Dealysa Puspa Dwita</t>
      </text>
    </comment>
    <comment authorId="0" ref="C344">
      <text>
        <t xml:space="preserve">vanessa angel menangis saat mendengar azan
	-Dealysa Puspa Dwita</t>
      </text>
    </comment>
    <comment authorId="0" ref="C338">
      <text>
        <t xml:space="preserve">massa marah karena diberi sumbangan oleh indomaret
	-Dealysa Puspa Dwita</t>
      </text>
    </comment>
    <comment authorId="0" ref="C329">
      <text>
        <t xml:space="preserve">tips naik ojek online
	-Dealysa Puspa Dwita</t>
      </text>
    </comment>
    <comment authorId="0" ref="C321">
      <text>
        <t xml:space="preserve">rasisme sepakbola italia
	-Dealysa Puspa Dwita</t>
      </text>
    </comment>
    <comment authorId="0" ref="G6">
      <text>
        <t xml:space="preserve">Penamaan filenya salah, berlaku ke seluruhnya
	-Roy Thaniago</t>
      </text>
    </comment>
    <comment authorId="0" ref="S6">
      <text>
        <t xml:space="preserve">Ini gw hapus karena "kalangan/kelompok Ahamdiyah" bukan istilah yg bermasalah
	-Roy Thaniago</t>
      </text>
    </comment>
    <comment authorId="0" ref="C313">
      <text>
        <t xml:space="preserve">video tindakan yg termasuk pelecehan
	-Dealysa Puspa Dwita</t>
      </text>
    </comment>
    <comment authorId="0" ref="C308">
      <text>
        <t xml:space="preserve">Video
	-Dealysa Puspa Dwita</t>
      </text>
    </comment>
    <comment authorId="0" ref="C305">
      <text>
        <t xml:space="preserve">Della Perez sempat ingin menikah dengan diego
	-Dealysa Puspa Dwita</t>
      </text>
    </comment>
    <comment authorId="0" ref="C298">
      <text>
        <t xml:space="preserve">Lapas Ahmad Dhani penuh Napi Narkoba
	-Dealysa Puspa Dwita</t>
      </text>
    </comment>
    <comment authorId="0" ref="C294">
      <text>
        <t xml:space="preserve">aplikasi fintech
	-Dealysa Puspa Dwita</t>
      </text>
    </comment>
    <comment authorId="0" ref="C292">
      <text>
        <t xml:space="preserve">tabloid barokah
	-Dealysa Puspa Dwita</t>
      </text>
    </comment>
    <comment authorId="0" ref="C283">
      <text>
        <t xml:space="preserve">Denny siregar dan anak stm
	-Dealysa Puspa Dwita</t>
      </text>
    </comment>
    <comment authorId="0" ref="C281">
      <text>
        <t xml:space="preserve">Banser
	-Dealysa Puspa Dwita</t>
      </text>
    </comment>
    <comment authorId="0" ref="C279">
      <text>
        <t xml:space="preserve">Paus berencana angkat kardinal dari indonesia
	-Dealysa Puspa Dwita</t>
      </text>
    </comment>
    <comment authorId="0" ref="C278">
      <text>
        <t xml:space="preserve">Baju taylor swift
	-Dealysa Puspa Dwita</t>
      </text>
    </comment>
    <comment authorId="0" ref="C275">
      <text>
        <t xml:space="preserve">peran mathias muchus
	-Dealysa Puspa Dwita</t>
      </text>
    </comment>
    <comment authorId="0" ref="C330">
      <text>
        <t xml:space="preserve">artis korea terkena kasus narkoba
	-Dealysa Puspa Dwita</t>
      </text>
    </comment>
    <comment authorId="0" ref="C331">
      <text>
        <t xml:space="preserve">klaim prabowo presiden
	-Dealysa Puspa Dwita</t>
      </text>
    </comment>
    <comment authorId="0" ref="C343">
      <text>
        <t xml:space="preserve">paus beri penghargaan bagi jurnalis
	-Dealysa Puspa Dwita</t>
      </text>
    </comment>
    <comment authorId="0" ref="C348">
      <text>
        <t xml:space="preserve">neymar dilepas psg
	-Dealysa Puspa Dwita</t>
      </text>
    </comment>
    <comment authorId="0" ref="C353">
      <text>
        <t xml:space="preserve">kesibukan james wan
	-Dealysa Puspa Dwita</t>
      </text>
    </comment>
    <comment authorId="0" ref="C354">
      <text>
        <t xml:space="preserve">presiden la liga tidak ingin neymar pindah
	-Dealysa Puspa Dwita</t>
      </text>
    </comment>
    <comment authorId="0" ref="C358">
      <text>
        <t xml:space="preserve">wawancara neymar hilang
	-Dealysa Puspa Dwita</t>
      </text>
    </comment>
    <comment authorId="0" ref="C359">
      <text>
        <t xml:space="preserve">boxing
	-Dealysa Puspa Dwita</t>
      </text>
    </comment>
    <comment authorId="0" ref="C371">
      <text>
        <t xml:space="preserve">etos kerja dpr dinilai keropos
	-Dealysa Puspa Dwita</t>
      </text>
    </comment>
    <comment authorId="0" ref="C387">
      <text>
        <t xml:space="preserve">dosen ugm dukung gejayan memanggil
	-Dealysa Puspa Dwita</t>
      </text>
    </comment>
    <comment authorId="0" ref="C391">
      <text>
        <t xml:space="preserve">demo mujahid dan demo mahasiswa
	-Dealysa Puspa Dwita</t>
      </text>
    </comment>
    <comment authorId="0" ref="C273">
      <text>
        <t xml:space="preserve">rezky aditya-citra kirana
	-Dealysa Puspa Dwita</t>
      </text>
    </comment>
    <comment authorId="0" ref="C270">
      <text>
        <t xml:space="preserve">sinopsis drama korea
	-Dealysa Puspa Dwita</t>
      </text>
    </comment>
    <comment authorId="0" ref="C269">
      <text>
        <t xml:space="preserve">terapis spa
	-Dealysa Puspa Dwita</t>
      </text>
    </comment>
    <comment authorId="0" ref="C267">
      <text>
        <t xml:space="preserve">perjuangan bertemu westlife
	-Dealysa Puspa Dwita</t>
      </text>
    </comment>
    <comment authorId="0" ref="C266">
      <text>
        <t xml:space="preserve">bridesmaid laki-laki
	-Dealysa Puspa Dwita</t>
      </text>
    </comment>
    <comment authorId="0" ref="C263">
      <text>
        <t xml:space="preserve">halaman tidak tersedia
	-Dealysa Puspa Dwita</t>
      </text>
    </comment>
    <comment authorId="0" ref="C258">
      <text>
        <t xml:space="preserve">spiderman far from home
	-Dealysa Puspa Dwita</t>
      </text>
    </comment>
    <comment authorId="0" ref="C257">
      <text>
        <t xml:space="preserve">homo sapiens
	-Dealysa Puspa Dwita</t>
      </text>
    </comment>
    <comment authorId="0" ref="C256">
      <text>
        <t xml:space="preserve">fosil homo sapiens
	-Dealysa Puspa Dwita</t>
      </text>
    </comment>
    <comment authorId="0" ref="C255">
      <text>
        <t xml:space="preserve">klinik tompi
	-Dealysa Puspa Dwita</t>
      </text>
    </comment>
    <comment authorId="0" ref="C254">
      <text>
        <t xml:space="preserve">situs budaya
	-Dealysa Puspa Dwita</t>
      </text>
    </comment>
    <comment authorId="0" ref="C251">
      <text>
        <t xml:space="preserve">Perwira maju sbg KPK
	-Dealysa Puspa Dwita</t>
      </text>
    </comment>
    <comment authorId="0" ref="C247">
      <text>
        <t xml:space="preserve">PAN bergabung dengan pemerintah
	-Dealysa Puspa Dwita</t>
      </text>
    </comment>
    <comment authorId="0" ref="C243">
      <text>
        <t xml:space="preserve">universitas terbaik di dunia
	-Dealysa Puspa Dwita</t>
      </text>
    </comment>
    <comment authorId="0" ref="C238">
      <text>
        <t xml:space="preserve">trump ingatkan inggris hati-hati dengan huawei
	-Dealysa Puspa Dwita</t>
      </text>
    </comment>
    <comment authorId="0" ref="C237">
      <text>
        <t xml:space="preserve">game
	-Dealysa Puspa Dwita</t>
      </text>
    </comment>
    <comment authorId="0" ref="C310">
      <text>
        <t xml:space="preserve">kolom
	-Dealysa Puspa Dwita</t>
      </text>
    </comment>
    <comment authorId="0" ref="C236">
      <text>
        <t xml:space="preserve">harga bawang putih
	-Dealysa Puspa Dwita</t>
      </text>
    </comment>
    <comment authorId="0" ref="C235">
      <text>
        <t xml:space="preserve">kolom
	-Dealysa Puspa Dwita</t>
      </text>
    </comment>
    <comment authorId="0" ref="C234">
      <text>
        <t xml:space="preserve">Operasi vagina dengan kulit ikan
	-Dealysa Puspa Dwita</t>
      </text>
    </comment>
    <comment authorId="0" ref="C231">
      <text>
        <t xml:space="preserve">Valentino rossi
	-Dealysa Puspa Dwita</t>
      </text>
    </comment>
    <comment authorId="0" ref="C226">
      <text>
        <t xml:space="preserve">berita valentino rossi
	-Dealysa Puspa Dwita</t>
      </text>
    </comment>
    <comment authorId="0" ref="C225">
      <text>
        <t xml:space="preserve">hanya berupa infografis
	-Dealysa Puspa Dwita</t>
      </text>
    </comment>
    <comment authorId="0" ref="C224">
      <text>
        <t xml:space="preserve">pembakaran buku harry potter
	-Dealysa Puspa Dwita</t>
      </text>
    </comment>
    <comment authorId="0" ref="C212">
      <text>
        <t xml:space="preserve">hanya berisi foto-foto lucinta luna
	-Dealysa Puspa Dwita</t>
      </text>
    </comment>
    <comment authorId="0" ref="C207">
      <text>
        <t xml:space="preserve">Manusia dalang punahnya hewan raksasa
	-Dealysa Puspa Dwita</t>
      </text>
    </comment>
    <comment authorId="0" ref="C197">
      <text>
        <t xml:space="preserve">Perayaan Tu B-Av Yahudi
	-Dealysa Puspa Dwita</t>
      </text>
    </comment>
    <comment authorId="0" ref="C190">
      <text>
        <t xml:space="preserve">Pemimpin kuil setan
	-Dealysa Puspa Dwita</t>
      </text>
    </comment>
    <comment authorId="0" ref="C188">
      <text>
        <t xml:space="preserve">Penemuan tulang
	-Dealysa Puspa Dwita</t>
      </text>
    </comment>
    <comment authorId="0" ref="C185">
      <text>
        <t xml:space="preserve">Video
	-Dealysa Puspa Dwita</t>
      </text>
    </comment>
    <comment authorId="0" ref="C163">
      <text>
        <t xml:space="preserve">Penyakit-penyakit tulang
	-Dealysa Puspa Dwita</t>
      </text>
    </comment>
    <comment authorId="0" ref="C133">
      <text>
        <t xml:space="preserve">Berita tentang sutradara Angga Sasongko
	-Dealysa Puspa Dwita</t>
      </text>
    </comment>
    <comment authorId="0" ref="C204">
      <text>
        <t xml:space="preserve">destinasi wisata di etiopia
	-Dealysa Puspa Dwita</t>
      </text>
    </comment>
    <comment authorId="0" ref="C203">
      <text>
        <t xml:space="preserve">horoskop, zodiak stylish
	-Dealysa Puspa Dwita</t>
      </text>
    </comment>
    <comment authorId="0" ref="C201">
      <text>
        <t xml:space="preserve">valencia vs real betis di copa del rey
	-Dealysa Puspa Dwita</t>
      </text>
    </comment>
    <comment authorId="0" ref="C192">
      <text>
        <t xml:space="preserve">fans kpop habiskan jutaan demi membeli barang idola
	-Dealysa Puspa Dwita</t>
      </text>
    </comment>
    <comment authorId="0" ref="C187">
      <text>
        <t xml:space="preserve">Kali Bencong, nama kali
	-Dealysa Puspa Dwita</t>
      </text>
    </comment>
    <comment authorId="0" ref="C180">
      <text>
        <t xml:space="preserve">kolom
	-Dealysa Puspa Dwita</t>
      </text>
    </comment>
    <comment authorId="0" ref="C179">
      <text>
        <t xml:space="preserve">"Dengan Chinese Taipei pernah kami hadapi ketika di U-16, dan Timor Leste juga demikian. Artinya, lawan yang benar-benar kami buta kekuatannya adalah Korea Utara"
	-Dealysa Puspa Dwita</t>
      </text>
    </comment>
    <comment authorId="0" ref="C177">
      <text>
        <t xml:space="preserve">halaman tidak ditemukan
	-Dealysa Puspa Dwita</t>
      </text>
    </comment>
    <comment authorId="0" ref="C175">
      <text>
        <t xml:space="preserve">foto manipulasi
	-Dealysa Puspa Dwita</t>
      </text>
    </comment>
    <comment authorId="0" ref="C172">
      <text>
        <t xml:space="preserve">daftar film indonesia
	-Dealysa Puspa Dwita</t>
      </text>
    </comment>
    <comment authorId="0" ref="C171">
      <text>
        <t xml:space="preserve">tom holland tentang spiderman
	-Dealysa Puspa Dwita</t>
      </text>
    </comment>
    <comment authorId="0" ref="C169">
      <text>
        <t xml:space="preserve">kelakuan absurd saat orang gabut
	-Dealysa Puspa Dwita</t>
      </text>
    </comment>
    <comment authorId="0" ref="C168">
      <text>
        <t xml:space="preserve">si buta dari gua hantu
	-Dealysa Puspa Dwita</t>
      </text>
    </comment>
    <comment authorId="0" ref="C167">
      <text>
        <t xml:space="preserve">"jadi gila" judul lagu RAN
	-Dealysa Puspa Dwita</t>
      </text>
    </comment>
    <comment authorId="0" ref="C166">
      <text>
        <t xml:space="preserve">budget film gila-gilaan
	-Dealysa Puspa Dwita</t>
      </text>
    </comment>
    <comment authorId="0" ref="C165">
      <text>
        <t xml:space="preserve">kostum untuk 17-an
	-Dealysa Puspa Dwita</t>
      </text>
    </comment>
    <comment authorId="0" ref="C162">
      <text>
        <t xml:space="preserve">review drama korea
	-Dealysa Puspa Dwita</t>
      </text>
    </comment>
    <comment authorId="0" ref="C159">
      <text>
        <t xml:space="preserve">dakwaan terhadap kivlan zein dianggap cacat prosedur
	-Dealysa Puspa Dwita</t>
      </text>
    </comment>
    <comment authorId="0" ref="C157">
      <text>
        <t xml:space="preserve">orang Jerman dikenal gila mobil
	-Dealysa Puspa Dwita</t>
      </text>
    </comment>
    <comment authorId="0" ref="C151">
      <text>
        <t xml:space="preserve">api Asean School Games disimpan
	-Dealysa Puspa Dwita</t>
      </text>
    </comment>
    <comment authorId="0" ref="C148">
      <text>
        <t xml:space="preserve">bisnis Indonesia Tobacco
	-Dealysa Puspa Dwita</t>
      </text>
    </comment>
    <comment authorId="0" ref="C147">
      <text>
        <t xml:space="preserve">Lorenzo motogp
	-Dealysa Puspa Dwita</t>
      </text>
    </comment>
    <comment authorId="0" ref="C146">
      <text>
        <t xml:space="preserve">kolom
	-Dealysa Puspa Dwita</t>
      </text>
    </comment>
    <comment authorId="0" ref="C145">
      <text>
        <t xml:space="preserve">Anies disamakan dengan Ahok dalam kasus reklamasi
	-Dealysa Puspa Dwita</t>
      </text>
    </comment>
    <comment authorId="0" ref="C142">
      <text>
        <t xml:space="preserve">pinjaman bank dunia untuk sampah bandung
	-Dealysa Puspa Dwita</t>
      </text>
    </comment>
    <comment authorId="0" ref="C141">
      <text>
        <t xml:space="preserve">david beckham disebut gila karena cium anaknya
	-Dealysa Puspa Dwita</t>
      </text>
    </comment>
    <comment authorId="0" ref="C140">
      <text>
        <t xml:space="preserve">pendaftar bidikmisi di unair
	-Dealysa Puspa Dwita</t>
      </text>
    </comment>
    <comment authorId="0" ref="C136">
      <text>
        <t xml:space="preserve">harga tiket pesawat gila
	-Dealysa Puspa Dwita</t>
      </text>
    </comment>
    <comment authorId="0" ref="C135">
      <text>
        <t xml:space="preserve">"Ibu Rumah Tangga Gagal Diet Umumnya karena Kebiasaan Ini"
	-Dealysa Puspa Dwita</t>
      </text>
    </comment>
    <comment authorId="0" ref="C134">
      <text>
        <t xml:space="preserve">bagi-bagi thr 3.5 miliar
	-Dealysa Puspa Dwita</t>
      </text>
    </comment>
    <comment authorId="0" ref="C131">
      <text>
        <t xml:space="preserve">Lorenzo motogp diapresiasi sungguh gila
	-Dealysa Puspa Dwita</t>
      </text>
    </comment>
    <comment authorId="0" ref="C129">
      <text>
        <t xml:space="preserve">pilpres cacat hukum
	-Dealysa Puspa Dwita</t>
      </text>
    </comment>
    <comment authorId="0" ref="C128">
      <text>
        <t xml:space="preserve">Atalanta menjadi tim paling menarik di seri A
	-Dealysa Puspa Dwita</t>
      </text>
    </comment>
    <comment authorId="0" ref="C127">
      <text>
        <t xml:space="preserve">Jumlah pemilih di Padang
	-Dealysa Puspa Dwita</t>
      </text>
    </comment>
    <comment authorId="0" ref="C125">
      <text>
        <t xml:space="preserve">santunan KPU pada petugas KPPS yang meninggal atau cacat atau luka besar maupun ringan
	-Dealysa Puspa Dwita</t>
      </text>
    </comment>
    <comment authorId="0" ref="C116">
      <text>
        <t xml:space="preserve">buta transaksi digital
	-Dealysa Puspa Dwita</t>
      </text>
    </comment>
    <comment authorId="0" ref="C113">
      <text>
        <t xml:space="preserve">membabi buta
	-Dealysa Puspa Dwita</t>
      </text>
    </comment>
    <comment authorId="0" ref="C110">
      <text>
        <t xml:space="preserve">gila kekuasaan
	-Dealysa Puspa Dwita</t>
      </text>
    </comment>
    <comment authorId="0" ref="C109">
      <text>
        <t xml:space="preserve">putus karena game online
	-Dealysa Puspa Dwita</t>
      </text>
    </comment>
    <comment authorId="0" ref="C107">
      <text>
        <t xml:space="preserve">"saya bisa melakukan hal gila"
	-Dealysa Puspa Dwita</t>
      </text>
    </comment>
    <comment authorId="0" ref="C106">
      <text>
        <t xml:space="preserve">"Nyanyi bersama, mabuk bersama, gila bersama yang penting guyub, gak berdebat."
	-Dealysa Puspa Dwita</t>
      </text>
    </comment>
    <comment authorId="0" ref="C104">
      <text>
        <t xml:space="preserve">"hal ini mungkin terdengar gila"
	-Dealysa Puspa Dwita</t>
      </text>
    </comment>
    <comment authorId="0" ref="C102">
      <text>
        <t xml:space="preserve">Melakukan aksi gila
	-Dealysa Puspa Dwita</t>
      </text>
    </comment>
    <comment authorId="0" ref="C100">
      <text>
        <t xml:space="preserve">Wawancara Thomas Mueller, "gila" dalam konteks lucu dan jahil
	-Dealysa Puspa Dwita</t>
      </text>
    </comment>
    <comment authorId="0" ref="C99">
      <text>
        <t xml:space="preserve">Buta nada termasuk disabilitas atau tidak ya?
	-Dealysa Puspa Dwita</t>
      </text>
    </comment>
    <comment authorId="0" ref="C98">
      <text>
        <t xml:space="preserve">Cacat formil dakwaan hukum
	-Dealysa Puspa Dwita</t>
      </text>
    </comment>
    <comment authorId="0" ref="C95">
      <text>
        <t xml:space="preserve">"Liverpool membabi buta"
	-Dealysa Puspa Dwita</t>
      </text>
    </comment>
    <comment authorId="0" ref="C94">
      <text>
        <t xml:space="preserve">Slamet Maarif melakukan pelanggaran Pemilu, PA 212 bukan minoritas
	-Dealysa Puspa Dwita</t>
      </text>
    </comment>
    <comment authorId="0" ref="B55">
      <text>
        <t xml:space="preserve">tidak relevan: kata kunci "dukun" digunakan tanpa menyinggung aliran kepercayaan
	-Faris Dzaki</t>
      </text>
    </comment>
    <comment authorId="0" ref="F51">
      <text>
        <t xml:space="preserve">gue rasa kondisi Timteng rada beda ya, Syiah ga selalu bisa dikelompokkan sebagai marjinal di Timteng
	-Faris Dzaki</t>
      </text>
    </comment>
    <comment authorId="0" ref="B46">
      <text>
        <t xml:space="preserve">@RoyThaniago gue rasa ini bisa masuk. Berita ini memiliki beberapa paragraf sendiri yang menjelaskan Syiah sebagai identitas agama.
	-Faris Dzaki</t>
      </text>
    </comment>
    <comment authorId="0" ref="C88">
      <text>
        <t xml:space="preserve">tentang tips dan trik PUBG
	-Dealysa Puspa Dwita</t>
      </text>
    </comment>
    <comment authorId="0" ref="C87">
      <text>
        <t xml:space="preserve">industri hiburan ditopang teknologi digital
	-Dealysa Puspa Dwita
ada kata kunci "gila" dalam konotasi
	-Faris Dzaki</t>
      </text>
    </comment>
    <comment authorId="0" ref="C86">
      <text>
        <t xml:space="preserve">tentang pemilu
	-Dealysa Puspa Dwita
Ada representasi disabilitas sepanjang satu paragraf
	-Faris Dzaki</t>
      </text>
    </comment>
    <comment authorId="0" ref="C85">
      <text>
        <t xml:space="preserve">berita tidak bisa dibuka
	-Dealysa Puspa Dwita
bisa dibuka. Ada kata kunci "buta" dalam frasa "membabi buta"
	-Faris Dzaki</t>
      </text>
    </comment>
    <comment authorId="0" ref="C84">
      <text>
        <t xml:space="preserve">trivia tentang John Logie Baird
	-Dealysa Puspa Dwita</t>
      </text>
    </comment>
    <comment authorId="0" ref="C83">
      <text>
        <t xml:space="preserve">tentang debat capres dengan metafora sepakbola
	-Dealysa Puspa Dwita
kolom
	-Faris Dzaki</t>
      </text>
    </comment>
    <comment authorId="0" ref="C82">
      <text>
        <t xml:space="preserve">tidak relevan, ttg Sandiaga Uno melihat petani membuang cabai
	-Dealysa Puspa Dwita
ada kata kunci "difabel" dalam hyperlink
	-Faris Dzaki</t>
      </text>
    </comment>
    <comment authorId="0" ref="C78">
      <text>
        <t xml:space="preserve">tidak relevan, ttg pemilu, kampanye
	-Dealysa Puspa Dwita
Kata kunci: "membabi buta"
	-Faris Dzaki</t>
      </text>
    </comment>
    <comment authorId="0" ref="C77">
      <text>
        <t xml:space="preserve">tidak relevan, ttg pemilu, kampanye
	-Dealysa Puspa Dwita</t>
      </text>
    </comment>
    <comment authorId="0" ref="C73">
      <text>
        <t xml:space="preserve">Pria tewas di mobil
	-Dealysa Puspa Dwita
Kata kunci "Gila" di hyperlink
	-Faris Dzaki</t>
      </text>
    </comment>
    <comment authorId="0" ref="C72">
      <text>
        <t xml:space="preserve">Sejarah Al Quran
	-Dealysa Puspa Dwita</t>
      </text>
    </comment>
    <comment authorId="0" ref="C71">
      <text>
        <t xml:space="preserve">Unsyiah
	-Dealysa Puspa Dwita</t>
      </text>
    </comment>
    <comment authorId="0" ref="C70">
      <text>
        <t xml:space="preserve">Unsyiah
	-Dealysa Puspa Dwita</t>
      </text>
    </comment>
    <comment authorId="0" ref="C69">
      <text>
        <t xml:space="preserve">Unsyiah
	-Dealysa Puspa Dwita</t>
      </text>
    </comment>
    <comment authorId="0" ref="C68">
      <text>
        <t xml:space="preserve">Unsyiah
	-Dealysa Puspa Dwita</t>
      </text>
    </comment>
    <comment authorId="0" ref="C67">
      <text>
        <t xml:space="preserve">doa
	-Dealysa Puspa Dwita</t>
      </text>
    </comment>
    <comment authorId="0" ref="C66">
      <text>
        <t xml:space="preserve">Konflik Israel-Iran, hanya ada kata "milisi syiah"
	-Dealysa Puspa Dwita</t>
      </text>
    </comment>
    <comment authorId="0" ref="C65">
      <text>
        <t xml:space="preserve">Syiah kuala
	-Dealysa Puspa Dwita</t>
      </text>
    </comment>
    <comment authorId="0" ref="C63">
      <text>
        <t xml:space="preserve">Cerita tentang Sisingamangaraja XII
	-Dealysa Puspa Dwita</t>
      </text>
    </comment>
    <comment authorId="0" ref="C61">
      <text>
        <t xml:space="preserve">Unsyiah
	-Dealysa Puspa Dwita</t>
      </text>
    </comment>
    <comment authorId="0" ref="C60">
      <text>
        <t xml:space="preserve">kolom
	-Dealysa Puspa Dwita</t>
      </text>
    </comment>
    <comment authorId="0" ref="C55">
      <text>
        <t xml:space="preserve">kompetisi sihir
	-Dealysa Puspa Dwita</t>
      </text>
    </comment>
    <comment authorId="0" ref="C54">
      <text>
        <t xml:space="preserve">syiah kuala
	-Dealysa Puspa Dwita</t>
      </text>
    </comment>
    <comment authorId="0" ref="C53">
      <text>
        <t xml:space="preserve">konflik Iran-AS
	-Dealysa Puspa Dwita</t>
      </text>
    </comment>
    <comment authorId="0" ref="C52">
      <text>
        <t xml:space="preserve">trivia tentang masjid di jepang
	-Dealysa Puspa Dwita</t>
      </text>
    </comment>
    <comment authorId="0" ref="C51">
      <text>
        <t xml:space="preserve">tidak relevan
	-Dealysa Puspa Dwita</t>
      </text>
    </comment>
    <comment authorId="0" ref="C50">
      <text>
        <t xml:space="preserve">Syiah kuala
	-Dealysa Puspa Dwita</t>
      </text>
    </comment>
    <comment authorId="0" ref="C49">
      <text>
        <t xml:space="preserve">hanya membahas ttg Muhammad Mursi
	-Dealysa Puspa Dwita</t>
      </text>
    </comment>
    <comment authorId="0" ref="C48">
      <text>
        <t xml:space="preserve">Kolom
	-Dealysa Puspa Dwita</t>
      </text>
    </comment>
    <comment authorId="0" ref="C46">
      <text>
        <t xml:space="preserve">Perseteruan Iran dan AS
	-Dealysa Puspa Dwita</t>
      </text>
    </comment>
    <comment authorId="0" ref="C47">
      <text>
        <t xml:space="preserve">Hanya terdapat tulisan "ketegangan antara syiah iran dan AS"
	-Dealysa Puspa Dwita</t>
      </text>
    </comment>
    <comment authorId="0" ref="C44">
      <text>
        <t xml:space="preserve">Pembahasan mengenai Garda Revolusi Iran
	-Dealysa Puspa Dwita</t>
      </text>
    </comment>
    <comment authorId="0" ref="C43">
      <text>
        <t xml:space="preserve">Hanya menyebut Irak sesama syiah dengan Iran
	-Dealysa Puspa Dwita</t>
      </text>
    </comment>
    <comment authorId="0" ref="C42">
      <text>
        <t xml:space="preserve">Hanya menyebut orang-orang Sunni dan Syiah memiliki tradisi pergi ke Sufi yang diledakan
	-Dealysa Puspa Dwita</t>
      </text>
    </comment>
    <comment authorId="0" ref="C34">
      <text>
        <t xml:space="preserve">Tentang Garda Revolusi Iran
	-Dealysa Puspa Dwita</t>
      </text>
    </comment>
    <comment authorId="0" ref="C32">
      <text>
        <t xml:space="preserve">Cerita sejarah
	-Dealysa Puspa Dwita</t>
      </text>
    </comment>
    <comment authorId="0" ref="C30">
      <text>
        <t xml:space="preserve">Syiah Kuala
	-Dealysa Puspa Dwita</t>
      </text>
    </comment>
    <comment authorId="0" ref="C28">
      <text>
        <t xml:space="preserve">Kasus pendeta WNI hilang, Syiah hanya disebut sbg agama salah satu tokoh yang hilang juga
	-Dealysa Puspa Dwita</t>
      </text>
    </comment>
    <comment authorId="0" ref="C24">
      <text>
        <t xml:space="preserve">ttg penangkapan saddam husein, syiah hanya disebut dlm kalimat "perang sunni dan syiah terus berlanjut"
	-Dealysa Puspa Dwita</t>
      </text>
    </comment>
    <comment authorId="0" ref="C23">
      <text>
        <t xml:space="preserve">syiah kuala
	-Dealysa Puspa Dwita</t>
      </text>
    </comment>
    <comment authorId="0" ref="C22">
      <text>
        <t xml:space="preserve">Syiah kuala
	-Dealysa Puspa Dwita</t>
      </text>
    </comment>
    <comment authorId="0" ref="C19">
      <text>
        <t xml:space="preserve">Pembahasan hanya ttg Isis
	-Dealysa Puspa Dwita</t>
      </text>
    </comment>
    <comment authorId="0" ref="C15">
      <text>
        <t xml:space="preserve">syiah kuala
	-Dealysa Puspa Dwita</t>
      </text>
    </comment>
    <comment authorId="0" ref="C14">
      <text>
        <t xml:space="preserve">syiah kuala
	-Dealysa Puspa Dwita</t>
      </text>
    </comment>
    <comment authorId="0" ref="C12">
      <text>
        <t xml:space="preserve">pembahasan hanya ttg isis dan al qaeda
	-Dealysa Puspa Dwita</t>
      </text>
    </comment>
    <comment authorId="0" ref="C10">
      <text>
        <t xml:space="preserve">syiah kuala
	-Dealysa Puspa Dwita</t>
      </text>
    </comment>
    <comment authorId="0" ref="C9">
      <text>
        <t xml:space="preserve">syiah kuala
	-Dealysa Puspa Dwita</t>
      </text>
    </comment>
    <comment authorId="0" ref="C7">
      <text>
        <t xml:space="preserve">kolom
	-Dealysa Puspa Dwita</t>
      </text>
    </comment>
    <comment authorId="0" ref="C5">
      <text>
        <t xml:space="preserve">kolom
	-Dealysa Puspa Dwita</t>
      </text>
    </comment>
  </commentList>
</comments>
</file>

<file path=xl/comments4.xml><?xml version="1.0" encoding="utf-8"?>
<comments xmlns:r="http://schemas.openxmlformats.org/officeDocument/2006/relationships" xmlns="http://schemas.openxmlformats.org/spreadsheetml/2006/main">
  <authors>
    <author/>
  </authors>
  <commentList>
    <comment authorId="0" ref="J98">
      <text>
        <t xml:space="preserve">dua cluster marjiinal dibahas: perempuan dan disabilitas
	-Tia Hanifa</t>
      </text>
    </comment>
    <comment authorId="0" ref="B405">
      <text>
        <t xml:space="preserve">sudah dicek tidak ada data pengganti ya
	-bhena geerushtia</t>
      </text>
    </comment>
    <comment authorId="0" ref="B401">
      <text>
        <t xml:space="preserve">sudah di cek tidak ada data pengganti ya
	-bhena geerushtia</t>
      </text>
    </comment>
    <comment authorId="0" ref="B396">
      <text>
        <t xml:space="preserve">sudah dicek , tidak ada data pengganti ya
	-bhena geerushtia</t>
      </text>
    </comment>
    <comment authorId="0" ref="B335">
      <text>
        <t xml:space="preserve">dat apenggantinya ini ya p-8754-de
	-bhena geerushtia</t>
      </text>
    </comment>
    <comment authorId="0" ref="B209">
      <text>
        <t xml:space="preserve">ini dah adaya, data penggantinya tidak ada
	-bhena geerushtia</t>
      </text>
    </comment>
    <comment authorId="0" ref="B164">
      <text>
        <t xml:space="preserve">Tiaa ini kodenya hilaang, bisa dicek lagi ga?
	-bhena geerushtia
aku cr data penggantiny pake kode ini dulu ya "2"
	-bhena geerushtia
ok ka, ini ternyata d-16130-cn
	-Tia Hanifa</t>
      </text>
    </comment>
    <comment authorId="0" ref="I458">
      <text>
        <t xml:space="preserve">representasi pada film
	-Tia Hanifa</t>
      </text>
    </comment>
    <comment authorId="0" ref="J455">
      <text>
        <t xml:space="preserve">LGBT &amp; perempuan dlm kekerasan
	-Tia Hanifa</t>
      </text>
    </comment>
    <comment authorId="0" ref="J448">
      <text>
        <t xml:space="preserve">zodiak
	-Tia Hanifa</t>
      </text>
    </comment>
    <comment authorId="0" ref="J439">
      <text>
        <t xml:space="preserve">kursi roda tp bkn disabilitas
	-Tia Hanifa</t>
      </text>
    </comment>
    <comment authorId="0" ref="F434">
      <text>
        <t xml:space="preserve">halaman udh gabisa diakses
	-Tia Hanifa</t>
      </text>
    </comment>
    <comment authorId="0" ref="J408">
      <text>
        <t xml:space="preserve">univ syiah kuala
	-Tia Hanifa</t>
      </text>
    </comment>
    <comment authorId="0" ref="J407">
      <text>
        <t xml:space="preserve">agama minoritas, tapi kayak kristen gt yg ttp masuk ke 6 agama yg diakui indonesia, jd bingung
	-Tia Hanifa
Gpp, ini tetap berita yang valid, Tia.
	-Roy Thaniago</t>
      </text>
    </comment>
    <comment authorId="0" ref="I97">
      <text>
        <t xml:space="preserve">hasil penelitian
	-Tia Hanifa</t>
      </text>
    </comment>
    <comment authorId="0" ref="I384">
      <text>
        <t xml:space="preserve">sinopsis film
	-Tia Hanifa</t>
      </text>
    </comment>
    <comment authorId="0" ref="J377">
      <text>
        <t xml:space="preserve">anak
	-Tia Hanifa</t>
      </text>
    </comment>
    <comment authorId="0" ref="J375">
      <text>
        <t xml:space="preserve">anak
	-Tia Hanifa</t>
      </text>
    </comment>
    <comment authorId="0" ref="J372">
      <text>
        <t xml:space="preserve">lelaki yang dianiaya
	-Tia Hanifa</t>
      </text>
    </comment>
    <comment authorId="0" ref="J371">
      <text>
        <t xml:space="preserve">lelaki yang dianiaya
	-Tia Hanifa</t>
      </text>
    </comment>
    <comment authorId="0" ref="J347">
      <text>
        <t xml:space="preserve">perempuan dan LGBT (1, 3)
	-Tia Hanifa</t>
      </text>
    </comment>
    <comment authorId="0" ref="J345">
      <text>
        <t xml:space="preserve">perempuan &amp; orientasi seksual (1, 3)
	-Tia Hanifa</t>
      </text>
    </comment>
    <comment authorId="0" ref="I288">
      <text>
        <t xml:space="preserve">prostitusi
	-Tia Hanifa</t>
      </text>
    </comment>
    <comment authorId="0" ref="I287">
      <text>
        <t xml:space="preserve">prostitusi
	-Tia Hanifa</t>
      </text>
    </comment>
    <comment authorId="0" ref="I266">
      <text>
        <t xml:space="preserve">opini
	-Tia Hanifa</t>
      </text>
    </comment>
    <comment authorId="0" ref="I253">
      <text>
        <t xml:space="preserve">syarat
	-Tia Hanifa</t>
      </text>
    </comment>
    <comment authorId="0" ref="I243">
      <text>
        <t xml:space="preserve">ulasan film
	-Tia Hanifa</t>
      </text>
    </comment>
    <comment authorId="0" ref="J214">
      <text>
        <t xml:space="preserve">disabilitas, identitas gender
	-Tia Hanifa</t>
      </text>
    </comment>
    <comment authorId="0" ref="J212">
      <text>
        <t xml:space="preserve">perempuan, LGBT, disabilitas
	-Tia Hanifa</t>
      </text>
    </comment>
    <comment authorId="0" ref="J189">
      <text>
        <t xml:space="preserve">prostitusi
	-Tia Hanifa</t>
      </text>
    </comment>
    <comment authorId="0" ref="J163">
      <text>
        <t xml:space="preserve">gaada ttg disabilitas
	-Tia Hanifa</t>
      </text>
    </comment>
    <comment authorId="0" ref="J162">
      <text>
        <t xml:space="preserve">gaada ttg disabilitas
	-Tia Hanifa</t>
      </text>
    </comment>
    <comment authorId="0" ref="J159">
      <text>
        <t xml:space="preserve">yang "cacat" sapi
	-Tia Hanifa</t>
      </text>
    </comment>
    <comment authorId="0" ref="I156">
      <text>
        <t xml:space="preserve">review film
	-Tia Hanifa</t>
      </text>
    </comment>
    <comment authorId="0" ref="J153">
      <text>
        <t xml:space="preserve">yang disabled ikan...
	-Tia Hanifa</t>
      </text>
    </comment>
    <comment authorId="0" ref="I141">
      <text>
        <t xml:space="preserve">setnov bukan disabled
	-Tia Hanifa</t>
      </text>
    </comment>
    <comment authorId="0" ref="F81">
      <text>
        <t xml:space="preserve">berita tidak relevan
	-Gabrielle Alicia</t>
      </text>
    </comment>
    <comment authorId="0" ref="F80">
      <text>
        <t xml:space="preserve">awards
	-Gabrielle Alicia</t>
      </text>
    </comment>
    <comment authorId="0" ref="F79">
      <text>
        <t xml:space="preserve">unsyiah
	-Gabrielle Alicia</t>
      </text>
    </comment>
    <comment authorId="0" ref="F78">
      <text>
        <t xml:space="preserve">univ syiah kuala
	-Gabrielle Alicia</t>
      </text>
    </comment>
    <comment authorId="0" ref="F77">
      <text>
        <t xml:space="preserve">univ syiah kuala
	-Gabrielle Alicia</t>
      </text>
    </comment>
    <comment authorId="0" ref="F74">
      <text>
        <t xml:space="preserve">tentang pencegat rudak israel x AS
	-Gabrielle Alicia</t>
      </text>
    </comment>
    <comment authorId="0" ref="F73">
      <text>
        <t xml:space="preserve">nama orang syiah
	-Gabrielle Alicia</t>
      </text>
    </comment>
    <comment authorId="0" ref="F69">
      <text>
        <t xml:space="preserve">univ. syiah kuala
	-Gabrielle Alicia</t>
      </text>
    </comment>
    <comment authorId="0" ref="F64">
      <text>
        <t xml:space="preserve">royal wedding
	-Gabrielle Alicia</t>
      </text>
    </comment>
    <comment authorId="0" ref="F63">
      <text>
        <t xml:space="preserve">acara di stonehenge
	-Gabrielle Alicia</t>
      </text>
    </comment>
    <comment authorId="0" ref="F61">
      <text>
        <t xml:space="preserve">gencatan senjata
	-Gabrielle Alicia</t>
      </text>
    </comment>
    <comment authorId="0" ref="F60">
      <text>
        <t xml:space="preserve">univ. syiah kuala
	-Gabrielle Alicia</t>
      </text>
    </comment>
    <comment authorId="0" ref="F59">
      <text>
        <t xml:space="preserve">univ syiah kuala
	-Gabrielle Alicia</t>
      </text>
    </comment>
    <comment authorId="0" ref="F57">
      <text>
        <t xml:space="preserve">syiah kuala univ.
	-Gabrielle Alicia</t>
      </text>
    </comment>
    <comment authorId="0" ref="F56">
      <text>
        <t xml:space="preserve">berendam air panas
	-Gabrielle Alicia
wut lol
	-firmanimad</t>
      </text>
    </comment>
    <comment authorId="0" ref="F52">
      <text>
        <t xml:space="preserve">kanal "curhat" WNI di luar negeri
	-Gabrielle Alicia</t>
      </text>
    </comment>
    <comment authorId="0" ref="F51">
      <text>
        <t xml:space="preserve">gencatan senjara AS - timteng
	-Gabrielle Alicia</t>
      </text>
    </comment>
    <comment authorId="0" ref="F50">
      <text>
        <t xml:space="preserve">kanal opini; bahas pemilu
	-Gabrielle Alicia</t>
      </text>
    </comment>
    <comment authorId="0" ref="F49">
      <text>
        <t xml:space="preserve">tentang perusahaan minyak
	-Gabrielle Alicia</t>
      </text>
    </comment>
    <comment authorId="0" ref="F48">
      <text>
        <t xml:space="preserve">tentang jokowi prabowo
	-Gabrielle Alicia</t>
      </text>
    </comment>
    <comment authorId="0" ref="F47">
      <text>
        <t xml:space="preserve">jual beli senjata
	-Gabrielle Alicia</t>
      </text>
    </comment>
    <comment authorId="0" ref="F38">
      <text>
        <t xml:space="preserve">sikap US terhadap teroris
	-Gabrielle Alicia</t>
      </text>
    </comment>
    <comment authorId="0" ref="F37">
      <text>
        <t xml:space="preserve">sikap US terhadap terorisme
	-Gabrielle Alicia</t>
      </text>
    </comment>
    <comment authorId="0" ref="F36">
      <text>
        <t xml:space="preserve">sikap US thdp terorisme
	-Gabrielle Alicia</t>
      </text>
    </comment>
    <comment authorId="0" ref="F31">
      <text>
        <t xml:space="preserve">abu-abu, mostly irrelevant
	-Faris Dzaki</t>
      </text>
    </comment>
    <comment authorId="0" ref="F20">
      <text>
        <t xml:space="preserve">Relevan: memberi gambaraan syiah dalam konteks kelompok marjinal
	-Faris Dzaki</t>
      </text>
    </comment>
    <comment authorId="0" ref="F12">
      <text>
        <t xml:space="preserve">Syiah Kuala
	-Faris Dzaki</t>
      </text>
    </comment>
    <comment authorId="0" ref="I32">
      <text>
        <t xml:space="preserve">debat capres pemilu 2019
	-Gabrielle Alicia</t>
      </text>
    </comment>
    <comment authorId="0" ref="J29">
      <text>
        <t xml:space="preserve">muslim di new zealand
	-Gabrielle Alicia</t>
      </text>
    </comment>
    <comment authorId="0" ref="J28">
      <text>
        <t xml:space="preserve">muslim di new zealand
	-Gabrielle Alicia</t>
      </text>
    </comment>
    <comment authorId="0" ref="J26">
      <text>
        <t xml:space="preserve">muslim di canada
	-Gabrielle Alicia</t>
      </text>
    </comment>
    <comment authorId="0" ref="J27">
      <text>
        <t xml:space="preserve">muslim di new zealand
	-Gabrielle Alicia</t>
      </text>
    </comment>
    <comment authorId="0" ref="J10">
      <text>
        <t xml:space="preserve">(agama marjinal, perempuan, lgbt)
	-Gabrielle Alicia</t>
      </text>
    </comment>
  </commentList>
</comments>
</file>

<file path=xl/comments5.xml><?xml version="1.0" encoding="utf-8"?>
<comments xmlns:r="http://schemas.openxmlformats.org/officeDocument/2006/relationships" xmlns="http://schemas.openxmlformats.org/spreadsheetml/2006/main">
  <authors>
    <author/>
  </authors>
  <commentList>
    <comment authorId="0" ref="B477">
      <text>
        <t xml:space="preserve">berita tidak valid, ternyata pemerintahan negara-negara minta akses membongkar privasi pengguna Fb
	-Afkar Aristo</t>
      </text>
    </comment>
    <comment authorId="0" ref="F506">
      <text>
        <t xml:space="preserve">data pengganti masih berisi kompilasi berita
	-Afkar Aristo</t>
      </text>
    </comment>
    <comment authorId="0" ref="B436">
      <text>
        <t xml:space="preserve">berita tidak valid, dokumen kamp uyghur bocor
	-Afkar Aristo</t>
      </text>
    </comment>
    <comment authorId="0" ref="B416">
      <text>
        <t xml:space="preserve">tidak ada indikasi gangguan kejiwaan
	-Afkar Aristo
tuna rungu menjadi aktor penikaman
	-bhena geerushtia</t>
      </text>
    </comment>
    <comment authorId="0" ref="B415">
      <text>
        <t xml:space="preserve">sinopsis film
	-Afkar Aristo</t>
      </text>
    </comment>
    <comment authorId="0" ref="B404">
      <text>
        <t xml:space="preserve">serangan militer ke pangkalan AS
	-Afkar Aristo</t>
      </text>
    </comment>
    <comment authorId="0" ref="B399">
      <text>
        <t xml:space="preserve">demo besar di Irak
	-Afkar Aristo</t>
      </text>
    </comment>
    <comment authorId="0" ref="B508">
      <text>
        <t xml:space="preserve">berita tidak relevan untuk persiapan tahun baru
	-Afkar Aristo</t>
      </text>
    </comment>
    <comment authorId="0" ref="B506">
      <text>
        <t xml:space="preserve">kompilasi berita
	-Afkar Aristo</t>
      </text>
    </comment>
    <comment authorId="0" ref="B505">
      <text>
        <t xml:space="preserve">rentetan represi negara dalam protes politik
	-Afkar Aristo</t>
      </text>
    </comment>
    <comment authorId="0" ref="B504">
      <text>
        <t xml:space="preserve">berita tidak relevan mengenai misa,
	-Afkar Aristo</t>
      </text>
    </comment>
    <comment authorId="0" ref="B499">
      <text>
        <t xml:space="preserve">baku tembak tni di papua
	-Afkar Aristo</t>
      </text>
    </comment>
    <comment authorId="0" ref="B496">
      <text>
        <t xml:space="preserve">kompensasi untuk bisa nyoblos
	-Afkar Aristo</t>
      </text>
    </comment>
    <comment authorId="0" ref="B495">
      <text>
        <t xml:space="preserve">bahas kamp konsentrasi uighur
	-Afkar Aristo</t>
      </text>
    </comment>
    <comment authorId="0" ref="B494">
      <text>
        <t xml:space="preserve">hanya kompilasi berita
	-Afkar Aristo</t>
      </text>
    </comment>
    <comment authorId="0" ref="B490">
      <text>
        <t xml:space="preserve">berita tidak relevan, mengenai deradikalisasi
	-Afkar Aristo</t>
      </text>
    </comment>
    <comment authorId="0" ref="B489">
      <text>
        <t xml:space="preserve">penganiayaan terhadap kakek-kakek
	-Afkar Aristo</t>
      </text>
    </comment>
    <comment authorId="0" ref="B484">
      <text>
        <t xml:space="preserve">penembakan, korbannya tidak hanya perempuan tapi pria
	-Afkar Aristo</t>
      </text>
    </comment>
    <comment authorId="0" ref="B480">
      <text>
        <t xml:space="preserve">berita tidak relevan mengenai naas-naas di persepakbolaan selama premiere league
	-Afkar Aristo</t>
      </text>
    </comment>
    <comment authorId="0" ref="B478">
      <text>
        <t xml:space="preserve">berita tidak relevan, gak jelas banget ngeberitain apa seputar selebritis
	-Afkar Aristo</t>
      </text>
    </comment>
    <comment authorId="0" ref="B471">
      <text>
        <t xml:space="preserve">artis yang mengingatkan untuk ga semabrangan nge-endorse
	-Afkar Aristo</t>
      </text>
    </comment>
    <comment authorId="0" ref="B470">
      <text>
        <t xml:space="preserve">berita tidak relevan, pemusnahan barang impor ilegal
	-Afkar Aristo</t>
      </text>
    </comment>
    <comment authorId="0" ref="B468">
      <text>
        <t xml:space="preserve">berita tentang mike lewis tertarik dengan salah satu film star wars yg akan rilis
	-Afkar Aristo</t>
      </text>
    </comment>
    <comment authorId="0" ref="B461">
      <text>
        <t xml:space="preserve">gay di sini nama orang, Dion Gay
	-Afkar Aristo</t>
      </text>
    </comment>
    <comment authorId="0" ref="B451">
      <text>
        <t xml:space="preserve">hanya dikira gay, dan berita lebih fokus mengenai kriteria jodoh Robby Purba
	-Afkar Aristo</t>
      </text>
    </comment>
    <comment authorId="0" ref="B452">
      <text>
        <t xml:space="preserve">es bencong
	-Afkar Aristo</t>
      </text>
    </comment>
    <comment authorId="0" ref="B449">
      <text>
        <t xml:space="preserve">gila belanja
	-Afkar Aristo</t>
      </text>
    </comment>
    <comment authorId="0" ref="B448">
      <text>
        <t xml:space="preserve">beirta tidak relevan karena menyangkut novel baswedan yang sampe buta
	-Afkar Aristo</t>
      </text>
    </comment>
    <comment authorId="0" ref="B447">
      <text>
        <t xml:space="preserve">berita Deddy Corbuzier ketemu Uya Kuya di LA
	-Afkar Aristo</t>
      </text>
    </comment>
    <comment authorId="0" ref="B401">
      <text>
        <t xml:space="preserve">syiah universitas
	-Afkar Aristo</t>
      </text>
    </comment>
    <comment authorId="0" ref="B444">
      <text>
        <t xml:space="preserve">berita  tidak relevan mengenai Yuni Shara yang betah sendiri
	-Afkar Aristo</t>
      </text>
    </comment>
    <comment authorId="0" ref="B443">
      <text>
        <t xml:space="preserve">berita sangat tidak relevan mengenai sunat massal
	-Afkar Aristo</t>
      </text>
    </comment>
    <comment authorId="0" ref="B442">
      <text>
        <t xml:space="preserve">berita tidak relevan, nikita willy liburan
	-Afkar Aristo</t>
      </text>
    </comment>
    <comment authorId="0" ref="B439">
      <text>
        <t xml:space="preserve">berita tidak relevan, gangguan kesehatan dari anjing
	-Afkar Aristo</t>
      </text>
    </comment>
    <comment authorId="0" ref="B438">
      <text>
        <t xml:space="preserve">berita tidak relevan tentang seorang ustadz ke hongkong.
	-Afkar Aristo</t>
      </text>
    </comment>
    <comment authorId="0" ref="B437">
      <text>
        <t xml:space="preserve">berita tidak relevan, gila di sini adalah gila kekuasaan
	-Afkar Aristo</t>
      </text>
    </comment>
    <comment authorId="0" ref="B435">
      <text>
        <t xml:space="preserve">berita tidak relevan, mengenai standing applause buat Novia Indonesian Idol
	-Afkar Aristo</t>
      </text>
    </comment>
    <comment authorId="0" ref="B433">
      <text>
        <t xml:space="preserve">berita tidak relevan, mengenai website buat cpns ga bisa dibuka
	-Afkar Aristo</t>
      </text>
    </comment>
    <comment authorId="0" ref="B431">
      <text>
        <t xml:space="preserve">berita tidak relevan sama sekali
	-Afkar Aristo</t>
      </text>
    </comment>
    <comment authorId="0" ref="B432">
      <text>
        <t xml:space="preserve">berita tidak relevan, gangguan pencernaan karena bahan makanan mengandung sampah
	-Afkar Aristo</t>
      </text>
    </comment>
    <comment authorId="0" ref="B430">
      <text>
        <t xml:space="preserve">berita tidak relevan, tidak ada hubungannya sama sekali dengan konteks marjinalitas
	-Afkar Aristo</t>
      </text>
    </comment>
    <comment authorId="0" ref="B426">
      <text>
        <t xml:space="preserve">berita tidak relevan, pramugara yang melayani penumpang lansia
	-Afkar Aristo</t>
      </text>
    </comment>
    <comment authorId="0" ref="B419">
      <text>
        <t xml:space="preserve">berita tidak relevan, mengenai jurnalis indonesia yang ditembak polisi Hongkong
	-Afkar Aristo</t>
      </text>
    </comment>
    <comment authorId="0" ref="B412">
      <text>
        <t xml:space="preserve">Aceh kampus
	-Afkar Aristo</t>
      </text>
    </comment>
    <comment authorId="0" ref="B405">
      <text>
        <t xml:space="preserve">opini
	-Afkar Aristo</t>
      </text>
    </comment>
    <comment authorId="0" ref="B418">
      <text>
        <t xml:space="preserve">berita tidak relevan orangtua dijual
	-Afkar Aristo</t>
      </text>
    </comment>
    <comment authorId="0" ref="B406">
      <text>
        <t xml:space="preserve">link tidak bisa dibuka
	-Afkar Aristo</t>
      </text>
    </comment>
    <comment authorId="0" ref="B403">
      <text>
        <t xml:space="preserve">berita tidak relevan, anaknya ma'ruf amin ngurusin kacang sangrai buat pilkada
	-Afkar Aristo</t>
      </text>
    </comment>
    <comment authorId="0" ref="B400">
      <text>
        <t xml:space="preserve">berita sangat tidak relevan, mengenai cek fakta hoaks dan tidak ada indikasi sesuai dengan isu marjinalitas kita
	-Afkar Aristo</t>
      </text>
    </comment>
    <comment authorId="0" ref="B402">
      <text>
        <t xml:space="preserve">syiah nama kampus
	-Afkar Aristo</t>
      </text>
    </comment>
    <comment authorId="0" ref="B336">
      <text>
        <t xml:space="preserve">tidak relevan, membahas kegiatan simic di penjara dan persiapan kembali ke lapangan, berfokus pada kegiatan olahraga
	-Afkar Aristo</t>
      </text>
    </comment>
    <comment authorId="0" ref="B334">
      <text>
        <t xml:space="preserve">ringkasan film 27 steps of may
	-Afkar Aristo</t>
      </text>
    </comment>
    <comment authorId="0" ref="B329">
      <text>
        <t xml:space="preserve">berita tidak relevan mengenai persiapan Bali United menghadapi Persija
	-Afkar Aristo</t>
      </text>
    </comment>
    <comment authorId="0" ref="B363">
      <text>
        <t xml:space="preserve">berita tidak relevan, mengenai vanessa angel liburan
	-Afkar Aristo</t>
      </text>
    </comment>
    <comment authorId="0" ref="B368">
      <text>
        <t xml:space="preserve">berita mengenai pelecehan martabat polisi texas
	-Afkar Aristo</t>
      </text>
    </comment>
    <comment authorId="0" ref="B316">
      <text>
        <t xml:space="preserve">berita tidak relevan, hanya menginformasikan vanessa angel pindah rutan
	-Afkar Aristo</t>
      </text>
    </comment>
    <comment authorId="0" ref="B383">
      <text>
        <t xml:space="preserve">pengamanan senjata saat kerusuhan Jayapura
	-Afkar Aristo</t>
      </text>
    </comment>
    <comment authorId="0" ref="B387">
      <text>
        <t xml:space="preserve">berita tidak relevan mengenai labrak-labrakan nikita mirzani dan elza syarief
	-Afkar Aristo</t>
      </text>
    </comment>
    <comment authorId="0" ref="B388">
      <text>
        <t xml:space="preserve">berita tidak relevan, psg larang fan ejek neymar
	-Afkar Aristo</t>
      </text>
    </comment>
    <comment authorId="0" ref="B390">
      <text>
        <t xml:space="preserve">berita tidak relevan soal labrak-labrakan
	-Afkar Aristo</t>
      </text>
    </comment>
    <comment authorId="0" ref="B378">
      <text>
        <t xml:space="preserve">berita tidak relevan mengenai revitalisasi kota lama semarang
	-Afkar Aristo</t>
      </text>
    </comment>
    <comment authorId="0" ref="B375">
      <text>
        <t xml:space="preserve">berita tidak relevan mengenai pelantikan dprd di hotel berbintang 5
	-Afkar Aristo</t>
      </text>
    </comment>
    <comment authorId="0" ref="B374">
      <text>
        <t xml:space="preserve">berita tidak relevan mengenai penahanan konsulat Inggris oleh China
	-Afkar Aristo</t>
      </text>
    </comment>
    <comment authorId="0" ref="B373">
      <text>
        <t xml:space="preserve">berita mengenai kericuhan di papua
	-Afkar Aristo</t>
      </text>
    </comment>
    <comment authorId="0" ref="B372">
      <text>
        <t xml:space="preserve">berita mengenai pelecehan bendera
	-Afkar Aristo</t>
      </text>
    </comment>
    <comment authorId="0" ref="B371">
      <text>
        <t xml:space="preserve">berita Wiranto perintahkan pengusutan kericuhan di manokwari
	-Afkar Aristo</t>
      </text>
    </comment>
    <comment authorId="0" ref="B370">
      <text>
        <t xml:space="preserve">berita tidak relevan mengenai serangan teroris di masjid Norwegia
	-Afkar Aristo</t>
      </text>
    </comment>
    <comment authorId="0" ref="B365">
      <text>
        <t xml:space="preserve">berita tidak relevan mengenai pelemparan telur kepada PM australia yang membuat kebijakan soal pulau manus
	-Afkar Aristo</t>
      </text>
    </comment>
    <comment authorId="0" ref="B364">
      <text>
        <t xml:space="preserve">berita kekerasan kepada anak
	-Afkar Aristo</t>
      </text>
    </comment>
    <comment authorId="0" ref="B359">
      <text>
        <t xml:space="preserve">berita mengenai penggusuran di tanah abang
	-Afkar Aristo</t>
      </text>
    </comment>
    <comment authorId="0" ref="B351">
      <text>
        <t xml:space="preserve">berita tidak relevan mengenai fashion roy kiyoshi
	-Afkar Aristo</t>
      </text>
    </comment>
    <comment authorId="0" ref="B346">
      <text>
        <t xml:space="preserve">berita tidak relevan, mengenai politik untuk kesejahteraan masyarakat miskin
	-Afkar Aristo</t>
      </text>
    </comment>
    <comment authorId="0" ref="B345">
      <text>
        <t xml:space="preserve">berita tidak relevan karena menyangkut kasus korupsi mantan presiden Sudan
	-Afkar Aristo</t>
      </text>
    </comment>
    <comment authorId="0" ref="B342">
      <text>
        <t xml:space="preserve">berita tidak relevan mengenai pengacara mucikari yang berkunjung ke penjara
	-Afkar Aristo</t>
      </text>
    </comment>
    <comment authorId="0" ref="B339">
      <text>
        <t xml:space="preserve">berita tidak relevan, berisi pendaftaran anggota komnas perempuan
	-Afkar Aristo</t>
      </text>
    </comment>
    <comment authorId="0" ref="B338">
      <text>
        <t xml:space="preserve">berita tidak relevan, berisi penolakan hakim dari KY
	-Afkar Aristo</t>
      </text>
    </comment>
    <comment authorId="0" ref="B381">
      <text>
        <t xml:space="preserve">video
	-Afkar Aristo</t>
      </text>
    </comment>
    <comment authorId="0" ref="B391">
      <text>
        <t xml:space="preserve">berita tentang akan dilakukan pengadilan militer untuk tentara genosida rohingya
	-Afkar Aristo</t>
      </text>
    </comment>
    <comment authorId="0" ref="B393">
      <text>
        <t xml:space="preserve">berita tentang sejarah, seorang bangsawan yang dicemburui orang lain
	-Afkar Aristo</t>
      </text>
    </comment>
    <comment authorId="0" ref="B394">
      <text>
        <t xml:space="preserve">berita tidak relevan soal artis saat demo reformasi dikourpsi
	-Afkar Aristo</t>
      </text>
    </comment>
    <comment authorId="0" ref="B395">
      <text>
        <t xml:space="preserve">opini
	-Afkar Aristo</t>
      </text>
    </comment>
    <comment authorId="0" ref="B396">
      <text>
        <t xml:space="preserve">tidak relevan, youtuber korea utara di korea selatan membagi cerita kehidupan di korea utara
	-Afkar Aristo</t>
      </text>
    </comment>
    <comment authorId="0" ref="B397">
      <text>
        <t xml:space="preserve">perbedaan demo 212 dengan reformasi dikorupsi
	-Afkar Aristo</t>
      </text>
    </comment>
    <comment authorId="0" ref="B323">
      <text>
        <t xml:space="preserve">berita tidak relevan mengenai penangkapan 'hate speech' buat salah satu paslon presiden
	-Afkar Aristo</t>
      </text>
    </comment>
    <comment authorId="0" ref="B321">
      <text>
        <t xml:space="preserve">berita tidak valid mengenai perempuan dan laki-laki yang sering menikah, tidak ada indikasi pelecehan seksual dan kekerasan terhadap perempuan atau gender lainnya
	-Afkar Aristo</t>
      </text>
    </comment>
    <comment authorId="0" ref="B315">
      <text>
        <t xml:space="preserve">hanya berita konflik politik israel palestina soal yerusalem
	-Afkar Aristo</t>
      </text>
    </comment>
    <comment authorId="0" ref="B312">
      <text>
        <t xml:space="preserve">berita tidak relevan, mengenai pertarungan jokowi prabowo
	-Afkar Aristo</t>
      </text>
    </comment>
    <comment authorId="0" ref="B309">
      <text>
        <t xml:space="preserve">berita tidak relevan mengenai pembajakan pesawat di Bangladesh
	-Afkar Aristo</t>
      </text>
    </comment>
    <comment authorId="0" ref="F256">
      <text>
        <t xml:space="preserve">udah ya kar, udh di update
	-bhena geerushtia</t>
      </text>
    </comment>
    <comment authorId="0" ref="B303">
      <text>
        <t xml:space="preserve">berita tidak valid, tidak ada unsur cluster marjinalitas manapun
	-Afkar Aristo</t>
      </text>
    </comment>
    <comment authorId="0" ref="B302">
      <text>
        <t xml:space="preserve">berita tidak valid mengenai bisnis prostitusi online di LINE
	-Afkar Aristo</t>
      </text>
    </comment>
    <comment authorId="0" ref="B301">
      <text>
        <t xml:space="preserve">berita ini bisa jadi tidak valid, karena hanya berfokus mengenai kelanjutan produksi film guardiang of the galaxy tapi sutradaranya dipecat mengenai tweet soal pemerkosaan di waktu yang lalu. Terlalu sedikit menyinggung kasusnya.
	-Afkar Aristo</t>
      </text>
    </comment>
    <comment authorId="0" ref="B300">
      <text>
        <t xml:space="preserve">berita tidak valid, mengenai tuduhan PNS terlibat prostitusi online
	-Afkar Aristo</t>
      </text>
    </comment>
    <comment authorId="0" ref="B298">
      <text>
        <t xml:space="preserve">berita tidak valid, mengenai respon ayah VA
	-Afkar Aristo</t>
      </text>
    </comment>
    <comment authorId="0" ref="B297">
      <text>
        <t xml:space="preserve">berita tidak relevan, mengenai foto dan video bugil va, berita ini tidak fokus mengenai foto dan videonya hanya menyebutkan sebagai barang bukti dan tidak mendetail
	-Afkar Aristo
berita ini relevan, karena ada representasi PSK sbg perempuan dalam kekerasan
	-Roy Thaniago</t>
      </text>
    </comment>
    <comment authorId="0" ref="B296">
      <text>
        <t xml:space="preserve">berita mengenai asumsi asumsi mengenai keluarnya sutradara bohemian rhapsody
	-Afkar Aristo</t>
      </text>
    </comment>
    <comment authorId="0" ref="B295">
      <text>
        <t xml:space="preserve">berita tidak valid, mengenai artis lain yang terjerat prostitusi
	-Afkar Aristo</t>
      </text>
    </comment>
    <comment authorId="0" ref="B294">
      <text>
        <t xml:space="preserve">berita tidak valid, Anwar Fuady meminta hukum seberat-beratnya kepada Vanessa Angel
	-Afkar Aristo</t>
      </text>
    </comment>
    <comment authorId="0" ref="B293">
      <text>
        <t xml:space="preserve">berita tidak valid, mengenai mucikari VA yang merasa dijebak
	-Afkar Aristo</t>
      </text>
    </comment>
    <comment authorId="0" ref="B291">
      <text>
        <t xml:space="preserve">berita tidak relevan, walaupun terindikasi soal LGBT, tapi tidak ada tanda" bahwa ini ada label LGBT dan penyebutan sebagai LGBT. Berita hanya kegiatan Saipul Jami vidcall sama orang lain.
	-Afkar Aristo</t>
      </text>
    </comment>
    <comment authorId="0" ref="B290">
      <text>
        <t xml:space="preserve">berita mengenai pengacara Vanessa Angel
	-Afkar Aristo</t>
      </text>
    </comment>
    <comment authorId="0" ref="B289">
      <text>
        <t xml:space="preserve">berita tidak relevan, mengenai 80 juta bisa apa
	-Afkar Aristo</t>
      </text>
    </comment>
    <comment authorId="0" ref="B288">
      <text>
        <t xml:space="preserve">berita tidak relevan mengenai pelanggan psk artis
	-Afkar Aristo</t>
      </text>
    </comment>
    <comment authorId="0" ref="B287">
      <text>
        <t xml:space="preserve">berita tidak relevan, mengungkap mucikari vanessa angel
	-Afkar Aristo</t>
      </text>
    </comment>
    <comment authorId="0" ref="B286">
      <text>
        <t xml:space="preserve">berita tidak relevan, tentang pacar vanessa angel.
	-Afkar Aristo</t>
      </text>
    </comment>
    <comment authorId="0" ref="B285">
      <text>
        <t xml:space="preserve">berita tidak relevan mengenai pembebasan Vanessa Angel
	-Afkar Aristo</t>
      </text>
    </comment>
    <comment authorId="0" ref="B280">
      <text>
        <t xml:space="preserve">berita hilang
	-Afkar Aristo</t>
      </text>
    </comment>
    <comment authorId="0" ref="B279">
      <text>
        <t xml:space="preserve">berita tidak relevan, mengenai demo tolak g7 di perancis
	-Afkar Aristo</t>
      </text>
    </comment>
    <comment authorId="0" ref="B277">
      <text>
        <t xml:space="preserve">homo sapiens
	-Afkar Aristo</t>
      </text>
    </comment>
    <comment authorId="0" ref="B276">
      <text>
        <t xml:space="preserve">berita tidak relevan, anaknya trump naksir cincinnya hotman
	-Afkar Aristo</t>
      </text>
    </comment>
    <comment authorId="0" ref="B273">
      <text>
        <t xml:space="preserve">isinya video
	-Afkar Aristo</t>
      </text>
    </comment>
    <comment authorId="0" ref="B272">
      <text>
        <t xml:space="preserve">berita tidak relevan, membahas toko sex toys yang sekarang buka terang-terangan di Kuba
	-Afkar Aristo</t>
      </text>
    </comment>
    <comment authorId="0" ref="B270">
      <text>
        <t xml:space="preserve">berita tidak relevan, mengenai konser K-Pop sebagai pergerakan politik anak muda di Arab Saudi
	-Afkar Aristo</t>
      </text>
    </comment>
    <comment authorId="0" ref="B265">
      <text>
        <t xml:space="preserve">berita tidak relevan, flashback pembunuh berantai 2008
	-Afkar Aristo
relevan karena ryan sbg aktor aktif yg diberitakan sbg pembunuh yang homoseksual , meskipun flashback
	-bhena geerushtia</t>
      </text>
    </comment>
    <comment authorId="0" ref="B263">
      <text>
        <t xml:space="preserve">berita tidak relevan, suami hilang
	-Afkar Aristo</t>
      </text>
    </comment>
    <comment authorId="0" ref="B262">
      <text>
        <t xml:space="preserve">berita tidak relevan, membahas pergabungan edm dan dangdut
	-Afkar Aristo</t>
      </text>
    </comment>
    <comment authorId="0" ref="B261">
      <text>
        <t xml:space="preserve">berita tidak relevan, homo manusia purba
	-Afkar Aristo</t>
      </text>
    </comment>
    <comment authorId="0" ref="B260">
      <text>
        <t xml:space="preserve">berita tidak relevan, masalah LHKPN
	-Afkar Aristo</t>
      </text>
    </comment>
    <comment authorId="0" ref="B256">
      <text>
        <t xml:space="preserve">berita tidak relevan, pembatasan hak akses. LGBT hanya sampingan
	-Afkar Aristo</t>
      </text>
    </comment>
    <comment authorId="0" ref="B255">
      <text>
        <t xml:space="preserve">berita tidak relevan soal jodoh yang sudah meninggal 10 tahun yang lalu
	-Afkar Aristo</t>
      </text>
    </comment>
    <comment authorId="0" ref="B254">
      <text>
        <t xml:space="preserve">berita tidak relevan, tentang deddy cobuzier sudah sunat atau belum (pertanyaan jurnalisnya lucu, sumpah)
	-Afkar Aristo</t>
      </text>
    </comment>
    <comment authorId="0" ref="B253">
      <text>
        <t xml:space="preserve">berita tidak relevan,  tentang luna maya yang introvert untuk infotainment
	-Afkar Aristo</t>
      </text>
    </comment>
    <comment authorId="0" ref="B250">
      <text>
        <t xml:space="preserve">berita tidak relevan, mengenai Islamophobia di Norwegia
	-Afkar Aristo</t>
      </text>
    </comment>
    <comment authorId="0" ref="B248">
      <text>
        <t xml:space="preserve">berita tidak relevan, mengenai tuntutan 6 tahun penjara untuk bahar bin smith
	-Afkar Aristo</t>
      </text>
    </comment>
    <comment authorId="0" ref="B242">
      <text>
        <t xml:space="preserve">berita tidak relevan, mengenai genosida pribumi kanada
	-Afkar Aristo</t>
      </text>
    </comment>
    <comment authorId="0" ref="B244">
      <text>
        <t xml:space="preserve">berita tidak relevan, isinya mengenai berita kematian Ani Yudhoyono
	-Afkar Aristo</t>
      </text>
    </comment>
    <comment authorId="0" ref="B239">
      <text>
        <t xml:space="preserve">berita tidak valid, pembahasan Parasite film Korea di Canne Film Festival
	-Afkar Aristo</t>
      </text>
    </comment>
    <comment authorId="0" ref="B234">
      <text>
        <t xml:space="preserve">berita tidak relevan, membahass orang-orang aceh yang tidak mau lagi memilih jokowi karena black campaign
	-Afkar Aristo</t>
      </text>
    </comment>
    <comment authorId="0" ref="B233">
      <text>
        <t xml:space="preserve">berita tidak relevan, mengensi parasite film korea yang berjaya di festival canne
	-Afkar Aristo</t>
      </text>
    </comment>
    <comment authorId="0" ref="B232">
      <text>
        <t xml:space="preserve">berita tidak relevan, mengenai capres-capres kalah di seluruh dunia yang legawa
	-Afkar Aristo</t>
      </text>
    </comment>
    <comment authorId="0" ref="B229">
      <text>
        <t xml:space="preserve">berita tidak relevan, membahas Ariana Grande yang mengenang kejadian pengeboman di Manchester 2017 di sosmed
	-Afkar Aristo</t>
      </text>
    </comment>
    <comment authorId="0" ref="B225">
      <text>
        <t xml:space="preserve">berita tidak relevan, banci jenis bawang
	-Afkar Aristo</t>
      </text>
    </comment>
    <comment authorId="0" ref="B221">
      <text>
        <t xml:space="preserve">berita tidak relevan, homo manusia purba
	-Afkar Aristo</t>
      </text>
    </comment>
    <comment authorId="0" ref="B220">
      <text>
        <t xml:space="preserve">berita tidak relevan, banci untuk jenis bawang
	-Afkar Aristo</t>
      </text>
    </comment>
    <comment authorId="0" ref="B219">
      <text>
        <t xml:space="preserve">keperjakaan dan keperawanan heteroseksual di jepang. lgbt tidak dianggap dalam penelitian ini karena fokus penelitian ini hanya pada heteroseksual
	-Afkar Aristo</t>
      </text>
    </comment>
    <comment authorId="0" ref="B218">
      <text>
        <t xml:space="preserve">berita tidak relevan karena isinya black campaign pada prabowo secara ras
	-Afkar Aristo</t>
      </text>
    </comment>
    <comment authorId="0" ref="B217">
      <text>
        <t xml:space="preserve">berita tidak relevan, tentang seorang bapak yang bingung untuk mendapatkan uang menguburkan mayat anaknya
	-Afkar Aristo</t>
      </text>
    </comment>
    <comment authorId="0" ref="B211">
      <text>
        <t xml:space="preserve">berita tidak relevan, membahas hukuman mati. LGBT hanya dibahas secara kecil untuk perencanaan RKUHP.
	-Afkar Aristo</t>
      </text>
    </comment>
    <comment authorId="0" ref="B202">
      <text>
        <t xml:space="preserve">berita tidak relevan, berita soal Maruf Amin cipika cipiki dengan istrinya
	-Afkar Aristo</t>
      </text>
    </comment>
    <comment authorId="0" ref="B201">
      <text>
        <t xml:space="preserve">berita tidak relevan, mengenai penanggulangan HIV aids di Sumedang dan Jatinangor dari para PSK
	-Afkar Aristo</t>
      </text>
    </comment>
    <comment authorId="0" ref="B198">
      <text>
        <t xml:space="preserve">berita tidak relevan, mengenai usulan amandemen DPR di Mesir
	-Afkar Aristo</t>
      </text>
    </comment>
    <comment authorId="0" ref="B193">
      <text>
        <t xml:space="preserve">berita tidak relevan, homo manusia purba
	-Afkar Aristo</t>
      </text>
    </comment>
    <comment authorId="0" ref="B189">
      <text>
        <t xml:space="preserve">berita tidak relevan, kritik terhadap trump sebagai ancaman buat amerika
	-Afkar Aristo</t>
      </text>
    </comment>
    <comment authorId="0" ref="B187">
      <text>
        <t xml:space="preserve">berita tidak relevan, mengenai 3 film indonesia yang ikut festival di tokyo
	-Afkar Aristo</t>
      </text>
    </comment>
    <comment authorId="0" ref="B183">
      <text>
        <t xml:space="preserve">berita tidak relevan, isinya mengenai motor Indonesia dijual mahal di Vietnam
	-Afkar Aristo</t>
      </text>
    </comment>
    <comment authorId="0" ref="B182">
      <text>
        <t xml:space="preserve">berita tidak relevan, berita menyangkut investasi WNI di Jepang
	-Afkar Aristo</t>
      </text>
    </comment>
    <comment authorId="0" ref="B181">
      <text>
        <t xml:space="preserve">berita tidak relevan, mengenai perawatan muka ala jepang
	-Afkar Aristo</t>
      </text>
    </comment>
    <comment authorId="0" ref="B180">
      <text>
        <t xml:space="preserve">berita tidak relevan, mengenai makanan yang dituding menyebabkan kecelakaan hingga buta
	-Afkar Aristo</t>
      </text>
    </comment>
    <comment authorId="0" ref="B179">
      <text>
        <t xml:space="preserve">berita tidak relevan, mengenai persiapan produksi film
	-Afkar Aristo</t>
      </text>
    </comment>
    <comment authorId="0" ref="B178">
      <text>
        <t xml:space="preserve">berita tidak relevan, mengenai tiga desa yang jadi tempat tembak-tembakan
	-Afkar Aristo</t>
      </text>
    </comment>
    <comment authorId="0" ref="B176">
      <text>
        <t xml:space="preserve">berita tidak relevan, tentang budaya dan wayang
	-Afkar Aristo</t>
      </text>
    </comment>
    <comment authorId="0" ref="B175">
      <text>
        <t xml:space="preserve">berita tidak relevan, review film joker yang akan rilis
	-Afkar Aristo</t>
      </text>
    </comment>
    <comment authorId="0" ref="B174">
      <text>
        <t xml:space="preserve">berita tidak relevan, tentang struktur DPP partai
	-Afkar Aristo</t>
      </text>
    </comment>
    <comment authorId="0" ref="B173">
      <text>
        <t xml:space="preserve">berita tidak relevan, mengenai kemenangan motoGP
	-Afkar Aristo</t>
      </text>
    </comment>
    <comment authorId="0" ref="B172">
      <text>
        <t xml:space="preserve">berita tidak relevan, satpam serpong yang digigit ular
	-Afkar Aristo</t>
      </text>
    </comment>
    <comment authorId="0" ref="B170">
      <text>
        <t xml:space="preserve">berita tidak relevan, tindak pidana memalsukan identitas
	-Afkar Aristo</t>
      </text>
    </comment>
    <comment authorId="0" ref="B7">
      <text>
        <t xml:space="preserve">berita tidak valid, di luar negeri
	-Afkar Aristo</t>
      </text>
    </comment>
    <comment authorId="0" ref="B166">
      <text>
        <t xml:space="preserve">beirta tidak relevan mengenai sikap politik pdip
	-Afkar Aristo</t>
      </text>
    </comment>
    <comment authorId="0" ref="B164">
      <text>
        <t xml:space="preserve">berita tidak relevan mengenai tidak bolehnya istri kh zubair berkunjung ke makam suaminya
	-Afkar Aristo</t>
      </text>
    </comment>
    <comment authorId="0" ref="B162">
      <text>
        <t xml:space="preserve">berita tidak relevan, mengenai ekonomi. kata unsur disabilitas ditemukan (cacat), dalam 'buta huruf'
	-Afkar Aristo</t>
      </text>
    </comment>
    <comment authorId="0" ref="B161">
      <text>
        <t xml:space="preserve">berita tidak relevan, mengenai ajakan KOI dan Lazada kepada warga untuk dukungan olimpiade 2020
	-Afkar Aristo</t>
      </text>
    </comment>
    <comment authorId="0" ref="B159">
      <text>
        <t xml:space="preserve">berita tidak relevan mengenai rencana perilisan batwoman
	-Afkar Aristo</t>
      </text>
    </comment>
    <comment authorId="0" ref="B153">
      <text>
        <t xml:space="preserve">berita tidak relevan mengenai kunjungan mensos ke tempat para lansia
	-Afkar Aristo</t>
      </text>
    </comment>
    <comment authorId="0" ref="B152">
      <text>
        <t xml:space="preserve">berita tentang orang kena stroke karena kebanyakan main game
	-Afkar Aristo</t>
      </text>
    </comment>
    <comment authorId="0" ref="B151">
      <text>
        <t xml:space="preserve">berita tentang pengokohan tim sepak bola
	-Afkar Aristo</t>
      </text>
    </comment>
    <comment authorId="0" ref="B148">
      <text>
        <t xml:space="preserve">berita tidak relevan, mengenai Yesus yang dikomikan
	-Afkar Aristo</t>
      </text>
    </comment>
    <comment authorId="0" ref="B147">
      <text>
        <t xml:space="preserve">berita tidak relevan, berit mengenai uji emisi yang dipertanyakan efektivitasnya dalam mengurangi polusi di Jakarta
	-Afkar Aristo</t>
      </text>
    </comment>
    <comment authorId="0" ref="B146">
      <text>
        <t xml:space="preserve">berita tidak relevan, ketua kpsn diisukan jadi menteri
	-Afkar Aristo</t>
      </text>
    </comment>
    <comment authorId="0" ref="B145">
      <text>
        <t xml:space="preserve">berita tidak relevan, mengenai tes akademik serentak di 5 lokasi
	-Afkar Aristo</t>
      </text>
    </comment>
    <comment authorId="0" ref="B144">
      <text>
        <t xml:space="preserve">berita tidak relevan, seruan foto jokowi ganti jadi anies
	-Afkar Aristo</t>
      </text>
    </comment>
    <comment authorId="0" ref="B143">
      <text>
        <t xml:space="preserve">produk mobil yang cacat
	-Afkar Aristo</t>
      </text>
    </comment>
    <comment authorId="0" ref="B142">
      <text>
        <t xml:space="preserve">berita tiak relevan mengenai festival yulin di tiongkok
	-Afkar Aristo</t>
      </text>
    </comment>
    <comment authorId="0" ref="B156">
      <text>
        <t xml:space="preserve">berita tidak relevan, soal macet
	-Afkar Aristo</t>
      </text>
    </comment>
    <comment authorId="0" ref="B141">
      <text>
        <t xml:space="preserve">berita peradilan MK soal pilpers
	-Afkar Aristo</t>
      </text>
    </comment>
    <comment authorId="0" ref="B140">
      <text>
        <t xml:space="preserve">berita mengenai hidangan seorang ibu di hari lebaran
	-Afkar Aristo</t>
      </text>
    </comment>
    <comment authorId="0" ref="B139">
      <text>
        <t xml:space="preserve">berita tidak relevan, kompilasi berita kevin dan galih ginanjar
	-Afkar Aristo</t>
      </text>
    </comment>
    <comment authorId="0" ref="B138">
      <text>
        <t xml:space="preserve">berita tidak relevan, materi standup pandji di Hiduplah Indonesia Maya
	-Afkar Aristo</t>
      </text>
    </comment>
    <comment authorId="0" ref="B137">
      <text>
        <t xml:space="preserve">berita tidak relevan, bahas toy story
	-Afkar Aristo</t>
      </text>
    </comment>
    <comment authorId="0" ref="B135">
      <text>
        <t xml:space="preserve">David Beckham cium anaknya malah dinyinyiri
	-Afkar Aristo</t>
      </text>
    </comment>
    <comment authorId="0" ref="B134">
      <text>
        <t xml:space="preserve">berita soal setnov di rutan gunung sindur
	-Afkar Aristo</t>
      </text>
    </comment>
    <comment authorId="0" ref="B133">
      <text>
        <t xml:space="preserve">berita mengenai Setnov di rutan Gunung Sindur
	-Afkar Aristo</t>
      </text>
    </comment>
    <comment authorId="0" ref="B131">
      <text>
        <t xml:space="preserve">isu radikalisme, kata 'buta' ditemukan dalam 'membabi buta'
	-Afkar Aristo</t>
      </text>
    </comment>
    <comment authorId="0" ref="B129">
      <text>
        <t xml:space="preserve">berita tidak relevan, kendaraan produk cacat
	-Afkar Aristo</t>
      </text>
    </comment>
    <comment authorId="0" ref="B128">
      <text>
        <t xml:space="preserve">berita tidak relevan, hasil UTBK 2019
	-Afkar Aristo</t>
      </text>
    </comment>
    <comment authorId="0" ref="B126">
      <text>
        <t xml:space="preserve">berita tidak relevan, people power cacat prosedural
	-Afkar Aristo</t>
      </text>
    </comment>
    <comment authorId="0" ref="B125">
      <text>
        <t xml:space="preserve">berita tidak relevan, mengenai fasilitas rest area tol
	-Afkar Aristo</t>
      </text>
    </comment>
    <comment authorId="0" ref="B122">
      <text>
        <t xml:space="preserve">berita tidak relevan, mengenai angka pengangguran yang turun
	-Afkar Aristo</t>
      </text>
    </comment>
    <comment authorId="0" ref="B121">
      <text>
        <t xml:space="preserve">berita tidak relevan, hanya sinopsis sinetron cinta buta
	-Afkar Aristo</t>
      </text>
    </comment>
    <comment authorId="0" ref="B118">
      <text>
        <t xml:space="preserve">berita tidak relevan, tentang sekolah, buta huruf, dan Soeharto
	-Afkar Aristo</t>
      </text>
    </comment>
    <comment authorId="0" ref="B116">
      <text>
        <t xml:space="preserve">berita tidak relevan, membahas anggota kpu yg sakit
	-Afkar Aristo</t>
      </text>
    </comment>
    <comment authorId="0" ref="B115">
      <text>
        <t xml:space="preserve">berita tidak relevan, penelitian LIPI petugas KPU meninggal dalam pemilu
	-Afkar Aristo</t>
      </text>
    </comment>
    <comment authorId="0" ref="B114">
      <text>
        <t xml:space="preserve">berita tidak relevan, korut vs amrik
	-Afkar Aristo</t>
      </text>
    </comment>
    <comment authorId="0" ref="B111">
      <text>
        <t xml:space="preserve">berita tidak relevan, tato game of thrones
	-Afkar Aristo</t>
      </text>
    </comment>
    <comment authorId="0" ref="B110">
      <text>
        <t xml:space="preserve">berita tidak relevan, berita tentang massa kampanye jokowi-ma'ruf amin
	-Afkar Aristo</t>
      </text>
    </comment>
    <comment authorId="0" ref="B108">
      <text>
        <t xml:space="preserve">berita tidak relevan, tentang tatoan
	-Afkar Aristo</t>
      </text>
    </comment>
    <comment authorId="0" ref="B107">
      <text>
        <t xml:space="preserve">berita tidak relevan, seputar pasangan ala-ala vampire
	-Afkar Aristo</t>
      </text>
    </comment>
    <comment authorId="0" ref="B106">
      <text>
        <t xml:space="preserve">berita tidak relevan, seputar peretasan akun twitter.
	-Afkar Aristo</t>
      </text>
    </comment>
    <comment authorId="0" ref="B104">
      <text>
        <t xml:space="preserve">berita tidak relevan, hanya pemberitaan persiapan pemilu oleh KPU Kudus
	-Afkar Aristo
bisa relevan, ada narasumber representatif juga
	-firmanimad</t>
      </text>
    </comment>
    <comment authorId="0" ref="B103">
      <text>
        <t xml:space="preserve">berita tentang mengecek pendengaran bayi baru lahir
	-Afkar Aristo</t>
      </text>
    </comment>
    <comment authorId="0" ref="B102">
      <text>
        <t xml:space="preserve">berita tidak relevan, mengenai pengacak-acakan masjid
	-Afkar Aristo
masuk karena ada spekulasi ngaitin  ini dengan scaremongering "orang gila nyerang masjid/ulama". Ada simplifikasi identitas.
	-firmanimad</t>
      </text>
    </comment>
    <comment authorId="0" ref="B101">
      <text>
        <t xml:space="preserve">berita tidak relevan, tentang penggeberan perekaman KTP. disabilitas ditemukan dalam artikel sebagai yang belum melakukan perekaman e-KTP
	-Afkar Aristo</t>
      </text>
    </comment>
    <comment authorId="0" ref="B100">
      <text>
        <t xml:space="preserve">berita tidak relevan, ditemukan kata gila dalam kata-kata "melakukan hal-hal gila" seperti lelucon saat syuting
	-Afkar Aristo</t>
      </text>
    </comment>
    <comment authorId="0" ref="B99">
      <text>
        <t xml:space="preserve">berita tidak relevan, pesawat cacat
	-Afkar Aristo</t>
      </text>
    </comment>
    <comment authorId="0" ref="B98">
      <text>
        <t xml:space="preserve">berita tidak relevan, kata buta ditemukan dalam konteks, buta pemahaman indra sjafri mengenai kemampuan pemainnya
	-Afkar Aristo</t>
      </text>
    </comment>
    <comment authorId="0" ref="B97">
      <text>
        <t xml:space="preserve">berita tidak relevan, mengenai 11.000 lowonan yang disipakan Menteri
	-Afkar Aristo</t>
      </text>
    </comment>
    <comment authorId="0" ref="B96">
      <text>
        <t xml:space="preserve">berita tidak relevan, kegiatan solat subuh
	-Afkar Aristo</t>
      </text>
    </comment>
    <comment authorId="0" ref="B95">
      <text>
        <t xml:space="preserve">berita tidak relevan, seputar perayaan nyepi yang dirayakan oleh atlet non-hindu
	-Afkar Aristo</t>
      </text>
    </comment>
    <comment authorId="0" ref="B90">
      <text>
        <t xml:space="preserve">berita tidak relevan, membahas mimpi perempuan laki-laki
	-Afkar Aristo</t>
      </text>
    </comment>
    <comment authorId="0" ref="B88">
      <text>
        <t xml:space="preserve">berita tidak relevan, menjelaskan tentang ibadah solat
	-Afkar Aristo</t>
      </text>
    </comment>
    <comment authorId="0" ref="B87">
      <text>
        <t xml:space="preserve">berita tidak relevan, berita mengenai rencana demo. kata 'cacat' ditemukan sebagai istilah 'cacat historis'
	-Afkar Aristo</t>
      </text>
    </comment>
    <comment authorId="0" ref="B86">
      <text>
        <t xml:space="preserve">berita tidak relevan, urusan jentik-jentik, dan tidak ada unsur gangguan jiwa
	-Afkar Aristo</t>
      </text>
    </comment>
    <comment authorId="0" ref="B85">
      <text>
        <t xml:space="preserve">berita tidak relevan, menjadikan kata disabilitas sebagai data untuk bala bantuan pemerintah
	-Afkar Aristo</t>
      </text>
    </comment>
    <comment authorId="0" ref="B84">
      <text>
        <t xml:space="preserve">berita tidak relevan, membahas adopsi anak
	-Afkar Aristo</t>
      </text>
    </comment>
    <comment authorId="0" ref="B83">
      <text>
        <t xml:space="preserve">berita tidak relevan, membahas vanessa angel yang pingsan
	-Afkar Aristo</t>
      </text>
    </comment>
    <comment authorId="0" ref="B79">
      <text>
        <t xml:space="preserve">berita tidak relevan, mengenai bpjs ketenagakerjaan yang berlaku untuk segala kecelakaan kerja
	-Afkar Aristo</t>
      </text>
    </comment>
    <comment authorId="0" ref="B78">
      <text>
        <t xml:space="preserve">berita tidak relevan, hanya bahas klasemen dan pertandingan Manchester City vs Wolves
	-Afkar Aristo</t>
      </text>
    </comment>
    <comment authorId="0" ref="B76">
      <text>
        <t xml:space="preserve">berita tidak relevan, difable di sini hanya ada pada teks "Tokoh inspiratif penggerak pendidikan inklusi bagi difable"
	-Afkar Aristo</t>
      </text>
    </comment>
    <comment authorId="0" ref="B75">
      <text>
        <t xml:space="preserve">berita tidak relevan, ahmadiyah nama museum
	-Afkar Aristo
setelah ditelusuri, museum ini resmi dikelola komunitas Ahmadiyah. Berarti ia contoh representasi Ahmadiyah.
	-firmanimad</t>
      </text>
    </comment>
    <comment authorId="0" ref="B74">
      <text>
        <t xml:space="preserve">berita tidak relevan, unsyiah aceh
	-Afkar Aristo</t>
      </text>
    </comment>
    <comment authorId="0" ref="B73">
      <text>
        <t xml:space="preserve">berita tidak relevan, serangan hizbullah lebanon terhadap israel
	-Afkar Aristo</t>
      </text>
    </comment>
    <comment authorId="0" ref="B71">
      <text>
        <t xml:space="preserve">berita tidak relevan, kritik dari dosen univ syiah
	-Afkar Aristo</t>
      </text>
    </comment>
    <comment authorId="0" ref="B70">
      <text>
        <t xml:space="preserve">berita tidak relevan, tuding-tudingan israel-syiah
	-Afkar Aristo</t>
      </text>
    </comment>
    <comment authorId="0" ref="B69">
      <text>
        <t xml:space="preserve">universitas syiah aceh
	-Afkar Aristo</t>
      </text>
    </comment>
    <comment authorId="0" ref="B68">
      <text>
        <t xml:space="preserve">dugaan serangan drone dalam konflik Lebanon-Israel
	-Afkar Aristo</t>
      </text>
    </comment>
    <comment authorId="0" ref="B66">
      <text>
        <t xml:space="preserve">tidak relevan, berita pengeboman di acara pernikahan
	-Afkar Aristo</t>
      </text>
    </comment>
    <comment authorId="0" ref="B65">
      <text>
        <t xml:space="preserve">berita tidak relevan, mengenai pengeboman di pernikahan kabul, tidak ada motif menyerang marjinal. sama kayak artikel sebelumnya. Motifnya di sini karena adanya diskusi Taliban-Amerika
	-Afkar Aristo</t>
      </text>
    </comment>
    <comment authorId="0" ref="B64">
      <text>
        <t xml:space="preserve">berita tidak relevan, mengenai ledakan di Kabul Afghanistan, belum pasti menyerang marjinal
	-Afkar Aristo</t>
      </text>
    </comment>
    <comment authorId="0" ref="B63">
      <text>
        <t xml:space="preserve">berrita tidak relevan, membahas hak istimewa kashmir
	-Afkar Aristo</t>
      </text>
    </comment>
    <comment authorId="0" ref="B62">
      <text>
        <t xml:space="preserve">berita tidak relevan, mengenai hukuman mati aktivis arab saudi
	-Afkar Aristo</t>
      </text>
    </comment>
    <comment authorId="0" ref="B59">
      <text>
        <t xml:space="preserve">universitas syiah
	-Afkar Aristo</t>
      </text>
    </comment>
    <comment authorId="0" ref="B57">
      <text>
        <t xml:space="preserve">kecamatan syiah aceh
	-Afkar Aristo</t>
      </text>
    </comment>
    <comment authorId="0" ref="B56">
      <text>
        <t xml:space="preserve">universitas syiah aceh
	-Afkar Aristo</t>
      </text>
    </comment>
    <comment authorId="0" ref="B55">
      <text>
        <t xml:space="preserve">universitas syiah
	-Afkar Aristo</t>
      </text>
    </comment>
    <comment authorId="0" ref="B54">
      <text>
        <t xml:space="preserve">berita tidak relevan, perang arab vs yaman
	-Afkar Aristo</t>
      </text>
    </comment>
    <comment authorId="0" ref="B51">
      <text>
        <t xml:space="preserve">artikel penjelasan tentang gelar amirul mukmin dari sudut pandang sunni dan syiah
	-Afkar Aristo</t>
      </text>
    </comment>
    <comment authorId="0" ref="B50">
      <text>
        <t xml:space="preserve">berita membahas pendukung jokowi dan prabowo. ditemukan kata minoritas (yang kemungkinan peneliti pakai kata tersebut untuk cari artikel) sebagai penyebaran data pendukung jokowi
	-Afkar Aristo</t>
      </text>
    </comment>
    <comment authorId="0" ref="B49">
      <text>
        <t xml:space="preserve">berita perang Iran Irak
	-Afkar Aristo</t>
      </text>
    </comment>
    <comment authorId="0" ref="B48">
      <text>
        <t xml:space="preserve">berita pengeboman masjid, tidak ada unsur agama marjinal dengan teks menyerang marjinal. pemberitaan sangat rancu
	-Afkar Aristo</t>
      </text>
    </comment>
    <comment authorId="0" ref="B47">
      <text>
        <t xml:space="preserve">mahasiswa universitas syiah aceh
	-Afkar Aristo</t>
      </text>
    </comment>
    <comment authorId="0" ref="B46">
      <text>
        <t xml:space="preserve">berita tidak relevan, berita penangkapan permasalahan politik luar negeri syiah-sunni Arab Saudi
	-Afkar Aristo</t>
      </text>
    </comment>
    <comment authorId="0" ref="B45">
      <text>
        <t xml:space="preserve">berita tidak relevan, membahas hukuman mati Arab Saudi yang dikecam PBB
	-Afkar Aristo</t>
      </text>
    </comment>
    <comment authorId="0" ref="B44">
      <text>
        <t xml:space="preserve">berita tidak relevan, membahas hukuman mati di Arab Saudi yang ditentang PBB
	-Afkar Aristo</t>
      </text>
    </comment>
    <comment authorId="0" ref="B42">
      <text>
        <t xml:space="preserve">Berita perang ISIS, Syiah yang bersekutu dengan Sunni, Kristen untuk melawan ISIS
	-Afkar Aristo</t>
      </text>
    </comment>
    <comment authorId="0" ref="B41">
      <text>
        <t xml:space="preserve">syiah untuk berita tambahan konflik internasional iran
	-Afkar Aristo</t>
      </text>
    </comment>
    <comment authorId="0" ref="B40">
      <text>
        <t xml:space="preserve">tidak relevan, syiah ideologi iran
	-Afkar Aristo</t>
      </text>
    </comment>
    <comment authorId="0" ref="B39">
      <text>
        <t xml:space="preserve">berita tidak relevan, syiah nama universitas
	-Afkar Aristo</t>
      </text>
    </comment>
    <comment authorId="0" ref="B6">
      <text>
        <t xml:space="preserve">Univ Syiah di Aceh
	-Afkar Aristo</t>
      </text>
    </comment>
    <comment authorId="0" ref="B37">
      <text>
        <t xml:space="preserve">berita tidak relevan, partai Syiah Iran
	-Afkar Aristo</t>
      </text>
    </comment>
    <comment authorId="0" ref="B34">
      <text>
        <t xml:space="preserve">berita tidak relevan, Syiah yang tergempur oleh ISIS
	-Afkar Aristo</t>
      </text>
    </comment>
    <comment authorId="0" ref="B33">
      <text>
        <t xml:space="preserve">berita tidak relevan
	-Afkar Aristo</t>
      </text>
    </comment>
    <comment authorId="0" ref="B32">
      <text>
        <t xml:space="preserve">berita tidak relevan
	-Afkar Aristo</t>
      </text>
    </comment>
    <comment authorId="0" ref="B30">
      <text>
        <t xml:space="preserve">syiah universitas
	-Afkar Aristo</t>
      </text>
    </comment>
    <comment authorId="0" ref="B28">
      <text>
        <t xml:space="preserve">Syiah Universitas
	-Afkar Aristo</t>
      </text>
    </comment>
    <comment authorId="0" ref="B27">
      <text>
        <t xml:space="preserve">syiah universitas
	-Afkar Aristo</t>
      </text>
    </comment>
    <comment authorId="0" ref="B26">
      <text>
        <t xml:space="preserve">KTP asing
	-Afkar Aristo</t>
      </text>
    </comment>
    <comment authorId="0" ref="B23">
      <text>
        <t xml:space="preserve">syiah aceh
	-Afkar Aristo</t>
      </text>
    </comment>
    <comment authorId="0" ref="B21">
      <text>
        <t xml:space="preserve">urusan pembangunan masjid
	-Afkar Aristo
Syiah dalam konteks konflik TimTeng
	-Faris Dzaki</t>
      </text>
    </comment>
    <comment authorId="0" ref="B22">
      <text>
        <t xml:space="preserve">Kecamatan Syiah Aceh
	-Afkar Aristo</t>
      </text>
    </comment>
    <comment authorId="0" ref="B20">
      <text>
        <t xml:space="preserve">berita bahas E-KTP asing, isu agama cuma sebatas kata.
	-Afkar Aristo</t>
      </text>
    </comment>
    <comment authorId="0" ref="B13">
      <text>
        <t xml:space="preserve">Syiah nama pantai di Aceh
	-Afkar Aristo</t>
      </text>
    </comment>
    <comment authorId="0" ref="B10">
      <text>
        <t xml:space="preserve">syiah nama univ
	-Afkar Aristo</t>
      </text>
    </comment>
  </commentList>
</comments>
</file>

<file path=xl/comments6.xml><?xml version="1.0" encoding="utf-8"?>
<comments xmlns:r="http://schemas.openxmlformats.org/officeDocument/2006/relationships" xmlns="http://schemas.openxmlformats.org/spreadsheetml/2006/main">
  <authors>
    <author/>
  </authors>
  <commentList>
    <comment authorId="0" ref="F198">
      <text>
        <t xml:space="preserve">artikel tidak ada
</t>
      </text>
    </comment>
    <comment authorId="0" ref="F278">
      <text>
        <t xml:space="preserve">artikelnya tidak ada niww
udeh gue isi ya
----
artikelnya tidak ada niww
	-bhena geerushtia
oya lupa kelewat
	-Villarian</t>
      </text>
    </comment>
    <comment authorId="0" ref="F424">
      <text>
        <t xml:space="preserve">Gak relevan nih beritanya
	-Villarian</t>
      </text>
    </comment>
    <comment authorId="0" ref="F240">
      <text>
        <t xml:space="preserve">linknya bermasalah
	-Villarian
ple link ini bisa diakses
	-bhena geerushtia
ok, soalnya tadi siang berkali-kali gak bisa gw akses
	-Villarian
Ok
	-bhena geerushtia</t>
      </text>
    </comment>
    <comment authorId="0" ref="F205">
      <text>
        <t xml:space="preserve">link berita ini sama dengan nomor 199
	-Villarian
oke, tandai aja dgn warna kuning biar nanti diganti
	-Roy Thaniago
yah .. kenapa ada yg bgtu ya skrg ga bisa dibuka. oke gue ganti
	-bhena geerushtia
eh ple ini kode ada di data pengganti dengan keterangan tidak ada data penganti
	-bhena geerushtia
ya berarti dibiriun aja ya?
	-Villarian
Iya
	-bhena geerushtia</t>
      </text>
    </comment>
    <comment authorId="0" ref="F150">
      <text>
        <t xml:space="preserve">menurut gw ini cuma berita kriminal biasa, kalo relevan, ini masuk cluster apa?
	-Villarian
meski minim, ada representasi "orang gila" di dalamnya. pelaku penusukan dikaitkan dengan ODG (disabilitas mental)
	-bhena geerushtia
oh gitu, soalnya dulu si Roy nekenin paragraf yang paling dominan. tapi okdeh
	-Villarian
iyah sih, emang suka tricky tp menurut ku meskipun minim tp ada representasi odgj dengan kriminalitas
	-bhena geerushtia
gue udah selesai ya yang ungu, mau ngasih tau via wa, hp gue mati.
	-Villarian
mantepppp luv u ple
	-bhena geerushtia</t>
      </text>
    </comment>
    <comment authorId="0" ref="B263">
      <text>
        <t xml:space="preserve">berita ini memuat beberapa konten/kasus
	-Villarian</t>
      </text>
    </comment>
    <comment authorId="0" ref="B258">
      <text>
        <t xml:space="preserve">video tidak bisa diputar, keterangan waktu tidak ada.
	-Villarian</t>
      </text>
    </comment>
    <comment authorId="0" ref="B194">
      <text>
        <t xml:space="preserve">invalid
	-Villarian</t>
      </text>
    </comment>
    <comment authorId="0" ref="B193">
      <text>
        <t xml:space="preserve">invalid
	-Villarian</t>
      </text>
    </comment>
    <comment authorId="0" ref="B192">
      <text>
        <t xml:space="preserve">invalid
	-Villarian</t>
      </text>
    </comment>
    <comment authorId="0" ref="B191">
      <text>
        <t xml:space="preserve">invalid
	-Villarian</t>
      </text>
    </comment>
    <comment authorId="0" ref="B189">
      <text>
        <t xml:space="preserve">invalid
	-Villarian</t>
      </text>
    </comment>
    <comment authorId="0" ref="B188">
      <text>
        <t xml:space="preserve">invalid
	-Villarian</t>
      </text>
    </comment>
    <comment authorId="0" ref="B186">
      <text>
        <t xml:space="preserve">invalid
	-Villarian</t>
      </text>
    </comment>
    <comment authorId="0" ref="B184">
      <text>
        <t xml:space="preserve">invalid
	-Villarian</t>
      </text>
    </comment>
    <comment authorId="0" ref="B183">
      <text>
        <t xml:space="preserve">invalid
	-Villarian</t>
      </text>
    </comment>
    <comment authorId="0" ref="B182">
      <text>
        <t xml:space="preserve">invalid
	-Villarian</t>
      </text>
    </comment>
    <comment authorId="0" ref="B181">
      <text>
        <t xml:space="preserve">invalid
	-Villarian</t>
      </text>
    </comment>
    <comment authorId="0" ref="B180">
      <text>
        <t xml:space="preserve">invalid
	-Villarian</t>
      </text>
    </comment>
    <comment authorId="0" ref="B178">
      <text>
        <t xml:space="preserve">invalid
	-Villarian</t>
      </text>
    </comment>
    <comment authorId="0" ref="B177">
      <text>
        <t xml:space="preserve">invalid
	-Villarian</t>
      </text>
    </comment>
    <comment authorId="0" ref="B176">
      <text>
        <t xml:space="preserve">invalid
	-Villarian</t>
      </text>
    </comment>
    <comment authorId="0" ref="B175">
      <text>
        <t xml:space="preserve">invalid
	-Villarian</t>
      </text>
    </comment>
    <comment authorId="0" ref="B174">
      <text>
        <t xml:space="preserve">invalid
	-Villarian</t>
      </text>
    </comment>
    <comment authorId="0" ref="B173">
      <text>
        <t xml:space="preserve">invalid
	-Villarian</t>
      </text>
    </comment>
    <comment authorId="0" ref="B172">
      <text>
        <t xml:space="preserve">invalid
	-Villarian</t>
      </text>
    </comment>
    <comment authorId="0" ref="B170">
      <text>
        <t xml:space="preserve">invalid
	-Villarian</t>
      </text>
    </comment>
    <comment authorId="0" ref="B169">
      <text>
        <t xml:space="preserve">invalid
	-Villarian</t>
      </text>
    </comment>
    <comment authorId="0" ref="B168">
      <text>
        <t xml:space="preserve">invalid
	-Villarian</t>
      </text>
    </comment>
    <comment authorId="0" ref="B166">
      <text>
        <t xml:space="preserve">invalid
	-Villarian</t>
      </text>
    </comment>
    <comment authorId="0" ref="B165">
      <text>
        <t xml:space="preserve">invalid
	-Villarian</t>
      </text>
    </comment>
    <comment authorId="0" ref="B164">
      <text>
        <t xml:space="preserve">invalid
	-Villarian</t>
      </text>
    </comment>
    <comment authorId="0" ref="B163">
      <text>
        <t xml:space="preserve">invalid
	-Villarian</t>
      </text>
    </comment>
    <comment authorId="0" ref="B162">
      <text>
        <t xml:space="preserve">invalid
	-Villarian</t>
      </text>
    </comment>
    <comment authorId="0" ref="B161">
      <text>
        <t xml:space="preserve">invalid
	-Villarian</t>
      </text>
    </comment>
    <comment authorId="0" ref="B160">
      <text>
        <t xml:space="preserve">invalid
	-Villarian</t>
      </text>
    </comment>
    <comment authorId="0" ref="B158">
      <text>
        <t xml:space="preserve">invalid
	-Villarian</t>
      </text>
    </comment>
    <comment authorId="0" ref="B157">
      <text>
        <t xml:space="preserve">invalid
	-Villarian</t>
      </text>
    </comment>
    <comment authorId="0" ref="B156">
      <text>
        <t xml:space="preserve">invalid
	-Villarian</t>
      </text>
    </comment>
    <comment authorId="0" ref="B155">
      <text>
        <t xml:space="preserve">invalid
	-Villarian</t>
      </text>
    </comment>
    <comment authorId="0" ref="B154">
      <text>
        <t xml:space="preserve">invalid
	-Villarian</t>
      </text>
    </comment>
    <comment authorId="0" ref="B153">
      <text>
        <t xml:space="preserve">invalid
	-Villarian</t>
      </text>
    </comment>
    <comment authorId="0" ref="B151">
      <text>
        <t xml:space="preserve">invalid
	-Villarian</t>
      </text>
    </comment>
    <comment authorId="0" ref="B150">
      <text>
        <t xml:space="preserve">invalid
	-Villarian</t>
      </text>
    </comment>
    <comment authorId="0" ref="B149">
      <text>
        <t xml:space="preserve">invalid
	-Villarian</t>
      </text>
    </comment>
    <comment authorId="0" ref="B148">
      <text>
        <t xml:space="preserve">invalid
	-Villarian</t>
      </text>
    </comment>
    <comment authorId="0" ref="B147">
      <text>
        <t xml:space="preserve">invalid
	-Villarian</t>
      </text>
    </comment>
    <comment authorId="0" ref="B144">
      <text>
        <t xml:space="preserve">invalid
	-Villarian</t>
      </text>
    </comment>
    <comment authorId="0" ref="B142">
      <text>
        <t xml:space="preserve">invalid
	-Villarian</t>
      </text>
    </comment>
    <comment authorId="0" ref="B141">
      <text>
        <t xml:space="preserve">invalid
	-Villarian</t>
      </text>
    </comment>
    <comment authorId="0" ref="B140">
      <text>
        <t xml:space="preserve">invalid
	-Villarian</t>
      </text>
    </comment>
    <comment authorId="0" ref="B139">
      <text>
        <t xml:space="preserve">invalid
	-Villarian</t>
      </text>
    </comment>
    <comment authorId="0" ref="B138">
      <text>
        <t xml:space="preserve">invalid
	-Villarian</t>
      </text>
    </comment>
    <comment authorId="0" ref="B137">
      <text>
        <t xml:space="preserve">invalid
	-Villarian</t>
      </text>
    </comment>
    <comment authorId="0" ref="B136">
      <text>
        <t xml:space="preserve">invalid
	-Villarian</t>
      </text>
    </comment>
    <comment authorId="0" ref="B135">
      <text>
        <t xml:space="preserve">invalid
	-Villarian</t>
      </text>
    </comment>
    <comment authorId="0" ref="B134">
      <text>
        <t xml:space="preserve">invalid
	-Villarian</t>
      </text>
    </comment>
    <comment authorId="0" ref="B133">
      <text>
        <t xml:space="preserve">invalid
	-Villarian</t>
      </text>
    </comment>
    <comment authorId="0" ref="B132">
      <text>
        <t xml:space="preserve">invalid
	-Villarian</t>
      </text>
    </comment>
    <comment authorId="0" ref="B130">
      <text>
        <t xml:space="preserve">invalid
	-Villarian</t>
      </text>
    </comment>
    <comment authorId="0" ref="B129">
      <text>
        <t xml:space="preserve">invalid
	-Villarian</t>
      </text>
    </comment>
    <comment authorId="0" ref="B126">
      <text>
        <t xml:space="preserve">invalid
	-Villarian</t>
      </text>
    </comment>
    <comment authorId="0" ref="B125">
      <text>
        <t xml:space="preserve">invalid
	-Villarian</t>
      </text>
    </comment>
    <comment authorId="0" ref="B124">
      <text>
        <t xml:space="preserve">invalid
	-Villarian</t>
      </text>
    </comment>
    <comment authorId="0" ref="B123">
      <text>
        <t xml:space="preserve">invalid
	-Villarian</t>
      </text>
    </comment>
    <comment authorId="0" ref="B122">
      <text>
        <t xml:space="preserve">invalid
	-Villarian</t>
      </text>
    </comment>
    <comment authorId="0" ref="B121">
      <text>
        <t xml:space="preserve">invalid
	-Villarian</t>
      </text>
    </comment>
    <comment authorId="0" ref="B120">
      <text>
        <t xml:space="preserve">invalid
	-Villarian</t>
      </text>
    </comment>
    <comment authorId="0" ref="B118">
      <text>
        <t xml:space="preserve">invalid
	-Villarian</t>
      </text>
    </comment>
    <comment authorId="0" ref="B115">
      <text>
        <t xml:space="preserve">invalid
	-Villarian</t>
      </text>
    </comment>
    <comment authorId="0" ref="B114">
      <text>
        <t xml:space="preserve">invalid
	-Villarian</t>
      </text>
    </comment>
    <comment authorId="0" ref="B113">
      <text>
        <t xml:space="preserve">invalid
	-Villarian</t>
      </text>
    </comment>
    <comment authorId="0" ref="B112">
      <text>
        <t xml:space="preserve">invalid
	-Villarian</t>
      </text>
    </comment>
    <comment authorId="0" ref="B110">
      <text>
        <t xml:space="preserve">invalid
	-Villarian</t>
      </text>
    </comment>
    <comment authorId="0" ref="B109">
      <text>
        <t xml:space="preserve">invalid
	-Villarian</t>
      </text>
    </comment>
    <comment authorId="0" ref="B108">
      <text>
        <t xml:space="preserve">invalid
	-Villarian</t>
      </text>
    </comment>
    <comment authorId="0" ref="B106">
      <text>
        <t xml:space="preserve">invalid
	-Villarian</t>
      </text>
    </comment>
    <comment authorId="0" ref="B105">
      <text>
        <t xml:space="preserve">invalid
	-Villarian</t>
      </text>
    </comment>
    <comment authorId="0" ref="B104">
      <text>
        <t xml:space="preserve">invalid
	-Villarian</t>
      </text>
    </comment>
    <comment authorId="0" ref="B103">
      <text>
        <t xml:space="preserve">invalid
	-Villarian</t>
      </text>
    </comment>
    <comment authorId="0" ref="B102">
      <text>
        <t xml:space="preserve">invalid
	-Villarian</t>
      </text>
    </comment>
    <comment authorId="0" ref="B101">
      <text>
        <t xml:space="preserve">invalid
	-Villarian</t>
      </text>
    </comment>
    <comment authorId="0" ref="B99">
      <text>
        <t xml:space="preserve">invalid
	-Villarian</t>
      </text>
    </comment>
    <comment authorId="0" ref="B98">
      <text>
        <t xml:space="preserve">invalid
	-Villarian</t>
      </text>
    </comment>
    <comment authorId="0" ref="B97">
      <text>
        <t xml:space="preserve">invalid
	-Villarian</t>
      </text>
    </comment>
    <comment authorId="0" ref="B80">
      <text>
        <t xml:space="preserve">invalid
	-Villarian</t>
      </text>
    </comment>
    <comment authorId="0" ref="B79">
      <text>
        <t xml:space="preserve">invalid
	-Villarian</t>
      </text>
    </comment>
    <comment authorId="0" ref="B78">
      <text>
        <t xml:space="preserve">invalid
	-Villarian</t>
      </text>
    </comment>
    <comment authorId="0" ref="B77">
      <text>
        <t xml:space="preserve">invalid
	-Villarian</t>
      </text>
    </comment>
    <comment authorId="0" ref="B61">
      <text>
        <t xml:space="preserve">invalid
	-Villarian</t>
      </text>
    </comment>
    <comment authorId="0" ref="B60">
      <text>
        <t xml:space="preserve">invalid
	-Villarian</t>
      </text>
    </comment>
    <comment authorId="0" ref="B59">
      <text>
        <t xml:space="preserve">invalid
	-Villarian</t>
      </text>
    </comment>
    <comment authorId="0" ref="B58">
      <text>
        <t xml:space="preserve">invalid
	-Villarian</t>
      </text>
    </comment>
    <comment authorId="0" ref="B57">
      <text>
        <t xml:space="preserve">invalid
	-Villarian</t>
      </text>
    </comment>
    <comment authorId="0" ref="B56">
      <text>
        <t xml:space="preserve">invalid
	-Villarian</t>
      </text>
    </comment>
    <comment authorId="0" ref="B55">
      <text>
        <t xml:space="preserve">invalid
	-Villarian</t>
      </text>
    </comment>
    <comment authorId="0" ref="B54">
      <text>
        <t xml:space="preserve">invalid
	-Villarian</t>
      </text>
    </comment>
    <comment authorId="0" ref="B53">
      <text>
        <t xml:space="preserve">invalid
	-Villarian</t>
      </text>
    </comment>
    <comment authorId="0" ref="B52">
      <text>
        <t xml:space="preserve">invalid
	-Villarian</t>
      </text>
    </comment>
    <comment authorId="0" ref="B51">
      <text>
        <t xml:space="preserve">invalid
	-Villarian</t>
      </text>
    </comment>
    <comment authorId="0" ref="B50">
      <text>
        <t xml:space="preserve">invalid
	-Villarian</t>
      </text>
    </comment>
    <comment authorId="0" ref="B49">
      <text>
        <t xml:space="preserve">invalid
	-Villarian</t>
      </text>
    </comment>
    <comment authorId="0" ref="B48">
      <text>
        <t xml:space="preserve">invalid
	-Villarian</t>
      </text>
    </comment>
    <comment authorId="0" ref="B47">
      <text>
        <t xml:space="preserve">invalid
	-Villarian</t>
      </text>
    </comment>
    <comment authorId="0" ref="B44">
      <text>
        <t xml:space="preserve">invalid
	-Villarian</t>
      </text>
    </comment>
    <comment authorId="0" ref="B43">
      <text>
        <t xml:space="preserve">invalid
	-Villarian</t>
      </text>
    </comment>
    <comment authorId="0" ref="B42">
      <text>
        <t xml:space="preserve">invalid
	-Villarian</t>
      </text>
    </comment>
    <comment authorId="0" ref="B41">
      <text>
        <t xml:space="preserve">invalid
	-Villarian</t>
      </text>
    </comment>
    <comment authorId="0" ref="B39">
      <text>
        <t xml:space="preserve">invalid
	-Villarian</t>
      </text>
    </comment>
    <comment authorId="0" ref="B37">
      <text>
        <t xml:space="preserve">invalid
	-Villarian</t>
      </text>
    </comment>
    <comment authorId="0" ref="B36">
      <text>
        <t xml:space="preserve">invalid
	-Villarian</t>
      </text>
    </comment>
    <comment authorId="0" ref="B34">
      <text>
        <t xml:space="preserve">invalid
	-Villarian</t>
      </text>
    </comment>
    <comment authorId="0" ref="B33">
      <text>
        <t xml:space="preserve">invalid
	-Villarian</t>
      </text>
    </comment>
    <comment authorId="0" ref="B32">
      <text>
        <t xml:space="preserve">invalid
	-Villarian</t>
      </text>
    </comment>
    <comment authorId="0" ref="B31">
      <text>
        <t xml:space="preserve">invalid
	-Villarian</t>
      </text>
    </comment>
    <comment authorId="0" ref="B30">
      <text>
        <t xml:space="preserve">invalid
	-Villarian</t>
      </text>
    </comment>
    <comment authorId="0" ref="B29">
      <text>
        <t xml:space="preserve">invalid
	-Villarian</t>
      </text>
    </comment>
    <comment authorId="0" ref="B28">
      <text>
        <t xml:space="preserve">invalid
	-Villarian</t>
      </text>
    </comment>
    <comment authorId="0" ref="B27">
      <text>
        <t xml:space="preserve">invalid
	-Villarian</t>
      </text>
    </comment>
    <comment authorId="0" ref="B26">
      <text>
        <t xml:space="preserve">invalid
	-Villarian</t>
      </text>
    </comment>
    <comment authorId="0" ref="B8">
      <text>
        <t xml:space="preserve">tidak relevan
	-Villarian</t>
      </text>
    </comment>
    <comment authorId="0" ref="B7">
      <text>
        <t xml:space="preserve">berita tidak relevan
	-Villarian</t>
      </text>
    </comment>
    <comment authorId="0" ref="B5">
      <text>
        <t xml:space="preserve">berita tidak relevan
	-Villarian</t>
      </text>
    </comment>
  </commentList>
</comments>
</file>

<file path=xl/sharedStrings.xml><?xml version="1.0" encoding="utf-8"?>
<sst xmlns="http://schemas.openxmlformats.org/spreadsheetml/2006/main" count="23602" uniqueCount="7938">
  <si>
    <t>Validitas</t>
  </si>
  <si>
    <t>ID</t>
  </si>
  <si>
    <t>DATA FORMAL</t>
  </si>
  <si>
    <t>STANDAR JURNALISME</t>
  </si>
  <si>
    <t>INKLUSIVITAS</t>
  </si>
  <si>
    <t>AGENDA MEDIA</t>
  </si>
  <si>
    <t>AKSESIBILITAS</t>
  </si>
  <si>
    <t>No.</t>
  </si>
  <si>
    <t>Nama Media</t>
  </si>
  <si>
    <t>Tanggal Terbit</t>
  </si>
  <si>
    <t>Tautan</t>
  </si>
  <si>
    <t>Arsip</t>
  </si>
  <si>
    <t>Panjang Berita</t>
  </si>
  <si>
    <t>Konteks Berita</t>
  </si>
  <si>
    <t>Cluster Marjinalitas</t>
  </si>
  <si>
    <t>Daftar Narasumber</t>
  </si>
  <si>
    <t>Sumber Berita</t>
  </si>
  <si>
    <t>Keberimbangan</t>
  </si>
  <si>
    <t>Etika Media</t>
  </si>
  <si>
    <t>Narasumber: Representasi</t>
  </si>
  <si>
    <t>Narasumber: Tone</t>
  </si>
  <si>
    <t>Istilah</t>
  </si>
  <si>
    <t>Marking</t>
  </si>
  <si>
    <t>Skala Isu</t>
  </si>
  <si>
    <t>Front Page</t>
  </si>
  <si>
    <t>Article Page</t>
  </si>
  <si>
    <t>Manual</t>
  </si>
  <si>
    <t>Informasi Pribadi</t>
  </si>
  <si>
    <t>Detail Pemerkosaan</t>
  </si>
  <si>
    <t>Judul Clickbaity</t>
  </si>
  <si>
    <t>Penggunaan</t>
  </si>
  <si>
    <t>Jumlah</t>
  </si>
  <si>
    <t>a-15-li</t>
  </si>
  <si>
    <t>lokasi</t>
  </si>
  <si>
    <t>Willy Hanafi (Direktur LBH Bandung)</t>
  </si>
  <si>
    <t>i-2712-de</t>
  </si>
  <si>
    <t>Aby Respati</t>
  </si>
  <si>
    <t>Pria tulen</t>
  </si>
  <si>
    <t>i-2786-ok</t>
  </si>
  <si>
    <t>Glory Cuerda</t>
  </si>
  <si>
    <t>i-2911-cn</t>
  </si>
  <si>
    <t>24/08/2019</t>
  </si>
  <si>
    <t>Laporan pengadilan</t>
  </si>
  <si>
    <t>i-2731-ti</t>
  </si>
  <si>
    <t>Asep Adi Saputra (Kabag Penum Mabes Polri)</t>
  </si>
  <si>
    <t>i-2761-cn</t>
  </si>
  <si>
    <t>i-2767-ti</t>
  </si>
  <si>
    <t>Yael Stefani Sinaga (Pemimpin Umum Suara USU)</t>
  </si>
  <si>
    <t>i-2889-ok</t>
  </si>
  <si>
    <t>20/08/2019</t>
  </si>
  <si>
    <t>Kompol Supriadi (Kanit Reskrim Polsek Metro Tanah Abang)</t>
  </si>
  <si>
    <t>i-2764-de</t>
  </si>
  <si>
    <t>Jimmy Usfunan (ahli tata negara)***Runtung Sitepu (Rektor USU)***Yael Stefani Sinaga (Pemred Suara USU)</t>
  </si>
  <si>
    <t>0***0***0</t>
  </si>
  <si>
    <t>1***-1***0</t>
  </si>
  <si>
    <t>i-2938-te</t>
  </si>
  <si>
    <t>i-2960-li</t>
  </si>
  <si>
    <t>i-2991-de</t>
  </si>
  <si>
    <t>Taufiqulhadi (Anggota Panja DPR)</t>
  </si>
  <si>
    <t>i-3003-su</t>
  </si>
  <si>
    <t>Feri (warga)***Kompol Joni Darmawan (Kapolsek Koto Tangah)</t>
  </si>
  <si>
    <t>0***0</t>
  </si>
  <si>
    <t>-1***0</t>
  </si>
  <si>
    <t>i-3007-de</t>
  </si>
  <si>
    <t>Taufiqulhadi (Anggota Panja RUU KUHP)</t>
  </si>
  <si>
    <t>i-3013-su</t>
  </si>
  <si>
    <t>22/09/2019</t>
  </si>
  <si>
    <t>Gebby Vesta</t>
  </si>
  <si>
    <t>i-3025-cn</t>
  </si>
  <si>
    <t>i-3027-de</t>
  </si>
  <si>
    <t>i-3032-su</t>
  </si>
  <si>
    <t>i-3045-li</t>
  </si>
  <si>
    <t>i-3055-tr</t>
  </si>
  <si>
    <t>p-314-de</t>
  </si>
  <si>
    <t xml:space="preserve"> AKBP Harissandi (Kasubdit V Cyber Crime)</t>
  </si>
  <si>
    <t>p-492-ti</t>
  </si>
  <si>
    <t>p-972-te</t>
  </si>
  <si>
    <t>AA (pegawai BPJS TKA)***Irvansyah Utoh Banja (Deputi Direktur Bidang Hubungan Masyarakat dan Antar Lembaga BPJS TKA)</t>
  </si>
  <si>
    <t>p-1244-li</t>
  </si>
  <si>
    <t>VA (artis)***Muhammad Zakir Rasyidin (pengacara VA)***Jane Shalimar (sahabat VA)</t>
  </si>
  <si>
    <t>2***0***0</t>
  </si>
  <si>
    <t>p-1698-ti</t>
  </si>
  <si>
    <t>Brigjen Pol Albertus Rachmad Wibowo (Direktur Tindak Pidana Siber Bareskrim Polri)***Abdul Fickar Hadjar (Dosen Hukum Acara Pidana Universitas Trisakti)</t>
  </si>
  <si>
    <t>p-1930-su</t>
  </si>
  <si>
    <t>Hotman Paris***Robby Abbas</t>
  </si>
  <si>
    <t>0***-1</t>
  </si>
  <si>
    <t>p-4107-cn</t>
  </si>
  <si>
    <t>26/01/2019</t>
  </si>
  <si>
    <t>Avi Lerner (pendiri dan chief executive Millennium Films)***Bryan Singer***GLAAD***Time's Up (lembaga anti pelecehan)</t>
  </si>
  <si>
    <t>0***0***0***0</t>
  </si>
  <si>
    <t>0***0***0***1</t>
  </si>
  <si>
    <t>p-2588-te</t>
  </si>
  <si>
    <t>p-2846-cn</t>
  </si>
  <si>
    <t>15/01/2019</t>
  </si>
  <si>
    <t>Irjen Luki Hermawan (Kepala Kepolisian Daerah Jawa Timur)***Kombes Ahmad Yusep Gunawan (Ditreskrimsus Polda Jatim)</t>
  </si>
  <si>
    <t>p-1561-cn</t>
  </si>
  <si>
    <t xml:space="preserve"> Brigadir Jenderal Dedi Prasetyo (Kepala Biro Penerangan Masyarakat Divisi Humas Polri)</t>
  </si>
  <si>
    <t>p-4513-de</t>
  </si>
  <si>
    <t>31/01/2019</t>
  </si>
  <si>
    <t>Rahmad Santoso (kuasa hukum Vanessa)***Kombes Pol Frans Barung Mangera (Kabid Humas Polda Jatim)</t>
  </si>
  <si>
    <t>1***0</t>
  </si>
  <si>
    <t>p-4693-ok</t>
  </si>
  <si>
    <t>Kombes Pol Frans Barung Mangera (Kabid Humas Polda Jatim)***Harissandi (Kasubdit V Cyber Crime Kriminal Khusus Polda Jatim)***Jane Shalimar (artis)***Zakir Rasyidin (kuasa hukum)***Milano (kuasa hukum)***Siska (mucikari)***Irjen Luki Hermawan (Kapolda Jatim)***Kombes Ahmad Yusep Gunawan (Ditreskrimsus Polda Jatim)</t>
  </si>
  <si>
    <t>0***0***0***1***1***0***0***0</t>
  </si>
  <si>
    <t>0***0***0***0***0***0***0***0</t>
  </si>
  <si>
    <t>p-4896-ko</t>
  </si>
  <si>
    <t>AKBP Edi Suranta Sitepu (Kasat Reskrim Polres Metro Jakarta Barat)</t>
  </si>
  <si>
    <t>p-5927-li</t>
  </si>
  <si>
    <t>13/02/2019</t>
  </si>
  <si>
    <t>Seorang siswa</t>
  </si>
  <si>
    <t>p-5987-tr</t>
  </si>
  <si>
    <t>Bibi Ardiansyah***Harissandi (Kasubdit V Cyber Crime Kriminal Khusus Polda Jatim)</t>
  </si>
  <si>
    <t>p-6030-ok</t>
  </si>
  <si>
    <t>14/02/2019</t>
  </si>
  <si>
    <t>Warganet***warganet***warganet***Biro Industri dan Komersial distrik Longhua</t>
  </si>
  <si>
    <t>Wanita berpayudara besar***payudara besar membuat perempuan terlihat lebih seksi</t>
  </si>
  <si>
    <t>p-6228-ti</t>
  </si>
  <si>
    <t>17/02/2019</t>
  </si>
  <si>
    <t>Javier Valdez (jurnalis)***Phoolan Devi</t>
  </si>
  <si>
    <t>0***2</t>
  </si>
  <si>
    <t>p-4653-cn</t>
  </si>
  <si>
    <t>Rina Restu Wardani (Koordinator aksi)***Kombes Pol Frans Barung Mangera (Kabid Humas Polda Jatim)</t>
  </si>
  <si>
    <t>p-7702-ok</t>
  </si>
  <si>
    <t>15/03/2019</t>
  </si>
  <si>
    <t>Tanya Plibersek (Wakil Pemimpin Partai Buruh)***Scott Morrison (Perdana Menteri Australia***George Christensen (anggota DPR dari Partai Nasional)***Tony Abbott (mantan Menteri Kesehatan)***Angela Williamson (warga Tasmania)***De Costa (dokter)</t>
  </si>
  <si>
    <t>0***0***0***0***2***0</t>
  </si>
  <si>
    <t>0***0***-1***-1***0***1</t>
  </si>
  <si>
    <t>p-6970-ko</t>
  </si>
  <si>
    <t>Sujoko (Kepala DP3AKBPMD)</t>
  </si>
  <si>
    <t>p-7066-de</t>
  </si>
  <si>
    <t>Kris Nugroho (hakim)***Heri Bertus (pengacara RA)***Togar Sijabat (kuasa hukum Aditya dan Guntur)</t>
  </si>
  <si>
    <t>0***1***0</t>
  </si>
  <si>
    <t>p-7083-li</t>
  </si>
  <si>
    <t>Rahayu Saraswati (politikus)</t>
  </si>
  <si>
    <t>p-7350-su</t>
  </si>
  <si>
    <t>Kerajaan Inggris</t>
  </si>
  <si>
    <t>p-7434-te</t>
  </si>
  <si>
    <t>The Wall Streets Journal***The New York Times***Google</t>
  </si>
  <si>
    <t>0***0***1</t>
  </si>
  <si>
    <t>p-7146-su</t>
  </si>
  <si>
    <t>Sajal Kanti Biswa (petugas polisi)</t>
  </si>
  <si>
    <t>p-7639-ti</t>
  </si>
  <si>
    <t>14/03/2019</t>
  </si>
  <si>
    <t>Nur Rachmat Yuliantoro (Ketua Departemen Ilmu Hubungan Internasional)***Amalinda Savirani (Kepala Departemen Politik dan Pemerintahan)***warga kampus Fisipol***Rika (dosen Fisipol)***Muhadjir Darwin (anggota tim perumus peraturan tentang pencegahan dan penanggulangan kekerasan seksual di UGM)***Iva Ariani (Kepala Bagian Humas dan Protokoler UGM)***Ismunandar (Dirjen Pembelajaran dan Kemahasiswaan dari Kementerian Ristekdikti)</t>
  </si>
  <si>
    <t>0***0***0***0***0***0***0</t>
  </si>
  <si>
    <t>0***0***0***1***1***0***0</t>
  </si>
  <si>
    <t>p-7774-re</t>
  </si>
  <si>
    <t>16/03/2019</t>
  </si>
  <si>
    <t>Sarkawi Datuak Mongguang Kayo (Kepala Bidang Perlindungan Anak dan Perempuan, dari Dinas Pemberdayaan Perempuan dan Perlindungan Anak Kota Pekanbaru)</t>
  </si>
  <si>
    <t>p-7794-re</t>
  </si>
  <si>
    <t>17/03/2019</t>
  </si>
  <si>
    <t>Kim (pengajar budaya Universitas Hanyang Seoul)</t>
  </si>
  <si>
    <t>p-7519-re</t>
  </si>
  <si>
    <t>13/03/2019</t>
  </si>
  <si>
    <t>Pengadilan banding Italia</t>
  </si>
  <si>
    <t>p-7991-ok</t>
  </si>
  <si>
    <t>21/03/2019</t>
  </si>
  <si>
    <t>Nadya Karima Melati</t>
  </si>
  <si>
    <t>p-8181-de</t>
  </si>
  <si>
    <t>26/03/2019</t>
  </si>
  <si>
    <t>Richard Marpaung (Kasipenkum Kejati Jatim)</t>
  </si>
  <si>
    <t>p-6907-ti</t>
  </si>
  <si>
    <t>Riska Carolina (Advokat dan Spesialis Kebijakan Publik PKBI)</t>
  </si>
  <si>
    <t>p-8518-ko</t>
  </si>
  <si>
    <t>30/03/2019</t>
  </si>
  <si>
    <t>Komisi atletik negara bagian Kalifornia***Jenny SuShe (jurnalis)***Kubrat Pulev (petinju kelas berat Bulgaria)</t>
  </si>
  <si>
    <t>0***2***0</t>
  </si>
  <si>
    <t>0***1***-1</t>
  </si>
  <si>
    <t>p-8549-tr</t>
  </si>
  <si>
    <t>Milano Lubis (kuasa hukum)</t>
  </si>
  <si>
    <t>p-8557-cn</t>
  </si>
  <si>
    <t>31/03/2019</t>
  </si>
  <si>
    <t>Rhoma Irama (pedangdut)***Imam Nahei (komisioner Komnas Perempuan)</t>
  </si>
  <si>
    <t>-1***1</t>
  </si>
  <si>
    <t>p-8569-su</t>
  </si>
  <si>
    <t>p-8678-ok</t>
  </si>
  <si>
    <t>AKP Sulhadi (Kasubag Humas Polres Bangli)</t>
  </si>
  <si>
    <t>p-8721-ok</t>
  </si>
  <si>
    <t>Akun Drama Hallu (warganet)***Cupi Cupita (pedangdut)</t>
  </si>
  <si>
    <t>p-8780-re</t>
  </si>
  <si>
    <t>Kumi Naidoo (Sekretaris Jendral Amnesty International)</t>
  </si>
  <si>
    <t>p-8992-ti</t>
  </si>
  <si>
    <t>Akun Instagram Indonesia Tanpa Feminis (warganet)***akun This is Gender (warganet)***akun Aila Indonesia (warganet)***Anita Dhewy (pemimpin redaksi Jurnal Perempuan)***Musdah Mulia (akademisi)***Kalis Mardiasih (penulis)***Mariana Amiruddin (komisioner Komnas Perempuan)</t>
  </si>
  <si>
    <t>-1***-1***-1***0***1***1***1</t>
  </si>
  <si>
    <t>p-9281-ok</t>
  </si>
  <si>
    <t>Muhammad Anwar Nasir (Kapolresta Pontianak Kombes)</t>
  </si>
  <si>
    <t>p-8609-ok</t>
  </si>
  <si>
    <t>Kepolisian Metropolitan Seoul</t>
  </si>
  <si>
    <t>p-9559-cn</t>
  </si>
  <si>
    <t>22/04/2019</t>
  </si>
  <si>
    <t>Nesia Ardi (vokalis NonaRia)***Yashinta Pattiasina (pemain biola NonaRia)</t>
  </si>
  <si>
    <t>2***2</t>
  </si>
  <si>
    <t>1***1</t>
  </si>
  <si>
    <t>p-9596-re</t>
  </si>
  <si>
    <t>23/04/2019</t>
  </si>
  <si>
    <t>Yeni Roslaini Izi (Direktur Eksekutif WCC Palembang)</t>
  </si>
  <si>
    <t>p-9625-de</t>
  </si>
  <si>
    <t>24/04/2019</t>
  </si>
  <si>
    <t>Jaksa penuntut umum</t>
  </si>
  <si>
    <t>p-9669-tr</t>
  </si>
  <si>
    <t>p-9246-ti</t>
  </si>
  <si>
    <t>Hasan (Kepala Biro Hukum dan Humas Kementerian Pemberdayaan Perempuan dan Perlindungan Anak)***Rahayu Saraswati (Anggota Komisi VIII DPR RI dari Fraksi Gerindra)***Masinton Pasaribu (Anggota Komisi III DPR RI dari Fraksi PDIP)***Forum Masyarakat Peduli Parlemen Indonesia***Fraksi PKS</t>
  </si>
  <si>
    <t>0***0***0***0***0</t>
  </si>
  <si>
    <t>0***0***0***0***-1</t>
  </si>
  <si>
    <t>p-9762-su</t>
  </si>
  <si>
    <t>26/04/2019</t>
  </si>
  <si>
    <t>Sundar Pichai (CEO Google)***Melonie Parker (kepala pejabat keanekaragaman)</t>
  </si>
  <si>
    <t>p-9928-li</t>
  </si>
  <si>
    <t>p-10201-su</t>
  </si>
  <si>
    <t>Shivani Gupta***warganet</t>
  </si>
  <si>
    <t>2***0</t>
  </si>
  <si>
    <t>p-10944-ko</t>
  </si>
  <si>
    <t>31/05/2019</t>
  </si>
  <si>
    <t>Saif Ullah (Kepala Dewan Pendidikan Madrasah Bangladesh)***Maleka Banu (Ketua hak-hak perempuan Mahila Parishad)</t>
  </si>
  <si>
    <t>0***1</t>
  </si>
  <si>
    <t>p-10071-ko</t>
  </si>
  <si>
    <t>Mayor Jenderal Surawahadi (Panglima Kodam XIV/Hasanuddin Makassar)***Hasmida Karim (Direktur Aliansi Perempuan Sultra)***Letkol Fajar Lutfi Haris Wijaya (Dandim 1417 Kendari)***Kolonel CPM Andi Sukawati Hafid (Komandan Pomdam Hasanuddin Makassar)</t>
  </si>
  <si>
    <t>0***1***0***0</t>
  </si>
  <si>
    <t>p-10100-li</t>
  </si>
  <si>
    <t>p-10111-te</t>
  </si>
  <si>
    <t>Maidina Rahmawati (anggota Aliansi Nasional Reformasi KUHP)***Taufiqulhadi (anggota Komisi Hukum DPR)</t>
  </si>
  <si>
    <t>p-10142-su</t>
  </si>
  <si>
    <t>Ana (asisten Vanessa Angel)</t>
  </si>
  <si>
    <t>p-10151-tr</t>
  </si>
  <si>
    <t>Kompol Husni Ramli (Kasat Reskrim Polresta Pontianak)</t>
  </si>
  <si>
    <t>p-10178-ti</t>
  </si>
  <si>
    <t>p-10228-ko</t>
  </si>
  <si>
    <t>Divisi Detektif Khusus Provinsial dari Kepolisian Metropolitan Seoul***seorang sumber kepolisian</t>
  </si>
  <si>
    <t>p-10259-tr</t>
  </si>
  <si>
    <t>Ferry Paulus (CEO Persija Jakarta)***Ardhi Tjahjoko (manajer tim Persija)</t>
  </si>
  <si>
    <t>p-10365-de</t>
  </si>
  <si>
    <t>p-10448-cn</t>
  </si>
  <si>
    <t>14/05/2019</t>
  </si>
  <si>
    <t>Eva-Marie Persson (wakil direktur penuntutan publik kejaksaan Swedia)</t>
  </si>
  <si>
    <t>p-10454-ko</t>
  </si>
  <si>
    <t>Ahmad Dawami (Bupati Madiun)</t>
  </si>
  <si>
    <t>p-10679-tr</t>
  </si>
  <si>
    <t>21/05/2019</t>
  </si>
  <si>
    <t>Novan Andrianti (JPU)***Milano Lubis (kuasa hukum)</t>
  </si>
  <si>
    <t>p-10728-cn</t>
  </si>
  <si>
    <t>24/05/2019</t>
  </si>
  <si>
    <t>Dedek Prayudi (Juru Bicara PSI)***Ujang Komarudin (Pengamat Politik Universitas Al Azhar Indonesia)***Adi Prayitno (Pengamat Politik UIN Syarif Hidayatullah Jakarta)</t>
  </si>
  <si>
    <t>1***0***0</t>
  </si>
  <si>
    <t>p-10620-re</t>
  </si>
  <si>
    <t>20/05/2019</t>
  </si>
  <si>
    <t>AKBP Asfuri (Kapolres Makota)</t>
  </si>
  <si>
    <t>p-10428-te</t>
  </si>
  <si>
    <t>13/05/2019</t>
  </si>
  <si>
    <t>Eva-Marie Persson (Jaksa Penuntut)</t>
  </si>
  <si>
    <t>p-10640-de</t>
  </si>
  <si>
    <t>Korea Future Initiative</t>
  </si>
  <si>
    <t>p-11622-ok</t>
  </si>
  <si>
    <t>21/06/2019</t>
  </si>
  <si>
    <t>Ralph Jankus***Putra Christel</t>
  </si>
  <si>
    <t>p-11118-cn</t>
  </si>
  <si>
    <t>p-11169-ti</t>
  </si>
  <si>
    <t>p-11245-su</t>
  </si>
  <si>
    <t>Milano Lubis (kuasa hukum Vanessa Angel)</t>
  </si>
  <si>
    <t>p-11369-su</t>
  </si>
  <si>
    <t>15/06/2019</t>
  </si>
  <si>
    <t>Ipda Ferry Fadli (Kasubag Humas Polres Rokan Hulu)</t>
  </si>
  <si>
    <t>p-11374-ti</t>
  </si>
  <si>
    <t>Seorang karyawan di bar Itaewon***Hanbin***Bang Jeong-hyun (pengacara saksi)***warganet</t>
  </si>
  <si>
    <t>p-11617-li</t>
  </si>
  <si>
    <t>p-11348-cn</t>
  </si>
  <si>
    <t>USS (organisasi)***Regula Buhlmann (Sekretaris Konfederasi Serikat Buruh Swiss)</t>
  </si>
  <si>
    <t>p-11651-ok</t>
  </si>
  <si>
    <t>22/06/2019</t>
  </si>
  <si>
    <t>AKBP Bambang Suharyono (Kapolres Pinrang)</t>
  </si>
  <si>
    <t>p-11743-cn</t>
  </si>
  <si>
    <t>25/06/2019</t>
  </si>
  <si>
    <t>Rahma Hatem (murid perguruan silat KBRI)***Helmy Fauzy (Duta Besar RI untuk Mesir)</t>
  </si>
  <si>
    <t>p-11936-te</t>
  </si>
  <si>
    <t>28/06/2019</t>
  </si>
  <si>
    <t>Mo Salah (pemain sepakbola)***Timothy E Kaldes (warganet)</t>
  </si>
  <si>
    <t>p-12033-li</t>
  </si>
  <si>
    <t>Fairuz A. Rafiq (selebritas)***Galih Ginanjar (selebritas)***Hotman Paris (pengacara)***Ranny A. Rafiq</t>
  </si>
  <si>
    <t>2***0***0***0</t>
  </si>
  <si>
    <t>0***-1***0***0</t>
  </si>
  <si>
    <t>p-12313-ok</t>
  </si>
  <si>
    <t>Warganet***warganet***warganet</t>
  </si>
  <si>
    <t>-1***-1***0</t>
  </si>
  <si>
    <t>p-12380-tr</t>
  </si>
  <si>
    <t>Fernanda Colombo (wasit)</t>
  </si>
  <si>
    <t>p-12655-ko</t>
  </si>
  <si>
    <t>Kompol Supriyanto (Kapolsek Tanjung Priok)</t>
  </si>
  <si>
    <t>p-12683-re</t>
  </si>
  <si>
    <t>Joko Jumadi (pengacara Baiq Nuril)***Yasonna Laoly (Menteri Hukum dan HAM)***AKBP Purnama (Kabid Humas Polda NTB)</t>
  </si>
  <si>
    <t>p-12718-tr</t>
  </si>
  <si>
    <t>Kompol Djemmy Lalujan (Kapolsek Tomohon Tengah)</t>
  </si>
  <si>
    <t>p-12908-re</t>
  </si>
  <si>
    <t>Erasmus Napitupulu (kuasa hukum Baiq Nuril)***Jaleswari Pramodhawardhani (KSP Deputi V Bidang Politik, Hukum, Keamanan, dan Hak Asasi Manusia)***AKBP Purnomo (Kabid Humas Polda NTB)</t>
  </si>
  <si>
    <t>p-13383-li</t>
  </si>
  <si>
    <t>18/07/2019</t>
  </si>
  <si>
    <t>p-13825-ti</t>
  </si>
  <si>
    <t>24/07/2019</t>
  </si>
  <si>
    <t>Muslim Ayub (Anggota Komisi III DPR RI)</t>
  </si>
  <si>
    <t>p-14600-su</t>
  </si>
  <si>
    <t>Ruhiyat M. Tolib  (Kepala Seksi Intelijen dan Penindakan Keimigrasian Kantor Imigrasi Non-TPI Kelas 1 Jakarta Pusat)</t>
  </si>
  <si>
    <t>p-15108-tr</t>
  </si>
  <si>
    <t>18/08/2019</t>
  </si>
  <si>
    <t xml:space="preserve"> Kombes Pol Argo Yuwono (Kabid Humas Polda Metro Jaya)</t>
  </si>
  <si>
    <t>p-14947-su</t>
  </si>
  <si>
    <t>14/08/2019</t>
  </si>
  <si>
    <t xml:space="preserve"> PPA Polrestabes Surabaya</t>
  </si>
  <si>
    <t>p-15414-de</t>
  </si>
  <si>
    <t>25/08/2019</t>
  </si>
  <si>
    <t>Hasto Atmojo (Ketua LPSK)***Noor Sidharta (Sekjen LPSK)</t>
  </si>
  <si>
    <t>p-15494-li</t>
  </si>
  <si>
    <t>p-15562-tr</t>
  </si>
  <si>
    <t>26/08/2019</t>
  </si>
  <si>
    <t>Nugroho Wisnu (Kasi Intel Kejaksaan Negeri Kabupaten Mojokerto)***Reza Indragiri (Kepala Bidang Pemenuhan Hak Anak LPAI)***Anggara Suwahyu (Direktur Eksekutif ICJR)</t>
  </si>
  <si>
    <t>p-14476-de</t>
  </si>
  <si>
    <t>Kompol Ki Ide Bagus Tri (Wakapolres Tulungagung)***SL (tersangka)</t>
  </si>
  <si>
    <t>p-15624-ok</t>
  </si>
  <si>
    <t>27/08/2019</t>
  </si>
  <si>
    <t>Retno Listyarti (Wakil Ketua KPAI)</t>
  </si>
  <si>
    <t>p-15730-cn</t>
  </si>
  <si>
    <t>29/08/2019</t>
  </si>
  <si>
    <t>Tse Chun-chung (kepala kepolisian setempat)***Carrie Lam (pemimpin eksekutif Hong Kong)</t>
  </si>
  <si>
    <t>p-14663-ti</t>
  </si>
  <si>
    <t>AKP Muharram Wibisono (Kasat Reskrim Polres Tangerang Selatan)***akun @kabarbintaro (warganet)</t>
  </si>
  <si>
    <t>p-15961-cn</t>
  </si>
  <si>
    <t>Kombes Pol Edy Sumardi (Kabid Humas Polda Banten)</t>
  </si>
  <si>
    <t>p-15964-de</t>
  </si>
  <si>
    <t>Deddy Soedrajat (ayah Vanessa Angel)</t>
  </si>
  <si>
    <t>p-16005-tr</t>
  </si>
  <si>
    <t>Nikita Mirzani</t>
  </si>
  <si>
    <t>p-16069-te</t>
  </si>
  <si>
    <t>p-16088-de</t>
  </si>
  <si>
    <t>AKP Boby Rachman (Kasat Reskrim Polres Jeneponto)***Syafruddin Nurdin (Sekda Jeneponto, Sulsel)</t>
  </si>
  <si>
    <t>p-16117-li</t>
  </si>
  <si>
    <t>p-16157-de</t>
  </si>
  <si>
    <t>AKBP Andi Moch Dicky (Kapolres Bogor)</t>
  </si>
  <si>
    <t>p-16179-ti</t>
  </si>
  <si>
    <t>Abdul Fickar Hajar (Dosen Hukum Pidana Universitas Trisakti)***Taufiqulhadi (Anggota Panja RKUHP)</t>
  </si>
  <si>
    <t>p-16222-cn</t>
  </si>
  <si>
    <t>26/09/2019</t>
  </si>
  <si>
    <t>BLINKS (penggemar BLACKPINK)***akun @JENBEOMS (warganet)***akun @momoringmochine (warganet)***akun @Nini_de_Lili (warganet)</t>
  </si>
  <si>
    <t>p-16277-re</t>
  </si>
  <si>
    <t>Edwan Hadnansyah (Ketua IJTI Sangkuriang)***Sisilia (mahasiswa FISIP Unjani)***Rini Martini (Wakil Ketua DPRD Kota Cimahi)</t>
  </si>
  <si>
    <t>1***1***0</t>
  </si>
  <si>
    <t>p-16294-te</t>
  </si>
  <si>
    <t>Bambang Soesatyo (Ketua DPR RI)</t>
  </si>
  <si>
    <t>a-28-ok</t>
  </si>
  <si>
    <t>a-48-cn</t>
  </si>
  <si>
    <t>25/01/2019</t>
  </si>
  <si>
    <t>Yati Andriyani (Koordinator KontraS)</t>
  </si>
  <si>
    <t>a-68-su</t>
  </si>
  <si>
    <t>a-70-de</t>
  </si>
  <si>
    <t>a-72-de</t>
  </si>
  <si>
    <t>a-89-ok</t>
  </si>
  <si>
    <t>a-101-cn</t>
  </si>
  <si>
    <t>a-121-li</t>
  </si>
  <si>
    <t>21/02/2019</t>
  </si>
  <si>
    <t>Bonie Nugraha Permana (Ketua Presidium Majelis Luhur Kepercayaan Indonesia)***Harold Aron (Kepala Departemen Sipil Politik Lembaga Bantuan Hukum Bandung)</t>
  </si>
  <si>
    <t>a-151-li</t>
  </si>
  <si>
    <t>26/02/2019</t>
  </si>
  <si>
    <t>Jusuf Kalla (Wapres RI)***Prof. Zudan Arif Fakrulloh (Dirjen Dukcapil)</t>
  </si>
  <si>
    <t>a-173-ti</t>
  </si>
  <si>
    <t>27/02/2019</t>
  </si>
  <si>
    <t>Asep Setia (pengurus Majelis Luhur Kepercayaan Indonesia)</t>
  </si>
  <si>
    <t>a-186-ti</t>
  </si>
  <si>
    <t>a-185-su</t>
  </si>
  <si>
    <t>Kiai Haji Luthfi Bashori (alim Nahdlatul Ulama Jawa Timur)***KH Abdul Muqsith Ghozali (Wakil Ketua Lembaga Bahtsul Masail PBNU)</t>
  </si>
  <si>
    <t>a-187-de</t>
  </si>
  <si>
    <t>Tukiman (penghayat Sapta Dharma)***Heru Purwanto (Sekretaris Dinas Kependudukan dan Pencatatan Sipil)</t>
  </si>
  <si>
    <t>a-271-ok</t>
  </si>
  <si>
    <t>a-312-de</t>
  </si>
  <si>
    <t>a-318-ok</t>
  </si>
  <si>
    <t>a-335-ti</t>
  </si>
  <si>
    <t>a-345-ti</t>
  </si>
  <si>
    <t>a-372-te</t>
  </si>
  <si>
    <t>Dalyanto (tokoh masyarakat)***Ahmad Sudarmi  (Ketua Kelompok Kegiatan Dusun Karet)***Slamet Jumiarto (pelukis)***Ketua RT</t>
  </si>
  <si>
    <t>0***0***2***0</t>
  </si>
  <si>
    <t>-1***-1***1***-1</t>
  </si>
  <si>
    <t>a-420-de</t>
  </si>
  <si>
    <t>a-388-re</t>
  </si>
  <si>
    <t>H. Marzuki A.R. (Sekretaris BPN Prabowo-Sandi Provinsi Aceh)***Ronny Rezkita Siregar (ketua panitia peringatan Isra' Mi'raj Gerakan Muslimah Aliansi Nasional Anti Syiah)</t>
  </si>
  <si>
    <t>a-359-su</t>
  </si>
  <si>
    <t>Bambang Soesatyo (Ketua DPR)</t>
  </si>
  <si>
    <t>a-479-re</t>
  </si>
  <si>
    <t>Ali al-Ahmed (Seorang pembangkang Saudi)***Amnesty International***Kementerian Dalam Negeri Saudi</t>
  </si>
  <si>
    <t>a-484-ok</t>
  </si>
  <si>
    <t>a-490-tr</t>
  </si>
  <si>
    <t>a-505-ti</t>
  </si>
  <si>
    <t>29/04/2019</t>
  </si>
  <si>
    <t>Damien Kingsbury (profesor School of Humanities and Social Sciences Deakin University)***Tariq Ahmed</t>
  </si>
  <si>
    <t>a-532-ok</t>
  </si>
  <si>
    <t>a-549-li</t>
  </si>
  <si>
    <t>19/05/2019</t>
  </si>
  <si>
    <t>Najib Burhani (Wakil Ketua Majlis Pustakan dan Informasi PP Muhammadiyah)***Rumadi Ahmad (Ketua Lakpesdam PBNU)***Mubarak Ahmad Kamil (Ketua Umum Pemuda Ahmadiyah)</t>
  </si>
  <si>
    <t>1***1***1</t>
  </si>
  <si>
    <t>a-538-ok</t>
  </si>
  <si>
    <t>15/05/2019</t>
  </si>
  <si>
    <t>Farid Zainal Effendi (penulis)***Ustadz Rizki Nugroho (pengajar Pondok Pesantren Modern Nuruh Hijrah)***Ustad Asroni Al Paroya (Ketua Forum Komunikasi Dai Muda Indonesia untuk Jakarta Timur)</t>
  </si>
  <si>
    <t>a-542-ti</t>
  </si>
  <si>
    <t>a-548-re</t>
  </si>
  <si>
    <t>a-555-tr</t>
  </si>
  <si>
    <t>a-560-te</t>
  </si>
  <si>
    <t>a-567-su</t>
  </si>
  <si>
    <t>a-522-re</t>
  </si>
  <si>
    <t>Pengadilan Australia</t>
  </si>
  <si>
    <t>a-604-su</t>
  </si>
  <si>
    <t>30/05/2019</t>
  </si>
  <si>
    <t xml:space="preserve"> Syekh Adil Al Kalbani (Mantan Imam Masjidil Haram Mekah)</t>
  </si>
  <si>
    <t>a-605-de</t>
  </si>
  <si>
    <t>a-606-tr</t>
  </si>
  <si>
    <t>Sinta Nuriyah (istri alm. Gus Dur)***hadirin***Taufik Al Amin (Ketua Panitia Sahur Bareng)</t>
  </si>
  <si>
    <t>1***0***-1</t>
  </si>
  <si>
    <t>a-622-ok</t>
  </si>
  <si>
    <t>a-623-su</t>
  </si>
  <si>
    <t>a-649-re</t>
  </si>
  <si>
    <t>a-657-ko</t>
  </si>
  <si>
    <t>18/06/2019</t>
  </si>
  <si>
    <t>Syafii (Bakesbangpoldagri NTB)</t>
  </si>
  <si>
    <t>a-658-li</t>
  </si>
  <si>
    <t>a-663-re</t>
  </si>
  <si>
    <t>a-666-ok</t>
  </si>
  <si>
    <t>a-651-te</t>
  </si>
  <si>
    <t>17/06/2019</t>
  </si>
  <si>
    <t>New York Times***Ali Adubisi (Direktur European Saudi Organization for Human Rights)</t>
  </si>
  <si>
    <t>a-609-de</t>
  </si>
  <si>
    <t>Dermawan</t>
  </si>
  <si>
    <t>a-686-re</t>
  </si>
  <si>
    <t>a-704-re</t>
  </si>
  <si>
    <t>a-709-re</t>
  </si>
  <si>
    <t>a-712-li</t>
  </si>
  <si>
    <t>a-726-li</t>
  </si>
  <si>
    <t>a-737-cn</t>
  </si>
  <si>
    <t>a-743-cn</t>
  </si>
  <si>
    <t>23/07/2019</t>
  </si>
  <si>
    <t>Arief Hidayat (Ketua Majelis Hakim MK)</t>
  </si>
  <si>
    <t>a-746-ko</t>
  </si>
  <si>
    <t>a-752-cn</t>
  </si>
  <si>
    <t>a-768-tr</t>
  </si>
  <si>
    <t>a-793-li</t>
  </si>
  <si>
    <t>a-795-su</t>
  </si>
  <si>
    <t>a-796-li</t>
  </si>
  <si>
    <t>a-803-ko</t>
  </si>
  <si>
    <t>Christiyati Ariyani (Direktur Kepercayaan Terhadap Tuhan YME dan Tradisi)***Ririn Rinata (penghayat kepercayaan organisasi Jowo Luku perwakilan Malang)</t>
  </si>
  <si>
    <t>a-813-ti</t>
  </si>
  <si>
    <t>a-840-te</t>
  </si>
  <si>
    <t>a-818-cn</t>
  </si>
  <si>
    <t>Romo Aloysius Budi Purnomo (aktivis Persaudaraan Lintas Agama)***Bambang Permadi (penghayat kepercayaan Trijaya)</t>
  </si>
  <si>
    <t>a-853-li</t>
  </si>
  <si>
    <t>a-882-re</t>
  </si>
  <si>
    <t>a-893-re</t>
  </si>
  <si>
    <t>d-957-te</t>
  </si>
  <si>
    <t>13/01/2019</t>
  </si>
  <si>
    <t>Pekerja JPO***akun @chandraals***akun @reeko1995</t>
  </si>
  <si>
    <t>0***-1***-1</t>
  </si>
  <si>
    <t>d-435-de</t>
  </si>
  <si>
    <t>d-802-ok</t>
  </si>
  <si>
    <t>Ganjar Pranowo (Gubernur Jawa Tengah)***Carisa</t>
  </si>
  <si>
    <t>d-833-ti</t>
  </si>
  <si>
    <t>d-1234-su</t>
  </si>
  <si>
    <t>16/01/2019</t>
  </si>
  <si>
    <t>Deidre (ibu Kate Grant)***warganet</t>
  </si>
  <si>
    <r>
      <t xml:space="preserve">model </t>
    </r>
    <r>
      <rPr>
        <i/>
      </rPr>
      <t xml:space="preserve">down </t>
    </r>
    <r>
      <t>s</t>
    </r>
    <r>
      <rPr>
        <i/>
      </rPr>
      <t>yndrome</t>
    </r>
  </si>
  <si>
    <t>d-744-cn</t>
  </si>
  <si>
    <t>Komisaris Imam Rifai (Kepala Satuan Reserse dan Kriminal Polres Jakarta Utara)***Komisaris Masudi Widodo (Kapolsek Bogor Timur)</t>
  </si>
  <si>
    <t>d-1513-ok</t>
  </si>
  <si>
    <t>d-1809-ti</t>
  </si>
  <si>
    <t>d-1838-li</t>
  </si>
  <si>
    <t>d-2170-li</t>
  </si>
  <si>
    <t>30/01/2019</t>
  </si>
  <si>
    <t>Shane***Hannah***warganet</t>
  </si>
  <si>
    <t>d-3704-cn</t>
  </si>
  <si>
    <t>24/02/2019</t>
  </si>
  <si>
    <t>Alfred Sitorus (Presiden Koalisi Pejalan Kaki)***petugas keamanan</t>
  </si>
  <si>
    <t>d-2865-li</t>
  </si>
  <si>
    <t>Dokter</t>
  </si>
  <si>
    <t>Buta permanen***buta***mata sehat</t>
  </si>
  <si>
    <t>d-2500-ko</t>
  </si>
  <si>
    <t>d-3415-te</t>
  </si>
  <si>
    <t>19/02/2019</t>
  </si>
  <si>
    <t>Ganjar Pranowo (Gubernur Jawa Tengah)</t>
  </si>
  <si>
    <t>Orang sakit jiwa</t>
  </si>
  <si>
    <t>d-2909-ti</t>
  </si>
  <si>
    <t>d-3021-li</t>
  </si>
  <si>
    <t>Anne Avantie (Desainer dan pendiri WIsma Kasih Hydrocephalus)***Irwan Hidayat (Direktur PT Berlico Farma)</t>
  </si>
  <si>
    <t>d-3748-tr</t>
  </si>
  <si>
    <t>AKBP Hesmu Baroto (Kapolres Tanggamus)</t>
  </si>
  <si>
    <t>Keterbelakangan mental</t>
  </si>
  <si>
    <t>d-3396-li</t>
  </si>
  <si>
    <t>Sonny Giroux (Ayah Benjamin Giroux)</t>
  </si>
  <si>
    <t>Penderita autis***penderita autis***penderita autis</t>
  </si>
  <si>
    <t>d-3433-de</t>
  </si>
  <si>
    <t>20/02/2019</t>
  </si>
  <si>
    <t>dr Dewi Prisca Sembiring (Kepala Unit Pelayanan Fungsional Jiwa RSD dr Koesnadi)***penderita gangguan mental</t>
  </si>
  <si>
    <t>Gangguan mental***gangguan mental***gangguan mental***mantan penderita***mantan penderita</t>
  </si>
  <si>
    <t>d-3498-ti</t>
  </si>
  <si>
    <t>d-2695-ko</t>
  </si>
  <si>
    <t>Marullah Matali
(Wali Kota Jakarta Selatan)***Mahfud Fasa (Ketua Perkumpulan Penyandang Disabilitas Fisik Indonesia untuk DKI Jakarta)</t>
  </si>
  <si>
    <t>d-3797-su</t>
  </si>
  <si>
    <t>25/02/2019</t>
  </si>
  <si>
    <t>AKP Edi Qorinas (Kasat Reskrim Polres Tanggamus)***Ipda Primadona Laila (Kanit Perlindungan Perempuan dan Anak Satreskrim Polres Tanggamus)</t>
  </si>
  <si>
    <t>d-3881-su</t>
  </si>
  <si>
    <t>Kurniawi (Kasat Reskrim Polres OKU Selatan AKP)</t>
  </si>
  <si>
    <t>Gangguan jiwa</t>
  </si>
  <si>
    <t>d-3903-cn</t>
  </si>
  <si>
    <t>Inspektur Satu Herry Sulistyo (Kapolsek Pulau Beringin)</t>
  </si>
  <si>
    <t>d-5234-ko</t>
  </si>
  <si>
    <t>Kompol Nurdin A Rahman (Kapolsek Kramat Jati)</t>
  </si>
  <si>
    <t>d-6095-li</t>
  </si>
  <si>
    <t>25/03/2019</t>
  </si>
  <si>
    <t xml:space="preserve"> Dea Valencia (pendiri Batik Kultur)</t>
  </si>
  <si>
    <t>d-5676-ok</t>
  </si>
  <si>
    <t>20/03/2019</t>
  </si>
  <si>
    <t>Aiman Mopangga (warga Kelurahan Calaca Lingkungan III, Kecamatan Wenang)*** Iptu Tomi Oroh (Kasubag Humas Polresta Manado)</t>
  </si>
  <si>
    <t>d-4564-li</t>
  </si>
  <si>
    <t>d-4859-ti</t>
  </si>
  <si>
    <t>d-5079-ko</t>
  </si>
  <si>
    <t>AKP Indra T Herlambang (Kasat Reskrim Polres Lhokseumawe)</t>
  </si>
  <si>
    <t>Menderita keterbelakangan mental</t>
  </si>
  <si>
    <t>d-5325-ko</t>
  </si>
  <si>
    <t>Cheta Prasetyaningrum</t>
  </si>
  <si>
    <t>d-5385-ko</t>
  </si>
  <si>
    <t>d-4232-ti</t>
  </si>
  <si>
    <t>WHO***Hably Warganegara (dokter spesialis Telinga, Hidung, Tenggorok, Bedah Kepala, dan Leher RSPI)</t>
  </si>
  <si>
    <t>Penderita gangguan pendengaran***menderita gangguan pendengaran***menderita gangguan pendengaran</t>
  </si>
  <si>
    <t>d-5534-cn</t>
  </si>
  <si>
    <t>19/03/2019</t>
  </si>
  <si>
    <t>d-5916-te</t>
  </si>
  <si>
    <t>22/03/2019</t>
  </si>
  <si>
    <t>d-5427-te</t>
  </si>
  <si>
    <t>Prabowo (Capres RI nomor urut 02)</t>
  </si>
  <si>
    <t>d-6291-su</t>
  </si>
  <si>
    <t>27/03/2019</t>
  </si>
  <si>
    <t>d-5723-tr</t>
  </si>
  <si>
    <t>Agung Darwis Suriatmadja (Direktur Utama RSUD Bayu Asih Purwakarta)***Asep Kurniawan (Caleg Dapil Purwakarta IV Partai Gerindra)</t>
  </si>
  <si>
    <t>gangguan jiwa***gangguan jiwa***gangguan jiwa***gangguan jiwa</t>
  </si>
  <si>
    <t>d-6349-li</t>
  </si>
  <si>
    <t>28/03/2019</t>
  </si>
  <si>
    <t>d-6501-tr</t>
  </si>
  <si>
    <t>29/03/2019</t>
  </si>
  <si>
    <t>d-6693-ti</t>
  </si>
  <si>
    <t>d-7024-de</t>
  </si>
  <si>
    <t>d-7164-su</t>
  </si>
  <si>
    <t>Xu Bingyang***warganet</t>
  </si>
  <si>
    <t>Cacat</t>
  </si>
  <si>
    <t>d-7170-te</t>
  </si>
  <si>
    <t>Hari Nugroho (Kepala Dinas Bina Marga DKI Jakarta)</t>
  </si>
  <si>
    <t>d-7399-ko</t>
  </si>
  <si>
    <t>Ismayadi***Faraby Martha (SPBK Perhimpunan Dokter Spesialis Mata Indonesia)***Irwan Hidayat (Direktur Sido Muncul)</t>
  </si>
  <si>
    <t>0***0***-1</t>
  </si>
  <si>
    <t>d-7787-te</t>
  </si>
  <si>
    <t>14/04/2019</t>
  </si>
  <si>
    <t>Kathy Lette (penulis komedi)***jaksa Swedia</t>
  </si>
  <si>
    <t>d-8976-li</t>
  </si>
  <si>
    <t>Pengidap autisme***mengidap autisme</t>
  </si>
  <si>
    <t>d-8778-tr</t>
  </si>
  <si>
    <t>25/04/2019</t>
  </si>
  <si>
    <t>dr. Fidiansjah (Direktur Jenderal Pencegahan dan Pengendalian Masalah Kesehatan Jiwa dan Napza, Kementerian Kesehatan RI)</t>
  </si>
  <si>
    <t>Gangguan kejiwaan</t>
  </si>
  <si>
    <t>d-8283-tr</t>
  </si>
  <si>
    <t>19/04/2019</t>
  </si>
  <si>
    <t>Mbah Jirah***Suliyono (relawan)</t>
  </si>
  <si>
    <t>Penderita jiwa pemakan jari tangan</t>
  </si>
  <si>
    <t>d-8375-li</t>
  </si>
  <si>
    <t>21/04/2019</t>
  </si>
  <si>
    <t>d-8400-su</t>
  </si>
  <si>
    <t>d-8470-ok</t>
  </si>
  <si>
    <t>Mitsuhiro Iwamoto (pelaut)</t>
  </si>
  <si>
    <t>d-8688-su</t>
  </si>
  <si>
    <t>Saka Rosanta***dr I Gusti Rai Wiguna (pendiri Rumah Berdaya)</t>
  </si>
  <si>
    <t>Pengidap gangguan jiwa</t>
  </si>
  <si>
    <t>d-8166-de</t>
  </si>
  <si>
    <t>18/04/2019</t>
  </si>
  <si>
    <t>Irmansyah (Kepala Dinas Sosial DKI Jakarta)***pendamping warga binaan</t>
  </si>
  <si>
    <t>d-8760-re</t>
  </si>
  <si>
    <t>d-6980-su</t>
  </si>
  <si>
    <t>Sudirman (Staf Ahli Menteri Bidang Sosial Budaya dan Peran Masyarakat)</t>
  </si>
  <si>
    <t>d-8771-te</t>
  </si>
  <si>
    <t>d-9247-re</t>
  </si>
  <si>
    <t>Alvin Andronicus (pengurus Yayasan Agung Podomoro Land)</t>
  </si>
  <si>
    <t>d-9415-re</t>
  </si>
  <si>
    <t>d-9526-li</t>
  </si>
  <si>
    <t>d-9547-re</t>
  </si>
  <si>
    <t>d-9792-li</t>
  </si>
  <si>
    <t>Akun twitter  @HergunYeniBilg</t>
  </si>
  <si>
    <t>Seperti manusia normal</t>
  </si>
  <si>
    <t>d-9880-tr</t>
  </si>
  <si>
    <t>Azizah (warga Griya Limbah RT 015, RW 024)***Kompol Deddy Kurniawan (Kasatreskrim Polresta Depok)***Ibu Joko (warga)</t>
  </si>
  <si>
    <t>Mengidap gangguan jiwa</t>
  </si>
  <si>
    <t>d-10099-tr</t>
  </si>
  <si>
    <t>d-10267-te</t>
  </si>
  <si>
    <t>22/05/2019</t>
  </si>
  <si>
    <t>d-10284-cn</t>
  </si>
  <si>
    <t>23/05/2019</t>
  </si>
  <si>
    <t>i-1850-ok</t>
  </si>
  <si>
    <t>Akshay Kumar (aktor Bollywood)***Raghava Lawrence (sutradara)</t>
  </si>
  <si>
    <t>d-10765-ti</t>
  </si>
  <si>
    <t>d-11070-cn</t>
  </si>
  <si>
    <t>AKBP Edy Sumardi Priadinata (Kabid Humas Polda Banten)</t>
  </si>
  <si>
    <t>d-11218-ko</t>
  </si>
  <si>
    <t>Komisaris Besar Indra Jafar (Kapolres Metro Jakarta Selatan)</t>
  </si>
  <si>
    <t>Mengalami gangguan jiwa***mengidap gangguan kejiwaan</t>
  </si>
  <si>
    <t>d-11263-de</t>
  </si>
  <si>
    <t>d-11606-re</t>
  </si>
  <si>
    <t>d-11610-su</t>
  </si>
  <si>
    <t>d-11623-ti</t>
  </si>
  <si>
    <t>d-11636-tr</t>
  </si>
  <si>
    <t>d-11250-su</t>
  </si>
  <si>
    <t>Tim Autism Research Center Universitas Cambridge</t>
  </si>
  <si>
    <t>d-11798-su</t>
  </si>
  <si>
    <t>19/06/2019</t>
  </si>
  <si>
    <t>Iptu Prayitno (Kapolsek Jenggawah)</t>
  </si>
  <si>
    <t>d-11959-re</t>
  </si>
  <si>
    <t>d-11979-tr</t>
  </si>
  <si>
    <t>d-11106-re</t>
  </si>
  <si>
    <t>AKBP Indra Lutrianto Amstono (Kapolres Pandelang)</t>
  </si>
  <si>
    <t>d-12066-su</t>
  </si>
  <si>
    <t>d-12177-cn</t>
  </si>
  <si>
    <t>d-12351-ko</t>
  </si>
  <si>
    <t>27/06/2019</t>
  </si>
  <si>
    <t>d-12403-tr</t>
  </si>
  <si>
    <t>AKP Haryanto (Kasatreskrim Polres Sanggau)***Tri H. (tetangga pelaku)</t>
  </si>
  <si>
    <t>d-12484-ti</t>
  </si>
  <si>
    <t>d-12564-te</t>
  </si>
  <si>
    <t>30/06/2019</t>
  </si>
  <si>
    <t>d-12655-te</t>
  </si>
  <si>
    <t>Komisaris Besar Haryanto (Wakil Kepala Rumah Sakit Polri Kramatjati)***Syafruddin (Ketua Harian Dewan Masjid Indonesia)</t>
  </si>
  <si>
    <t>Memeriksa kejiwaan</t>
  </si>
  <si>
    <t>d-12754-ko</t>
  </si>
  <si>
    <t>Shinzo Abe (Perdana Menteri Jepang)***Hirotada Ototake (penulis)***warganet***Yukio Edano (pemimpin Partai Demokrasi Konstitusional Jepang)***Yuichiro Tamaki (kepala Partai Demokrat untuk Rakyat)</t>
  </si>
  <si>
    <t>0***2***0***0***0</t>
  </si>
  <si>
    <t>-1***1***0***1***0</t>
  </si>
  <si>
    <t>d-13005-tr</t>
  </si>
  <si>
    <t>Brigjen Musyafak (Kepala Rumah Sakit Polri Kramat Jati)***AKBP Andi M. Dicky (Kapolres Bogor)***Henny Riana (Psikiater RS Polri Kramat Jati)***Jusuf Kalla (Ketua Umum Dewan Masjid Indonesia)</t>
  </si>
  <si>
    <t>0***0***0***-1</t>
  </si>
  <si>
    <t>Gangguan jiwa***menangani kejiwaan</t>
  </si>
  <si>
    <t>d-13030-ko</t>
  </si>
  <si>
    <t>d-13153-ok</t>
  </si>
  <si>
    <t>d-13646-ti</t>
  </si>
  <si>
    <t>Brigjen Pol Dedi Prasetyo (Karopenmas Mabes Polri)</t>
  </si>
  <si>
    <t>Mengalami gangguan jiwa</t>
  </si>
  <si>
    <t>d-13243-ok</t>
  </si>
  <si>
    <t>d-13174-tr</t>
  </si>
  <si>
    <t xml:space="preserve"> Handojo G. Kusuma (Presiden Direktur AXA Mandiri)
</t>
  </si>
  <si>
    <t>d-14269-de</t>
  </si>
  <si>
    <t>22/07/2019</t>
  </si>
  <si>
    <t>Wendra Rona Putra (Direktur LBH Padang)</t>
  </si>
  <si>
    <t>d-13666-li</t>
  </si>
  <si>
    <t>13/07/2019</t>
  </si>
  <si>
    <t xml:space="preserve">Hasanudin (kakak kandung pelaku)***Deri Sukandi (Ketua RT) </t>
  </si>
  <si>
    <t>Mengidap gangguan kejiwaan***mengalami sakit jiwa***mengalami gangguan kejiwaan</t>
  </si>
  <si>
    <t>d-15409-ok</t>
  </si>
  <si>
    <t>d-16812-ko</t>
  </si>
  <si>
    <t>Nur***Mayra (koordinator Movement Diveable)</t>
  </si>
  <si>
    <t>2***1</t>
  </si>
  <si>
    <t>d-16963-cn</t>
  </si>
  <si>
    <t>Komisaris Besar Agus Triatmaja (Kepala Bidang Humas Polda Jawa Tengah)</t>
  </si>
  <si>
    <t>Mengalami gangguan kejiwaan</t>
  </si>
  <si>
    <t>d-16259-cn</t>
  </si>
  <si>
    <t>17/08/2019</t>
  </si>
  <si>
    <t>d-15937-li</t>
  </si>
  <si>
    <t>Akun Abu Fathiyyaturahma Menk AbdunMujtahid***warganet***warganet***warganet</t>
  </si>
  <si>
    <t>1***0***0***0</t>
  </si>
  <si>
    <t>Memiliki keterbatasan fisik</t>
  </si>
  <si>
    <t>d-15323-su</t>
  </si>
  <si>
    <t>Warganet***Garda Bagus Damastra (warganet)***Handik Putra (warganet)</t>
  </si>
  <si>
    <t>-1***0***0</t>
  </si>
  <si>
    <t>d-16621-de</t>
  </si>
  <si>
    <t>23/08/2019</t>
  </si>
  <si>
    <t>Dian Sastro (selebritas)</t>
  </si>
  <si>
    <t>Gangguan perkembangan autisme***layaknya anak normal</t>
  </si>
  <si>
    <t>d-16640-ko</t>
  </si>
  <si>
    <t>Mengidap autisme</t>
  </si>
  <si>
    <t>d-16728-li</t>
  </si>
  <si>
    <t>d-16953-ti</t>
  </si>
  <si>
    <t>d-17201-ti</t>
  </si>
  <si>
    <t>d-17392-ko</t>
  </si>
  <si>
    <t>Dzikran Kurniawan (Kepala Unit Fasilitasi Pemilikan Rumah Sejahtera DKI Jakarta)***Wahyu (petugas PD Sarana Jaya)</t>
  </si>
  <si>
    <t>d-17529-ko</t>
  </si>
  <si>
    <t>Amril Muhammad (pengajar)***Boy Rahardjo Sidharta (orangtua)***Patricia Lestari Taslim (orangtua)</t>
  </si>
  <si>
    <t>abnormal</t>
  </si>
  <si>
    <t>d-17539-su</t>
  </si>
  <si>
    <t>d-17641-tr</t>
  </si>
  <si>
    <t>d-17663-ok</t>
  </si>
  <si>
    <t>28/09/2019</t>
  </si>
  <si>
    <t>i-230-li</t>
  </si>
  <si>
    <t>24/01/2019</t>
  </si>
  <si>
    <t>Donald Trump (Presiden AS)***Jim Mattis (Sekretaris Departemen Pertahanan)</t>
  </si>
  <si>
    <t>-1***-1</t>
  </si>
  <si>
    <t>i-58-cn</t>
  </si>
  <si>
    <t>Blued (aplikasi kencan)</t>
  </si>
  <si>
    <t>i-133-su</t>
  </si>
  <si>
    <t>14/01/2019</t>
  </si>
  <si>
    <t>Mayu Otaki</t>
  </si>
  <si>
    <t>i-97-ti</t>
  </si>
  <si>
    <t>Beth Jones (psikolog dari Nottingham Trent University)***Joanna Harper (ahli medis asal AS)</t>
  </si>
  <si>
    <t>i-126-tr</t>
  </si>
  <si>
    <t>Laxmi Narayan Tripathi (kepala jemaat Kinnar Akhara)***Akharv (anggota Kinnar Akhara)***Vidyanand Saraswati (juru bicara Juna Akhara)***Atmananda Maharaj (imam kuil)***Abhay Shukla (warga Allahabad)***Bhawani Ma (anggota Kinnar Akhara)</t>
  </si>
  <si>
    <t>2***2***2***0***0***2</t>
  </si>
  <si>
    <t>1***1***1***1***1***1</t>
  </si>
  <si>
    <t>i-174-ti</t>
  </si>
  <si>
    <t>18/01/2019</t>
  </si>
  <si>
    <t>Rainbow Girl (youtuber)***Maya Allen (jurnalis)***Laura Jackson (mahasiswi)***Anneke Smelik (penulis)***Gilber Baker (seniman)</t>
  </si>
  <si>
    <t>1***1***1***1***1</t>
  </si>
  <si>
    <t>i-183-tr</t>
  </si>
  <si>
    <t>19/01/2019</t>
  </si>
  <si>
    <t>Miriam</t>
  </si>
  <si>
    <t>i-213-ti</t>
  </si>
  <si>
    <t>i-86-su</t>
  </si>
  <si>
    <t>Elizabeth Morgan (profesor ilmu psikologi)</t>
  </si>
  <si>
    <t>i-260-ti</t>
  </si>
  <si>
    <t>27/01/2019</t>
  </si>
  <si>
    <t>Mazim Lapunov (korban kekerasan)***Alvi Karimov (jubir pemimpin Chechnya)***Ramzan Kaydrov (pemimpin Chechnya)***Alvi Karimov (narasumber Olga Prosvirova)***Marko (narasumber Olga Prosvirova)</t>
  </si>
  <si>
    <t>1***0***0***1***1</t>
  </si>
  <si>
    <t>1***-1***-1***1***1</t>
  </si>
  <si>
    <t>i-308-de</t>
  </si>
  <si>
    <t>Rian Ernest (Wakil Ketua DPW PSI)***Anthony Winza (Ketua Hukum DPW PSI)</t>
  </si>
  <si>
    <t>i-311-ko</t>
  </si>
  <si>
    <t>Rian Ernest (Wakil Ketua DPW PSI)***Puadi (Komisioner Bawaslu DKI)</t>
  </si>
  <si>
    <t>i-347-ko</t>
  </si>
  <si>
    <t>i-506-su</t>
  </si>
  <si>
    <t>-1***-1***-1</t>
  </si>
  <si>
    <t>i-652-ko</t>
  </si>
  <si>
    <t>i-613-ko</t>
  </si>
  <si>
    <t>18/02/2019</t>
  </si>
  <si>
    <t>Andi (keponakan korban)***Kompol Masnoni (Kapolsek Ilir Barat 1 Palembang)</t>
  </si>
  <si>
    <t>i-383-tr</t>
  </si>
  <si>
    <t>Kombes Pol Dicky Sondani (Kabid Humas Polda Sulsel)</t>
  </si>
  <si>
    <t>i-712-ok</t>
  </si>
  <si>
    <t>i-721-tr</t>
  </si>
  <si>
    <t>Fadli Zon (Anggota Dewan Pengarah BPN Prabowo-Sandi)***Kombes Trunoyudo Wisnu Andiko (Kabid Humas Polda Jabar)</t>
  </si>
  <si>
    <t>i-808-te</t>
  </si>
  <si>
    <t>Ace Hasan Syadzily (jubir TKN Jokowi-Ma'ruf)</t>
  </si>
  <si>
    <t>i-830-re</t>
  </si>
  <si>
    <t>Jair Bolsonaro (presiden Brasil)</t>
  </si>
  <si>
    <t>i-876-su</t>
  </si>
  <si>
    <t>i-1015-ti</t>
  </si>
  <si>
    <t>Human Rights Watch***seorang pria transgender***Kanae Doi dan Kyle Knight (anggota Human Rights Watch)</t>
  </si>
  <si>
    <t>i-1033-re</t>
  </si>
  <si>
    <t>24/03/2019</t>
  </si>
  <si>
    <t>Rosmayati (Wakil Rektor I USU)***Humas USU***Widiya Hastuti (pemimpin redaksi Suara USU)</t>
  </si>
  <si>
    <t>-1***-1***1</t>
  </si>
  <si>
    <t>pengidap LGBT</t>
  </si>
  <si>
    <t>i-1041-re</t>
  </si>
  <si>
    <t>i-1076-li</t>
  </si>
  <si>
    <t>i-1089-tr</t>
  </si>
  <si>
    <t>i-958-de</t>
  </si>
  <si>
    <t>Bambang Soesatyo (Ketua DPR RI)***Tengku Zulkarnain***Ace Hasan Syadzily (juru bicara TKN)</t>
  </si>
  <si>
    <t>Perzinaan sejenis</t>
  </si>
  <si>
    <t>i-1114-ko</t>
  </si>
  <si>
    <t>George Clooney (aktor Hollywood)</t>
  </si>
  <si>
    <t>kaum gay</t>
  </si>
  <si>
    <t>i-1129-cn</t>
  </si>
  <si>
    <t>Rhoma Irama (pedangdut)***Imam Nahei (Komisioner Komnas Perempuan)</t>
  </si>
  <si>
    <t>i-1202-cn</t>
  </si>
  <si>
    <t>Akun twitter @Alexandervtweet***akun twitter @astroehlein***akun twitter @TieTheKnotOrg***akun twitter @AkHafizz***akun twitter @filzah_ija</t>
  </si>
  <si>
    <t>1***1***1***-1***-1</t>
  </si>
  <si>
    <t>kaum LGBT</t>
  </si>
  <si>
    <t>i-1238-de</t>
  </si>
  <si>
    <t>Teungku Faisal Ali (Wakil Ketua MPU Aceh)***Hadiyati Binti Abdul Hadi (jaksa syariah Brunei)</t>
  </si>
  <si>
    <t>Berhubungan sejenis</t>
  </si>
  <si>
    <t>i-1254-li</t>
  </si>
  <si>
    <t>Hidayat Nur Wahid (Wakil Ketua MPR)</t>
  </si>
  <si>
    <t>i-1342-cn</t>
  </si>
  <si>
    <t>i-1293-ko</t>
  </si>
  <si>
    <t>Sultan Hassanal Bolkiah</t>
  </si>
  <si>
    <t>Pelaku LGBT</t>
  </si>
  <si>
    <t>i-1439-ko</t>
  </si>
  <si>
    <t>i-1444-su</t>
  </si>
  <si>
    <t>13/04/2019</t>
  </si>
  <si>
    <t>Erywan Yusof (Menteri kedua Urusan Luar Negeri Brunei)***Antonio Guteres (Sekretaris Jenderal PBB)</t>
  </si>
  <si>
    <t>i-1534-ko</t>
  </si>
  <si>
    <t>i-1572-de</t>
  </si>
  <si>
    <t>Brunei Darussalam***Barbara Lochbihler (anggota parlemen Uni Eropa)***Federica Mogherini (anggota parlemen Uni Eropa)</t>
  </si>
  <si>
    <t>-1***1***1</t>
  </si>
  <si>
    <t>i-1399-ti</t>
  </si>
  <si>
    <t>Matthew Woolfe (aktivis The Brunei Project)***Jeff Allen (juru bicara Pangeran Azim)***Gus Kenworthy (atlet ski gay)***Caitlyn Jenner (aktivis transgender)***Bridget Welsh (profesor ilmu politik John Cabot University)***Mariah Carey</t>
  </si>
  <si>
    <t>0***0***2***2***0***0</t>
  </si>
  <si>
    <t>1***0***1***1***0***1</t>
  </si>
  <si>
    <t>i-1653-tr</t>
  </si>
  <si>
    <t>Viza Julian (pengamat sosial Universitas Tanjungpura)</t>
  </si>
  <si>
    <t>i-1883-ok</t>
  </si>
  <si>
    <t xml:space="preserve"> Layla Moran (Anggota parlemen Oxford)*** Hassanal Bolkiah (Sultan Brunei)</t>
  </si>
  <si>
    <t>1***-1</t>
  </si>
  <si>
    <t>i-1687-re</t>
  </si>
  <si>
    <t>i-1690-re</t>
  </si>
  <si>
    <t>i-1696-li</t>
  </si>
  <si>
    <t>Sultan Hassanal Bolkiah (Sultan Brunei)</t>
  </si>
  <si>
    <t>i-1699-re</t>
  </si>
  <si>
    <t>Hassanal Bolkiah (Sultan Brunei Darussalam)***Renate Kunast (Mantan menteri kabinet Jerman)***Tom Knight (Kolumnis Gay Times Magazine)***Kantor sultan</t>
  </si>
  <si>
    <t>-1***0***1***0</t>
  </si>
  <si>
    <t>i-1708-li</t>
  </si>
  <si>
    <t>i-1712-te</t>
  </si>
  <si>
    <t>i-1714-de</t>
  </si>
  <si>
    <t>i-1731-ti</t>
  </si>
  <si>
    <t>i-1811-tr</t>
  </si>
  <si>
    <t>17/05/2019</t>
  </si>
  <si>
    <t>Ghufron Falfeli (Kabid Ketertiban Umum dan Ketentraman Masyarakat Satpol PP Kota Tangerang)</t>
  </si>
  <si>
    <t>Wanita jadi-jadian***wanita jadi-jadian</t>
  </si>
  <si>
    <t>i-1853-su</t>
  </si>
  <si>
    <t>Warganet***akun @dewii_shiinta (warganet)***akun @minnieohany (warganet)***akun @bdgcollectionbdg (warganet)***akun @imei_21(warganet)</t>
  </si>
  <si>
    <t>-1***-1***-1***-1***-1</t>
  </si>
  <si>
    <t>i-1817-de</t>
  </si>
  <si>
    <t>i-1825-de</t>
  </si>
  <si>
    <t>Irjen Pol Rycko Amelza Dahniel (Kapolda Jateng)</t>
  </si>
  <si>
    <t>penyimpangan seks</t>
  </si>
  <si>
    <t>i-1839-ti</t>
  </si>
  <si>
    <t>Maruf Bajammal (pengacara Brigadir TPP)</t>
  </si>
  <si>
    <t>i-1863-li</t>
  </si>
  <si>
    <t>Leo Varadkar (Menteri Kesehatan Irlandia)***Aodhán Ó Ríordáin (Menteri Kesetaraan Irlandia)*** Eamon Martin (Uskup Agung)***Pietro Parolin (Kardinal)</t>
  </si>
  <si>
    <t>1***1***-1***-1</t>
  </si>
  <si>
    <t>i-1916-re</t>
  </si>
  <si>
    <t>i-1715-re</t>
  </si>
  <si>
    <t>Mahyeldi Ansharullah (Wali Kota Padang)</t>
  </si>
  <si>
    <t>Penyimpangan seksual***perilaku penyimpangan seksual***perilaku penyimpangan seksual</t>
  </si>
  <si>
    <t>i-1973-tr</t>
  </si>
  <si>
    <t>Lucinta Luna***@nabilasyakila04 (warganet)***@stveniqbal (warganet)***@anna_haudi (warganet)***@ananda_fitrianax (warganet)</t>
  </si>
  <si>
    <t>2***0***0***0***0</t>
  </si>
  <si>
    <t>0***-1***-1***-1***-1</t>
  </si>
  <si>
    <t>i-1977-li</t>
  </si>
  <si>
    <t>Sunmi (artis Kpop)***@yvesiren (warganet)</t>
  </si>
  <si>
    <t>i-1987-su</t>
  </si>
  <si>
    <t>Nikita Mirzani (artis)***@lampumerah90 (warganet)***@chands03 (warganet)***@rastavirgo912268 (warganet)***Solena Chaniago</t>
  </si>
  <si>
    <t>0***0***0***0***2</t>
  </si>
  <si>
    <t>1***-1***-1***-1***0</t>
  </si>
  <si>
    <t>i-1975-ti</t>
  </si>
  <si>
    <t>Ririn Aristia***Shinta Ratri (Pimpinan Pondok Pesantren Al Fatah)***Arif Nuh Safri (ustaz)</t>
  </si>
  <si>
    <t>2***2***0</t>
  </si>
  <si>
    <t>i-2042-re</t>
  </si>
  <si>
    <t>Seto Mulyadi (psikolog anak)</t>
  </si>
  <si>
    <t>perilaku menyimpang</t>
  </si>
  <si>
    <t>i-2043-te</t>
  </si>
  <si>
    <t>i-2072-li</t>
  </si>
  <si>
    <t>i-2086-de</t>
  </si>
  <si>
    <t>20/06/2019</t>
  </si>
  <si>
    <t>i-2061-de</t>
  </si>
  <si>
    <t>Sumber anonim</t>
  </si>
  <si>
    <t>i-2071-ko</t>
  </si>
  <si>
    <t>Elijah Daniel (rapper)</t>
  </si>
  <si>
    <t>i-2142-te</t>
  </si>
  <si>
    <t>i-2174-ok</t>
  </si>
  <si>
    <t>Akun @disnep (warganet)***Jennifer Lee (penulis skenario film Frozen 2)</t>
  </si>
  <si>
    <t>Lesbi</t>
  </si>
  <si>
    <t>i-2194-ok</t>
  </si>
  <si>
    <t>29/06/2019</t>
  </si>
  <si>
    <t>Ipda Rino (Kanit Reskrim Polsek Pasar)</t>
  </si>
  <si>
    <t>i-2249-tr</t>
  </si>
  <si>
    <t>Iptu Androyuan Elim. S.I.K (Kanit Reskrim Polsek Kuta Utara)***AKP I Dewa Putu Gede Anom Danujaya SH. S.I.K (Kapolsek Kuta Utara)</t>
  </si>
  <si>
    <t>i-2571-te</t>
  </si>
  <si>
    <t>Sahat Farida Berlian (Anggota DPRD Kota Depok)***Hamzah (anggota Fraksi Gerindra)***Sri Utami (Ketua Bapeperda Kota Depok)</t>
  </si>
  <si>
    <t>i-2690-ti</t>
  </si>
  <si>
    <t>31/07/2019</t>
  </si>
  <si>
    <t>Novarita (Kepala Dinas Kesehatan Kota Depok)***Sri Utami (Ketua Bapeperda Kota Depok)***Aditya Wardhana (Direktur Eksekutif Indonesia AIDS Coalition)***Ricky Gunawan (Direktur LBH Masyarakat)***Human Rights Watch</t>
  </si>
  <si>
    <t>-1***0***1***1***1</t>
  </si>
  <si>
    <t>i-2429-tr</t>
  </si>
  <si>
    <t>Millen Cyrus***Ashanty</t>
  </si>
  <si>
    <t>i-2444-su</t>
  </si>
  <si>
    <t>Bambang Wiyono (Kepala Biro Hubungan Masyarakat, Hukum dan Kerja Sama Kemenkumham)***Dede Oetomo (pendiri GAYa Nusantara)</t>
  </si>
  <si>
    <t>disorientasi seksual***disorientasi seksual***disorientasi seksual</t>
  </si>
  <si>
    <t>i-2448-ti</t>
  </si>
  <si>
    <t>Ade Kusmanto (Kepala Bagian Humas Ditjen PAS Kemenkumham)***Kasnali (Kalapas Banceuy)***Anggara (peneliti ICJR)***Asfinawati (Direktur YLBHI)</t>
  </si>
  <si>
    <t>-1***-1***1***1</t>
  </si>
  <si>
    <t>i-2458-ok</t>
  </si>
  <si>
    <t>14/07/2019</t>
  </si>
  <si>
    <t>Rafi Peretz (Menteri Pendidikan Israel)***Benjamin Netanyahu (Perdana Menteri Israel)***Nitzan Horowitz (pemimpin Partai Meretz)</t>
  </si>
  <si>
    <t>-1***0***1</t>
  </si>
  <si>
    <t>i-2543-de</t>
  </si>
  <si>
    <t>i-2548-ti</t>
  </si>
  <si>
    <t>21/07/2019</t>
  </si>
  <si>
    <t>Mounir Baatour(calon presiden Tunia)***Guillaume Allusson ( master Ilmu Politik dari Universitas Columbia)</t>
  </si>
  <si>
    <t>i-2220-su</t>
  </si>
  <si>
    <t>Kelompok “Istanbul Pride”***Amnesty International***polisi Turki</t>
  </si>
  <si>
    <t>1***1***-1</t>
  </si>
  <si>
    <t>i-2598-cn</t>
  </si>
  <si>
    <t>25/07/2019</t>
  </si>
  <si>
    <t>Chris Pratt</t>
  </si>
  <si>
    <t>i-2339-ok</t>
  </si>
  <si>
    <t>‎Liberti Sitinjak (Kepala Kanwil Kemenkum HAM Jabar)</t>
  </si>
  <si>
    <t>Penyimpangan seksual</t>
  </si>
  <si>
    <t>p-16355-te</t>
  </si>
  <si>
    <t>a-1-de</t>
  </si>
  <si>
    <t>a-4-cn</t>
  </si>
  <si>
    <t>a-8-ok</t>
  </si>
  <si>
    <t>a-17-su</t>
  </si>
  <si>
    <t>a-34-ok</t>
  </si>
  <si>
    <t>20/11/2019</t>
  </si>
  <si>
    <t>a-39-ok</t>
  </si>
  <si>
    <t>22/11/2019</t>
  </si>
  <si>
    <t>a-59-ok</t>
  </si>
  <si>
    <t>Gautam Bhatia (pengacara)***Mukul Kesavan (sejarawan)***Ram (Pemimpin senior BJP)***R Jagannathan (direktur eksekutif majalah Swarajya)***Amit Shah (Menteri Dalam Negeri India)***Niraja Gopal Jaya (ahli sosiologi)</t>
  </si>
  <si>
    <t>0***0***0***0***0***0</t>
  </si>
  <si>
    <t>1***0***-1***0***-1***0</t>
  </si>
  <si>
    <t>a-66-li</t>
  </si>
  <si>
    <t>a-70-li</t>
  </si>
  <si>
    <t>a-73-tr</t>
  </si>
  <si>
    <t>a-80-te</t>
  </si>
  <si>
    <t>18/12/2019</t>
  </si>
  <si>
    <t>S.A. Bobde (Hakim Mahkamah Agung India)</t>
  </si>
  <si>
    <t>a-87-de</t>
  </si>
  <si>
    <t>20/12/2019</t>
  </si>
  <si>
    <t>Haddad Alwi</t>
  </si>
  <si>
    <t>a-95-de</t>
  </si>
  <si>
    <t>21/12/2019</t>
  </si>
  <si>
    <t>Ustaz Solmed</t>
  </si>
  <si>
    <t>a-104-te</t>
  </si>
  <si>
    <t>22/12/2019</t>
  </si>
  <si>
    <t>Basim bin Hussein Alhabsyi***Haddad Alwi</t>
  </si>
  <si>
    <t>a-113-te</t>
  </si>
  <si>
    <t>24/12/2019</t>
  </si>
  <si>
    <t>a-76-li</t>
  </si>
  <si>
    <t>17/12/2019</t>
  </si>
  <si>
    <t>Said Aqil Siroj (Ketua Umum PBNU)***Abdul Basit (Amir Nasional Jemaat Ahmadiyah Indonesia)</t>
  </si>
  <si>
    <t>d-99-tr</t>
  </si>
  <si>
    <t>d-125-ko</t>
  </si>
  <si>
    <t>Moh. Hamzah***Latifah</t>
  </si>
  <si>
    <t>d-146-su</t>
  </si>
  <si>
    <t>d-161-ti</t>
  </si>
  <si>
    <t>d-172-tr</t>
  </si>
  <si>
    <t>akun @keluhkesahojol.id (warganet)***akun @erychs (warganet)***akun @chaeranie_ranie (warganet)***akun @siskaaa_nurulf (warganet)***akun @tiwisyam (warganet)***akun @tika_arierie (warganet)***akun @noonavaraa (warganet)***akun @bursamobilbekasmedan (warganet)</t>
  </si>
  <si>
    <t>1***0***0***0***0***0***0***0</t>
  </si>
  <si>
    <t>d-208-ok</t>
  </si>
  <si>
    <t>Chand Kelvin (selebritas)***John Warnock Hinckley Jr***Mintarsih A. Latief (psikiater)</t>
  </si>
  <si>
    <t>d-190-de</t>
  </si>
  <si>
    <t>Anji (penyanyi)***Pandji Pragiwaksono (komika)</t>
  </si>
  <si>
    <t>Down syndrome</t>
  </si>
  <si>
    <t>d-347-ti</t>
  </si>
  <si>
    <t>Anung Sugihantono (Direktur Jenderal Pencegahan dan Pengendalian Penyakit Kementerian Kesehatan)</t>
  </si>
  <si>
    <t>d-401-su</t>
  </si>
  <si>
    <t>Ratinah***Mohamad Imron</t>
  </si>
  <si>
    <t>d-444-de</t>
  </si>
  <si>
    <t>Pupung (tante korban)***Iptu Nurrozi (Kasubag Humas Polresta Tasikmalaya)***Acep Ilham (pelaku)</t>
  </si>
  <si>
    <t>d-498-re</t>
  </si>
  <si>
    <t>Siddik (Ketua PP Persatuan Dokter Spesialis Mata Indonesia)</t>
  </si>
  <si>
    <t>d-517-ti</t>
  </si>
  <si>
    <t>d-618-de</t>
  </si>
  <si>
    <t>18/11/2019</t>
  </si>
  <si>
    <t>Sumarti (warga setempat)</t>
  </si>
  <si>
    <t>d-697-re</t>
  </si>
  <si>
    <t>d-749-cn</t>
  </si>
  <si>
    <t>19/11/2019</t>
  </si>
  <si>
    <t>d-875-de</t>
  </si>
  <si>
    <t>d-925-re</t>
  </si>
  <si>
    <t>Sajidan (Wakil Rektor Bidang Perencanaan dan Kerjasama UNS)***Senny Marbun (Presiden NPC Indonesia)</t>
  </si>
  <si>
    <t>d-926-su</t>
  </si>
  <si>
    <t>d-940-te</t>
  </si>
  <si>
    <t>Dian Sastrowardoyo (selebritas)</t>
  </si>
  <si>
    <t>d-1078-su</t>
  </si>
  <si>
    <t>21/11/2019</t>
  </si>
  <si>
    <t>d-1111-tr</t>
  </si>
  <si>
    <t>Angkie Yudistia</t>
  </si>
  <si>
    <t>d-1222-su</t>
  </si>
  <si>
    <t>d-1244-ti</t>
  </si>
  <si>
    <t>d-1288-cn</t>
  </si>
  <si>
    <t>23/11/2019</t>
  </si>
  <si>
    <t>Anies Baswedan (Gubernur DKI Jakarta)***William Sabandar (Direktur Utama PT MRT Jakarta)</t>
  </si>
  <si>
    <t>d-1289-de</t>
  </si>
  <si>
    <t>Muhammad Hafidz (praktisi ruqyah)</t>
  </si>
  <si>
    <t>d-1331-re</t>
  </si>
  <si>
    <t>d-1352-ti</t>
  </si>
  <si>
    <t>Usman Hamid (Direktur Eksekutif Amnesty International Indonesia)</t>
  </si>
  <si>
    <t>d-1397-ok</t>
  </si>
  <si>
    <t>24/11/2019</t>
  </si>
  <si>
    <t>d-1511-te</t>
  </si>
  <si>
    <t>25/11/2019</t>
  </si>
  <si>
    <t>d-2004-de</t>
  </si>
  <si>
    <t>Nila F. Moeloek (Dewan Penasehat Perhimpunan Dokter Spesialis Mata Indonesia)***Irwan Hidayat (Direktur PT Industri Jamu dan Farmasi Sido Muncul Tbk)</t>
  </si>
  <si>
    <t>d-2124-ok</t>
  </si>
  <si>
    <t>19/12/2019</t>
  </si>
  <si>
    <t>d-2207-ok</t>
  </si>
  <si>
    <t>d-2232-ti</t>
  </si>
  <si>
    <t>d-2384-tr</t>
  </si>
  <si>
    <t>23/12/2019</t>
  </si>
  <si>
    <t>d-1782-ok</t>
  </si>
  <si>
    <t>14/12/2019</t>
  </si>
  <si>
    <t>Anne Purba (VP Corporate Communications PT KCI)</t>
  </si>
  <si>
    <t>d-2618-te</t>
  </si>
  <si>
    <t>29/12/2019</t>
  </si>
  <si>
    <t>i-55-ko</t>
  </si>
  <si>
    <t xml:space="preserve">Iptu Dahnial Saragih (Kapolsek Pangkalan Brandan)
</t>
  </si>
  <si>
    <t>i-58-ok</t>
  </si>
  <si>
    <t>i-60-ti</t>
  </si>
  <si>
    <t>Ali Tate Cutler (model)***Ed Razek (Kepala Bagian Pemasaran Victoria Secret)</t>
  </si>
  <si>
    <t>i-98-ok</t>
  </si>
  <si>
    <t>Paus Fransiskus</t>
  </si>
  <si>
    <t>i-103-de</t>
  </si>
  <si>
    <t>Alison Battisson (pengacara)***seorang wartawan</t>
  </si>
  <si>
    <t>i-106-re</t>
  </si>
  <si>
    <t>dr. Meisera (Kepala Seksi Pencegahan dan Pengendalian Penyakit Menular Dinkes Kabupaten Purwakarta)</t>
  </si>
  <si>
    <t>i-124-te</t>
  </si>
  <si>
    <t>Mukri (Kepala Pusat Penerangan Hukum Kejaksaan Agung)</t>
  </si>
  <si>
    <t>Kelainan orientasi seks***kelainan perilaku (transgender)</t>
  </si>
  <si>
    <t>i-139-de</t>
  </si>
  <si>
    <t>i-167-cn</t>
  </si>
  <si>
    <t>Tjahjo Kumolo (Menteri Pendayagunaan Aparatur Negara dan Reformasi Birokrasi)</t>
  </si>
  <si>
    <t>i-174-te</t>
  </si>
  <si>
    <t xml:space="preserve">Usman Hamid (Direktur Eksekutif Amnesty International Indonesia)***Mukri (Kepala Pusat Penerangan Hukum Kejaksaan Agung)***Ninik Rahayu (Koordinator Pengampu Bidang Resolusi dan Monitoring Ombudsman RI) </t>
  </si>
  <si>
    <t>Kelainan orientasi seksual***perilaku LGBT</t>
  </si>
  <si>
    <t>i-182-cn</t>
  </si>
  <si>
    <t>Achmad Baidowi (Sekretaris Fraksi PPP DPR RI)*** Mukri (Kepala Pusat Penerangan dan Hukum Kejaksaan Agung)***Ninik Rahayu (Ombudsman RI)</t>
  </si>
  <si>
    <t>Orientasi seksual menyimpang***orientasi seksual yang menyimpang</t>
  </si>
  <si>
    <t>i-204-ko</t>
  </si>
  <si>
    <t xml:space="preserve"> Usman Hamid (Direktur Eksekutif Amnesty International)***Ninik Rahayu (anggota Ombudsman)</t>
  </si>
  <si>
    <t>i-211-ok</t>
  </si>
  <si>
    <t>i-212-su</t>
  </si>
  <si>
    <t>Beka Ulung Hapsara (Koordinator Subkomisi Pemajuan HAM)</t>
  </si>
  <si>
    <t>i-240-tr</t>
  </si>
  <si>
    <t>Yung Kunthearith (Wakil Direktur Departemen Pendidikan Kesehatan di Kementerian Pendidikan)***Ryan Silverio (Koordinator Regional untuk ASEAN SOGIE Caucus)***Srun Srorn (pegiat hak LGBT+)</t>
  </si>
  <si>
    <t>i-338-te</t>
  </si>
  <si>
    <t>27/12/2019</t>
  </si>
  <si>
    <t>Nora Alexandra Philip</t>
  </si>
  <si>
    <t>i-253-te</t>
  </si>
  <si>
    <t>Vatikan</t>
  </si>
  <si>
    <t>i-261-tr</t>
  </si>
  <si>
    <t>15/12/2019</t>
  </si>
  <si>
    <t>i-283-cn</t>
  </si>
  <si>
    <t>Johnny G. Plate (Menkominfo)***Petisi "The First Temptation of Christ"***Heather Cropp (warganet)***Elaine Neely (warganet)</t>
  </si>
  <si>
    <t>0***-1***-1***-1</t>
  </si>
  <si>
    <t>i-299-de</t>
  </si>
  <si>
    <t>i-321-ok</t>
  </si>
  <si>
    <t>i-297-de</t>
  </si>
  <si>
    <t>JJ Abrams (sutradara)</t>
  </si>
  <si>
    <t>i-363-tr</t>
  </si>
  <si>
    <t>30/12/2019</t>
  </si>
  <si>
    <t>Bao</t>
  </si>
  <si>
    <t>p-14-cn</t>
  </si>
  <si>
    <t>p-21-li</t>
  </si>
  <si>
    <t>p-43-tr</t>
  </si>
  <si>
    <t>Rahmat Wibawa (Sekretaris P2TP2A Kabupaten Garut)***AKP Maradona (Kasatreskrim Polres Garut)</t>
  </si>
  <si>
    <t>p-53-cn</t>
  </si>
  <si>
    <t>Sarah Tither-Kaplan***Toni Gaal***James Franco (aktor)***Michael Plonsker (pengacara James Franco)</t>
  </si>
  <si>
    <t>2***2***0***0</t>
  </si>
  <si>
    <t>p-59-de</t>
  </si>
  <si>
    <t>Veronica Koman***Brigjen Dedi Prasetyo (Karo Penmas Divisi Humas Polri)</t>
  </si>
  <si>
    <t>p-81-de</t>
  </si>
  <si>
    <t>Veronica Koman***Teuku Faizasyah (Plt Jubir Kemlu)***Brigjen Dedi Prasetyo (Karo Penmas Divisi Humas Polri)</t>
  </si>
  <si>
    <t>p-87-tr</t>
  </si>
  <si>
    <t>Ipda Baryono (Paur Subbag Humas)</t>
  </si>
  <si>
    <t>p-168-li</t>
  </si>
  <si>
    <t>Cathy Sharon</t>
  </si>
  <si>
    <t>p-232-ok</t>
  </si>
  <si>
    <t>Kombes Pol Trunoyudo Wisnu Andiko (Kabid Humas Polda Jabar)</t>
  </si>
  <si>
    <t>p-239-re</t>
  </si>
  <si>
    <t>Veronica Koman (aktivis HAM)***Marise Payne (Menlu Australia)</t>
  </si>
  <si>
    <t>p-7-su</t>
  </si>
  <si>
    <t>Tina Boonto (Country Director UNAIDS Indonesia)</t>
  </si>
  <si>
    <t>p-252-ti</t>
  </si>
  <si>
    <t>p-279-ko</t>
  </si>
  <si>
    <t>p-280-ok</t>
  </si>
  <si>
    <t>p-714-te</t>
  </si>
  <si>
    <t xml:space="preserve"> Venny Siregar (Koordinator Sekretariat Nasional Forum Pengada Layanan)</t>
  </si>
  <si>
    <t>p-406-ko</t>
  </si>
  <si>
    <t>Safar Muhammad Godam (Kepala Imigrasi Kelas I Khusus Bandara Soekarno-Hatta)***Andri Hadi (Direktur Jenderal Protokol dan Konsuler Kemlu)</t>
  </si>
  <si>
    <t>p-441-te</t>
  </si>
  <si>
    <t>Nicole Brzyski</t>
  </si>
  <si>
    <t>p-478-de</t>
  </si>
  <si>
    <t>Kepala pengadilan militer kota Bukavu***yayasan Panzi Foundation</t>
  </si>
  <si>
    <t>p-496-re</t>
  </si>
  <si>
    <t>Eva-Marie Persson (wakil direktur Swedia untuk penuntutan publik)***Per Samuelson (pengacara)***Pamela Anderson (selebritas)</t>
  </si>
  <si>
    <t>p-514-ti</t>
  </si>
  <si>
    <t>Gama Triono (Aktivis perempuan dan Sekretaris Perkumpulan Keluarga Berencana Indonesia)***Koentjoro (dosen psikologi Universitas Gadjah Mada)***Rika Rosvianti (pendiri perEMPUan)***Naila Rizki Zakiyah (pengacara publik)</t>
  </si>
  <si>
    <t>0***0***1***0</t>
  </si>
  <si>
    <t>1***1***1***1</t>
  </si>
  <si>
    <t>p-575-de</t>
  </si>
  <si>
    <t>Kania Permatasari</t>
  </si>
  <si>
    <t>p-599-te</t>
  </si>
  <si>
    <t>p-642-ko</t>
  </si>
  <si>
    <t>AKP Rizki Santoso (Kasatreskrim Polres Probolinggo)</t>
  </si>
  <si>
    <t>p-687-li</t>
  </si>
  <si>
    <t>Seorang wanita***Taufiqurahman (mahasiswa UGM)***Ganjar Pranowo (Gubernur Jawa Tengah)***Marcello Suparno (Kepala Unit Pelaksana Teknis Dinas Pariwisata Kecamatan Sumberlawang)</t>
  </si>
  <si>
    <t>p-943-ok</t>
  </si>
  <si>
    <t>p-1070-de</t>
  </si>
  <si>
    <t>Charlize Theron (aktris)</t>
  </si>
  <si>
    <t>p-1123-ti</t>
  </si>
  <si>
    <t>p-852-te</t>
  </si>
  <si>
    <t>Mariana Amiruddin (Komisioner Komnas Perempuan)</t>
  </si>
  <si>
    <t>p-1212-de</t>
  </si>
  <si>
    <t>p-1369-ok</t>
  </si>
  <si>
    <t>Sri Mulyani (Menteri Keuangan)***Ida Fauziyah (Menteri Ketenagakerjaan)</t>
  </si>
  <si>
    <t>p-1442-re</t>
  </si>
  <si>
    <t>25/12/2019</t>
  </si>
  <si>
    <t>dr Siska Muliadi (Ketua Harian Pusat Pelayanan Terpadu Pemberdayaan Perempuan dan Anak Kota Cirebon)***Sa’adah (Manager Program Woman Crisis Center Mawar Balqis)***Selly Andriany Gantina (anggota Komisi VIII DPR RI)</t>
  </si>
  <si>
    <t>0***1***1</t>
  </si>
  <si>
    <t>p-1550-re</t>
  </si>
  <si>
    <t>28/12/2019</t>
  </si>
  <si>
    <t>Idham Azis (Kapolri)</t>
  </si>
  <si>
    <t>p-768-su</t>
  </si>
  <si>
    <t>AKBP Yade Setiawan Ujung (Kapolres Malang)</t>
  </si>
  <si>
    <t>p-1557-te</t>
  </si>
  <si>
    <t>Seorang mahasiswi</t>
  </si>
  <si>
    <t>Mawar</t>
  </si>
  <si>
    <t>p-1643-re</t>
  </si>
  <si>
    <t>31/12/2019</t>
  </si>
  <si>
    <t>Retno Listyarti (Komisioner KPAI Bidang Pendidikan)</t>
  </si>
  <si>
    <t>Penggunaan Istilah</t>
  </si>
  <si>
    <t>val</t>
  </si>
  <si>
    <t>a-13-cn</t>
  </si>
  <si>
    <t>Hassan Karim al-Kaabi (Wakil Ketua Pertama Parlemen Irak)</t>
  </si>
  <si>
    <t>a-22-cn</t>
  </si>
  <si>
    <t>Yati Andriyani (Koordinator Kontras)</t>
  </si>
  <si>
    <t>a-23-de</t>
  </si>
  <si>
    <t>Lena Maryana (anggota Komisi I DPR RI)</t>
  </si>
  <si>
    <t>a-29-te</t>
  </si>
  <si>
    <t>Siane Indriani (Badan Pemenangan Nasional Prabowo-Sandiaga)***Rivanlee Anandar (Peneliti KontraS)</t>
  </si>
  <si>
    <t>a-31-li</t>
  </si>
  <si>
    <t>a-20-te</t>
  </si>
  <si>
    <t>Rivanlee Anandar (Peneliti Kontras)***Arief Budiman (Ketua KPU)</t>
  </si>
  <si>
    <t>a-51-ti</t>
  </si>
  <si>
    <t>a-54-tr</t>
  </si>
  <si>
    <t>Andre Wahyudi (Ketua DPC PDIP Kabupaten Pasuruan)</t>
  </si>
  <si>
    <t>a-66-su</t>
  </si>
  <si>
    <t>Ayatollah Ruhollah Khomeini (Mantan Pemimpin Agung Iran)</t>
  </si>
  <si>
    <t>a-77-li</t>
  </si>
  <si>
    <t>Irjen Anton Bachrul Alam (Kepala Divisi Humas Mabes Polri)***Eva Sundari (Anggota Fraksi PDI Perjuangan)***Phil Robertson (Deputi Direktur Human Rights Watch)</t>
  </si>
  <si>
    <t>a-86-de</t>
  </si>
  <si>
    <t>a-93-de</t>
  </si>
  <si>
    <t>a-103-de</t>
  </si>
  <si>
    <t>Mohammad Javad Zarif (Menteri Luar Negeri Iran)</t>
  </si>
  <si>
    <t>a-107-ok</t>
  </si>
  <si>
    <t>a-125-li</t>
  </si>
  <si>
    <t>a-184-tr</t>
  </si>
  <si>
    <t>a-207-re</t>
  </si>
  <si>
    <t>Mohammed Abdulsalam (Juru Bicara Al-Houthi)</t>
  </si>
  <si>
    <t>a-234-ok</t>
  </si>
  <si>
    <t>a-256-tr</t>
  </si>
  <si>
    <t>Abdullah Beik (anggota Dewan Syura ABI)***Ahmad Hidayat (Sekretaris Jenderal ABI)</t>
  </si>
  <si>
    <t>a-267-te</t>
  </si>
  <si>
    <t>a-284-ti</t>
  </si>
  <si>
    <t>Ma'ruf Amin (Calon Wakil Presiden)</t>
  </si>
  <si>
    <t>a-251-de</t>
  </si>
  <si>
    <t>Profesor Al Makin (UIN Sunan Kalijaga)***Lia Eden</t>
  </si>
  <si>
    <t>"nabi palsu"</t>
  </si>
  <si>
    <t>a-333-tr</t>
  </si>
  <si>
    <t>a-245-ko</t>
  </si>
  <si>
    <t>Grace Natalie</t>
  </si>
  <si>
    <t>Yati Andriyani (Koordinator Kontras)***Dimas Bagus Arya (Staf Divisi Pemantauan Impunitas KontraS)</t>
  </si>
  <si>
    <t>a-352-de</t>
  </si>
  <si>
    <t>Wahyu Setiawan (komisioner KPU)</t>
  </si>
  <si>
    <t>Dalyanto (Tokoh masyarakat)***Ahmad Sudarmi (Ketua Kelompok Kegiatan Dusun Karet)</t>
  </si>
  <si>
    <t>a-393-ti</t>
  </si>
  <si>
    <t>Gatot Saptadi (Sekretaris Daerah Provinsi Instimewa Yogyakarta (DIY)</t>
  </si>
  <si>
    <t>a-431-ko</t>
  </si>
  <si>
    <t>a-451-re</t>
  </si>
  <si>
    <t>juru bicara Organisasi Badr***juru bicara koalisi Fateh</t>
  </si>
  <si>
    <t>a-453-su</t>
  </si>
  <si>
    <t>H. Abdul Basit Shd (Amir Nasional Jemaat Ahmadiyah Indonesia)</t>
  </si>
  <si>
    <t>a-457-te</t>
  </si>
  <si>
    <t>a-458-cn</t>
  </si>
  <si>
    <t>Pratiwi Febry (Pengacara Publik LBH Jakarta)***Rasyid Ridha Saragih (Pengacara publik LBH Jakarta)</t>
  </si>
  <si>
    <t>a-468-ko</t>
  </si>
  <si>
    <t>Saudi Press Agency</t>
  </si>
  <si>
    <t>a-481-de</t>
  </si>
  <si>
    <t>Michelle Bachelet (Komisioner PBB)</t>
  </si>
  <si>
    <t>a-487-tr</t>
  </si>
  <si>
    <t>Anggia Ermarini (Ketua umum PP Fatayat NU)</t>
  </si>
  <si>
    <t>a-513-ti</t>
  </si>
  <si>
    <t>Murtadha Muthahhari***Muhammad Al-Baqir***Khoirul Anwar</t>
  </si>
  <si>
    <t>a-515-li</t>
  </si>
  <si>
    <t>Muhammad Ashfaq (Polisi Senior Pakistan)</t>
  </si>
  <si>
    <t>a-543-de</t>
  </si>
  <si>
    <t>a-545-ko</t>
  </si>
  <si>
    <t>Fatkhul Khoir (Koordinator Kontras Surabaya)</t>
  </si>
  <si>
    <t>a-551-re</t>
  </si>
  <si>
    <t>Adel al-Jubeir (Menteri Luar Negeri Arab Saudi)</t>
  </si>
  <si>
    <t>a-557-su</t>
  </si>
  <si>
    <t xml:space="preserve">Yurgen Alifia Sutarno (Politikus PSI) </t>
  </si>
  <si>
    <t>a-561-tr</t>
  </si>
  <si>
    <t>Adel al-Jubeir (Menteri Luar Negeri Arab Saudi)***Kementerian Luar Negeri UEA</t>
  </si>
  <si>
    <t>a-562-li</t>
  </si>
  <si>
    <t>Brigjen Yahya Rasoul (juru bicara militer Irak)***Donald Trump (Presiden AS)</t>
  </si>
  <si>
    <t>a-569-te</t>
  </si>
  <si>
    <t>Yahya Sarea (juru bicara militer Houthi)</t>
  </si>
  <si>
    <t>a-578-ok</t>
  </si>
  <si>
    <t>anggota keluarga salah satu tertuduh</t>
  </si>
  <si>
    <t>a-584-re</t>
  </si>
  <si>
    <t>a-591-te</t>
  </si>
  <si>
    <t>a-626-re</t>
  </si>
  <si>
    <t>Departemen Negara Kebebasan Beragama Internasional Amerika Serikat</t>
  </si>
  <si>
    <t>a-633-ok</t>
  </si>
  <si>
    <t>Mahathir Mohamad (Perdana Menteri Malaysia)</t>
  </si>
  <si>
    <t>a-640-ti</t>
  </si>
  <si>
    <t>Lynn Maalouf (Direktur Riset Amnesty International untuk Timur Tengah)</t>
  </si>
  <si>
    <t>a-654-de</t>
  </si>
  <si>
    <t>a-672-su</t>
  </si>
  <si>
    <t>Seorang petinggi polisi</t>
  </si>
  <si>
    <t>a-678-te</t>
  </si>
  <si>
    <t>Tika***Wahyu</t>
  </si>
  <si>
    <t>a-681-ok</t>
  </si>
  <si>
    <t>Massa aksi Halalbihalal</t>
  </si>
  <si>
    <t>a-682-su</t>
  </si>
  <si>
    <t>Sobri Lubis (Ketua FPI)***Yusuf Martak (Ketua GNPF)</t>
  </si>
  <si>
    <t>a-749-su</t>
  </si>
  <si>
    <t>a-706-ko</t>
  </si>
  <si>
    <t>a-740-ko</t>
  </si>
  <si>
    <t>a-762-re</t>
  </si>
  <si>
    <t>Andrew Tinney (Hakim Agung)</t>
  </si>
  <si>
    <t>a-779-ko</t>
  </si>
  <si>
    <t>Suwari (Ketua PHDI)***Hari Budi Setiawan (Kepala Desa Krisik)</t>
  </si>
  <si>
    <t>a-785-tr</t>
  </si>
  <si>
    <t>a-789-ok</t>
  </si>
  <si>
    <t>a-791-re</t>
  </si>
  <si>
    <t>a-797-ok</t>
  </si>
  <si>
    <t>a-807-ok</t>
  </si>
  <si>
    <t>AKP Edi Saputra (Kapolsek Kuta Alam)</t>
  </si>
  <si>
    <t>aliran sesat***menyimpang</t>
  </si>
  <si>
    <t>a-808-ti</t>
  </si>
  <si>
    <t>Ely***Lukman***El***Wira***Avery Willis, Jr (misionaris Gereja Baptis)</t>
  </si>
  <si>
    <t>a-811-te</t>
  </si>
  <si>
    <t>Andreas Harsono (peneliti Human Rights Watch)</t>
  </si>
  <si>
    <t>a-833-te</t>
  </si>
  <si>
    <t>a-835-de</t>
  </si>
  <si>
    <t>a-868-tr</t>
  </si>
  <si>
    <t>a-869-de</t>
  </si>
  <si>
    <t>a-889-tr</t>
  </si>
  <si>
    <t>d-518-ko</t>
  </si>
  <si>
    <t>Anggota Polisi***AKBP Sutrisno Hady Santoso (Kapolres Pulau Ambon)</t>
  </si>
  <si>
    <t>cacat</t>
  </si>
  <si>
    <t>d-1440-de</t>
  </si>
  <si>
    <t>Busroni (Kepala Bagian Opini Publik Peliputan dan Produksi Komnikasi Kemenkes)***Oscar Primadi (Sekretaris Jenderal Kemenkes)</t>
  </si>
  <si>
    <t>d-2129-su</t>
  </si>
  <si>
    <t>Shen Chengqing (Traveler disabilitas)</t>
  </si>
  <si>
    <t>d-1179-tr</t>
  </si>
  <si>
    <t>Anto Kurnia (Saksi)***AKP Wahyu Norman Hidayat (Kasat Reskrim Polres Lamongan)</t>
  </si>
  <si>
    <t>d-1545-li</t>
  </si>
  <si>
    <t>d-213-tr</t>
  </si>
  <si>
    <t>Didi (Saksi)</t>
  </si>
  <si>
    <t>d-1827-de</t>
  </si>
  <si>
    <t>d-1864-tr</t>
  </si>
  <si>
    <t>I Made Somya Putra (Kuasa Hukum Korban)</t>
  </si>
  <si>
    <t>d-1979-tr</t>
  </si>
  <si>
    <t>d-2014-cn</t>
  </si>
  <si>
    <t>Said Aqil Siraj (Ketua Umum PBNU)</t>
  </si>
  <si>
    <t>buta</t>
  </si>
  <si>
    <t>d-2327-su</t>
  </si>
  <si>
    <t>Camilo Navarro</t>
  </si>
  <si>
    <t>d-2779-li</t>
  </si>
  <si>
    <t>Wiendra Waworuntu (Direktur Pencegahan dan Pengendalian Penyakit Menular Langsung Kemenkes RI)</t>
  </si>
  <si>
    <t>d-3010-ko</t>
  </si>
  <si>
    <t>Iptu Heri (Kapolsek Baktiya Barat Aceh Utara)</t>
  </si>
  <si>
    <t>d-2801-ti</t>
  </si>
  <si>
    <t>d-3371-de</t>
  </si>
  <si>
    <t>d-2512-te</t>
  </si>
  <si>
    <t>Gungde Ariwangsa (Ketua SIWO PWI Pusat)***Azhari Nasution (Wakil Ketua Panitia Penyelenggara Golden Award SIWO PWI Pusat 2019)</t>
  </si>
  <si>
    <t>d-3082-ko</t>
  </si>
  <si>
    <t>Kornelia Daghe (Ibu ODGJ)***Titus Lawur (Ayah ODGJ)***Andreas Deja (Suami ODGJ)***Matius Sadar***Aloysius Lumpur***Pater Avent Saur, Svd (Ketua KKI ODGJ NTT)***Regina Malon (Kepala Bidang Pengendali, Pencegahan dan Pemberantasan Penyakit Dinas Kesehatan Kabupaten Manggarai Timur)***Leonardus Santosa (Ketua Komisi A DPRD Kabupaten Manggarai Timur)</t>
  </si>
  <si>
    <t>2***2***2***2***2***1***0***0</t>
  </si>
  <si>
    <t>1***1***1***1***0***0***0***0</t>
  </si>
  <si>
    <t>d-4023-te</t>
  </si>
  <si>
    <t>Alabanyo Berbahama (Psikolog Pendidikan Universitas YARSI)***Arif Triman (Psikolog Pendidikan)</t>
  </si>
  <si>
    <t>d-3186-te</t>
  </si>
  <si>
    <t>Anies Baswedan***Ratiyono (Kepala Dinas Pemuda dan Olahraga)</t>
  </si>
  <si>
    <t>d-3195-tr</t>
  </si>
  <si>
    <t>Brie Larson</t>
  </si>
  <si>
    <t>d-3511-tr</t>
  </si>
  <si>
    <t>d-3128-ti</t>
  </si>
  <si>
    <t>Vincent Mariano (Anggota PPDI)***Heppy Sebayang (Ketua Pusat Pemilihan Umum Akses Penyandang Disabilitas)</t>
  </si>
  <si>
    <t>d-3580-cn</t>
  </si>
  <si>
    <t>d-3742-su</t>
  </si>
  <si>
    <t>d-3754-cn</t>
  </si>
  <si>
    <t>d-3900-tr</t>
  </si>
  <si>
    <t>d-3984-li</t>
  </si>
  <si>
    <t>Anies Baswedan***Hari Nugroho (Kepala Dinas Bina Marga DKI Jakarta)</t>
  </si>
  <si>
    <t>d-4382-te</t>
  </si>
  <si>
    <t>Robert Kubica***Riccardo Ceccarelli (Dokter Kubica)***Claire Williams (wakil kepala Williams)</t>
  </si>
  <si>
    <t>d-4977-de</t>
  </si>
  <si>
    <t>d-5760-ko</t>
  </si>
  <si>
    <t>2019-03-21</t>
  </si>
  <si>
    <t>Totok Hardiyanto (Kepala Humas RSJD Surakarta)***dr Aliyah Himawati Rizkiyani, SpKJ</t>
  </si>
  <si>
    <t>"(orang gila diperbolehkan mencoblos) menimbulkan polemik"</t>
  </si>
  <si>
    <t>d-5162-ti</t>
  </si>
  <si>
    <t>d-4770-tr</t>
  </si>
  <si>
    <t>Rini Soemarno (Menteri BUMN)</t>
  </si>
  <si>
    <t>d-4887-de</t>
  </si>
  <si>
    <t>Mahmudi (Kasi Rehabilitasi Sosial Dinas Sosial dan PPA Madiun)***Bima Primagayudha (Ketua Yayasan Citra Paramita Swastika Kota Madiun)</t>
  </si>
  <si>
    <t>d-5692-re</t>
  </si>
  <si>
    <t>d-6301-ti</t>
  </si>
  <si>
    <t>2019-03-27</t>
  </si>
  <si>
    <t>Antonius Badar Karwayu (Advokat LBH Publik)***Abdul Fickar Hadjar (ahli hukum dari Universitas Trisakti)***Anggara Suwahju (Direktur Eksekutif ICJR)</t>
  </si>
  <si>
    <t>d-5492-ok</t>
  </si>
  <si>
    <t>Wawan (Ketua Gugus IX Kepala SLBN A Kota Bandung)***Tri Bagio (Wakasek Bidang Humas Dan Advokasi SLBN A Kota Bandung)</t>
  </si>
  <si>
    <t>d-5274-su</t>
  </si>
  <si>
    <t>Fatimah (tetangga)***Hasan (kerabat)***Wali Kelas G</t>
  </si>
  <si>
    <t>"keterbelakangan mental"</t>
  </si>
  <si>
    <t>d-6233-tr</t>
  </si>
  <si>
    <t>AKP M Andi Lilik (Kapolsek Kembangbahu)</t>
  </si>
  <si>
    <t>orang gila</t>
  </si>
  <si>
    <t>d-8026-de</t>
  </si>
  <si>
    <t>2019-04-17</t>
  </si>
  <si>
    <t>d-7105-te</t>
  </si>
  <si>
    <t>Emma Boswell (penyandang Deaf Blind)</t>
  </si>
  <si>
    <t>d-7160-re</t>
  </si>
  <si>
    <t>Xu Bingyang (sahabat teman disabilitasnya)</t>
  </si>
  <si>
    <t>siswa cacat</t>
  </si>
  <si>
    <t>d-7339-re</t>
  </si>
  <si>
    <t>dr Eka Viora Sp.KJ (Ketua PDSKJI)</t>
  </si>
  <si>
    <t>d-7405-li</t>
  </si>
  <si>
    <t>American Society for Reproductive Medicine***David Farnell</t>
  </si>
  <si>
    <t>d-7650-re</t>
  </si>
  <si>
    <t>d-7968-ti</t>
  </si>
  <si>
    <t>d-8858-li</t>
  </si>
  <si>
    <t>YA***Ustaz HM Ujang Bustomi***Muannas Alaidid (Caleg gagal)***Titi Anggraini (Direktur Eksekutif Perludem)***M Taufik (Ketua DPD Gerindra DKI Jakarta)***Eva Kusuma Sundari (Sekretaris Badan Pendidikan dan Pelatihan DPP PDIP)***dr Fidiansjah SpKJ (Direktur Pencegahan dan Pengendalian Masalah Kesehatan Jiwa dan Napza, Kemenkes RI</t>
  </si>
  <si>
    <t>d-7264-cn</t>
  </si>
  <si>
    <t>Eka Viora (Ketua PDSKJI)</t>
  </si>
  <si>
    <t>d-8538-de</t>
  </si>
  <si>
    <t>dr Yuniar (Direktur medik dan Keperawatan RS Jiwa dr Radjiman Wediodiningrat Lawang)***Ana Septi Saripah (Kabid P2P Dinas Kesehatan Tulungagung)</t>
  </si>
  <si>
    <t>d-8729-ko</t>
  </si>
  <si>
    <t>d-7173-ti</t>
  </si>
  <si>
    <t>2019-04-06</t>
  </si>
  <si>
    <t>Ken Kerta (Ketua Lingkar Sosial Indonesia)***Bagus Utomo (Ketua KPSI)***Dedi Supriadi (Ketua Bidang Humas DPP PKS)***Wahyu Setiawan (Komisioner KPU)</t>
  </si>
  <si>
    <t>1***1***0***1</t>
  </si>
  <si>
    <t>d-8893-tr</t>
  </si>
  <si>
    <t>dr.Yudi Amiarno (Direktur RSUD Pasar Minggu)***dr. Yaniar Mulyantini</t>
  </si>
  <si>
    <t>d-9267-te</t>
  </si>
  <si>
    <t>Arman Saputra (Passenger Service Agent (PSA) LRT Jakarta)***Basofi Sudirman (petugas LRT Jakarta)***Kurniati (Manager Divisi Pelayanan Pelanggan LRT Jakarta)</t>
  </si>
  <si>
    <t>d-9505-de</t>
  </si>
  <si>
    <t>Agus Gumiwang Kartasasmita (Mensos)</t>
  </si>
  <si>
    <t>d-9959-ok</t>
  </si>
  <si>
    <t>2019-05-16</t>
  </si>
  <si>
    <t>AKBP Asfuri (Kapolres Malang Kota)</t>
  </si>
  <si>
    <t>"(kondisi kejiwaannya) dianggap tidak sinkron"</t>
  </si>
  <si>
    <t>d-9436-tr</t>
  </si>
  <si>
    <t>2019-05-06</t>
  </si>
  <si>
    <t>Sukarsono (Saksi)***AKP Suparno (Kapolsek Jombang Kota)</t>
  </si>
  <si>
    <t>d-9782-de</t>
  </si>
  <si>
    <t>2019-05-13</t>
  </si>
  <si>
    <t>Duljani (Saksi)***Kompol Suyadi (Kapolsek Pangandaran)</t>
  </si>
  <si>
    <t>d-10440-cn</t>
  </si>
  <si>
    <t>d-10459-su</t>
  </si>
  <si>
    <t>d-10468-ti</t>
  </si>
  <si>
    <t>d-10587-cn</t>
  </si>
  <si>
    <t>d-10730-ok</t>
  </si>
  <si>
    <t>d-10826-re</t>
  </si>
  <si>
    <t>Toni Eb Subari (Direktur Utama Mandiri Syariah)***Wawan Setiawan (Peserta mudik gratis)</t>
  </si>
  <si>
    <t>d-11291-ok</t>
  </si>
  <si>
    <t>d-11794-re</t>
  </si>
  <si>
    <t>2019-06-19</t>
  </si>
  <si>
    <t>Eko Kristiawan (Unit Manager Communication, Relation &amp; CSR Pertamina RU VI Balongan)***Muhammad Sofyan (Ketua Yayasan Gempur Gakin)***Carnoto (Siswa SLB)</t>
  </si>
  <si>
    <t>d-11343-li</t>
  </si>
  <si>
    <t>d-11572-ko</t>
  </si>
  <si>
    <t>2019-06-17</t>
  </si>
  <si>
    <t>Baim Wong</t>
  </si>
  <si>
    <t>"orang gila"</t>
  </si>
  <si>
    <t>d-11656-de</t>
  </si>
  <si>
    <t>AKP Maradona Armin Mappaseng (Kasatreskrim Polres Garut)</t>
  </si>
  <si>
    <t>d-11725-cn</t>
  </si>
  <si>
    <t>d-11825-cn</t>
  </si>
  <si>
    <t>Sarah Deshita (Brand Manager Ismaya Live)***Dipha Barus</t>
  </si>
  <si>
    <t>d-11967-su</t>
  </si>
  <si>
    <t>Dr Philip Lupo (ahli onkologi pediatrik)</t>
  </si>
  <si>
    <t>"cacat lahir"</t>
  </si>
  <si>
    <t>d-12023-cn</t>
  </si>
  <si>
    <t>d-12088-de</t>
  </si>
  <si>
    <t>2019-06-24</t>
  </si>
  <si>
    <t>Fatimah (Tuna Wicara)***Tiarlin Apridawati Agatha (Instruktur)</t>
  </si>
  <si>
    <t>d-12445-de</t>
  </si>
  <si>
    <t>d-12639-su</t>
  </si>
  <si>
    <t>2019-07-01</t>
  </si>
  <si>
    <t>Rr. Finandita Utari M.Psi. (psikolog)***Olivia Febriani (spesialis pendidikan zumba)</t>
  </si>
  <si>
    <t>d-12792-ok</t>
  </si>
  <si>
    <t>Aaron Philip (model dengan disabilitas)</t>
  </si>
  <si>
    <t>d-13206-ko</t>
  </si>
  <si>
    <t>d-13249-te</t>
  </si>
  <si>
    <t>d-13554-tr</t>
  </si>
  <si>
    <t>d-13902-cn</t>
  </si>
  <si>
    <t>d-14733-re</t>
  </si>
  <si>
    <t>2019-07-26</t>
  </si>
  <si>
    <t>Yossa Nainggolan (Ketua Umum Alpha-I Indonesia dan Ragam Institute)***Nahar (Deputi Perlindungan Anak Kementerian Pemberdayaan Perempuan dan Perlindungan Anak)</t>
  </si>
  <si>
    <t>d-14804-su</t>
  </si>
  <si>
    <t>2019-07-27</t>
  </si>
  <si>
    <t>AKBP Ary Fadli (Kapolres Bojonegoro)</t>
  </si>
  <si>
    <t>"tersangka mulai muncul niat untuk memperkosa korban***mengaku sudah lama menjomblo"</t>
  </si>
  <si>
    <t>d-13679-cn</t>
  </si>
  <si>
    <t>Djohan Darmawan (Kepala Penerangan Kodam (Kapendam) II/Sriwijaya Kolonel Infanteri)</t>
  </si>
  <si>
    <t>d-14838-ko</t>
  </si>
  <si>
    <t>d-14871-ti</t>
  </si>
  <si>
    <t>d-15104-ti</t>
  </si>
  <si>
    <t>Syafruddin (Menpan-RB)</t>
  </si>
  <si>
    <t>d-15506-ko</t>
  </si>
  <si>
    <t>Nasrul Abit (Wakil Gubernur Sumbar)</t>
  </si>
  <si>
    <t>d-15796-te</t>
  </si>
  <si>
    <t>d-16245-ti</t>
  </si>
  <si>
    <t>d-16309-cn</t>
  </si>
  <si>
    <t>Kombes (Pol) Donny Charles Go</t>
  </si>
  <si>
    <t>d-16610-tr</t>
  </si>
  <si>
    <t>2019-08-22</t>
  </si>
  <si>
    <t>Wani Sabu (Executive Vice President Center of Digital BCA)</t>
  </si>
  <si>
    <t>d-16642-li</t>
  </si>
  <si>
    <t>d-16742-re</t>
  </si>
  <si>
    <t>Dian Sastro</t>
  </si>
  <si>
    <t>"anak yang berbeda"</t>
  </si>
  <si>
    <t>d-16804-de</t>
  </si>
  <si>
    <t>d-16875-cn</t>
  </si>
  <si>
    <t>d-16933-su</t>
  </si>
  <si>
    <t>d-17052-de</t>
  </si>
  <si>
    <t>Agus Susanto (Direktur Utama BPJS TK)***Krishna Syarif (Direktur Pelayanan BPJS TK)***Hanif Dhakiri (Menteri Ketenagakerjaan RI)</t>
  </si>
  <si>
    <t>"cacat"</t>
  </si>
  <si>
    <t>d-17333-li</t>
  </si>
  <si>
    <t>AKP Taifur (Kapolsek Sukatani)</t>
  </si>
  <si>
    <t>d-17399-li</t>
  </si>
  <si>
    <t>d-17426-te</t>
  </si>
  <si>
    <t>Agus Tri Haryanto (Kepala Sekolah Anak Berkebutuhan Khusus di Yayasan Sayap Ibu)</t>
  </si>
  <si>
    <t>"tuli"</t>
  </si>
  <si>
    <t>d-15579-ko</t>
  </si>
  <si>
    <t>2019-08-07</t>
  </si>
  <si>
    <t xml:space="preserve">Vivi Yulaswati (Direktur Penanggulangan Kemiskinan dan Kesejahteraan Sosial Kementerian PPN/Bappenas)***Gufron Sakaril (Ketua Umum PPDI) </t>
  </si>
  <si>
    <t>d-17521-cn</t>
  </si>
  <si>
    <t>d-17605-li</t>
  </si>
  <si>
    <t>d-17613-ok</t>
  </si>
  <si>
    <t>d-17621-re</t>
  </si>
  <si>
    <t>d-17628-su</t>
  </si>
  <si>
    <t>d-17645-su</t>
  </si>
  <si>
    <t>d-17671-su</t>
  </si>
  <si>
    <t>d-17338-ok</t>
  </si>
  <si>
    <t>Eni Hegedus-Buiron (Kepala Desainer Lulu et Gigi Couture)***Alex (Ayah Daisy)</t>
  </si>
  <si>
    <t>i-62-li</t>
  </si>
  <si>
    <t>Jessica Maxwell (Juru bicara Pentagon)</t>
  </si>
  <si>
    <t>"berpindah jenis kelamin"</t>
  </si>
  <si>
    <t>i-91-cn</t>
  </si>
  <si>
    <t>i-107-ok</t>
  </si>
  <si>
    <t>i-127-ko</t>
  </si>
  <si>
    <t>Lukasz Szumowski (Menteri Kesehatan Polandia)</t>
  </si>
  <si>
    <t>i-167-de</t>
  </si>
  <si>
    <t>Milda Murniati (Bundo Kanduang)</t>
  </si>
  <si>
    <t>"mencegah lgbt***penyimpangan seksual***lgbt dipicu tempat hiburan malam***pelaku lgbt"</t>
  </si>
  <si>
    <t>i-178-tr</t>
  </si>
  <si>
    <t>Ruben Loftus-Cheek (Pemain Chelsea)</t>
  </si>
  <si>
    <t>i-202-cn</t>
  </si>
  <si>
    <t>i-92-ok</t>
  </si>
  <si>
    <t>@cinti.arr***@desy_psi***@nugrandhika</t>
  </si>
  <si>
    <t>"terlihat seperti waria"</t>
  </si>
  <si>
    <t>i-396-de</t>
  </si>
  <si>
    <t>Kombes Argo Yuwono (Kabid Humas Polda Metro Jaya)</t>
  </si>
  <si>
    <t>i-493-de</t>
  </si>
  <si>
    <t>i-502-ok</t>
  </si>
  <si>
    <t>mami_jemmy***johanhikmat***shanaz_vani</t>
  </si>
  <si>
    <t>penyimpangan seksual</t>
  </si>
  <si>
    <t>i-511-de</t>
  </si>
  <si>
    <t>Viva Yoga Mauladi (Wakil Ketua Umum PAN)</t>
  </si>
  <si>
    <t>i-517-te</t>
  </si>
  <si>
    <t>Bambang Soesatyo (Ketua Dewan Perwakilan Rakyat)***Jazuli Juwaini (Ketua Fraksi PKS)</t>
  </si>
  <si>
    <t>i-532-su</t>
  </si>
  <si>
    <t>2019-02-12</t>
  </si>
  <si>
    <t>i-333-ti</t>
  </si>
  <si>
    <t>2019-01-31</t>
  </si>
  <si>
    <t>Ace Hasan Syadzily (Wakil Ketua Komisi VIII DPR)</t>
  </si>
  <si>
    <t>i-456-tr</t>
  </si>
  <si>
    <t>Kombes Pol Argo Yuwono (Kabid Humas Polda Metro Jaya)</t>
  </si>
  <si>
    <t>ternyata transgender</t>
  </si>
  <si>
    <t>i-686-ti</t>
  </si>
  <si>
    <t>i-718-ti</t>
  </si>
  <si>
    <t>i-412-tr</t>
  </si>
  <si>
    <t>"ternyata transgender"</t>
  </si>
  <si>
    <t>i-771-ti</t>
  </si>
  <si>
    <t>Saras Dewi (Dosen Filsafat UI)***Ace Hasan Syadzily (Wakil Ketua Komisi VIII DPR RI)***Ratna Batara Munti (Pengacara Publik LBH APIK)</t>
  </si>
  <si>
    <t>1***-1***1</t>
  </si>
  <si>
    <t>i-773-li</t>
  </si>
  <si>
    <t>Sharon Davies (mantan perenang Inggris)***Rachel McKinnon (atlet sepeda transgender)</t>
  </si>
  <si>
    <t>i-777-de</t>
  </si>
  <si>
    <t>Emily (korban kekerasan seksual)***Ibu Emily***Peter Wanless (Pimpinan NSPCC)***Jubir National Crime Agency***Jubir Facebook***Jubir Snapchat</t>
  </si>
  <si>
    <t>2***2***1***0***0***0</t>
  </si>
  <si>
    <t>1***1***1***1***0***0</t>
  </si>
  <si>
    <t>i-887-su</t>
  </si>
  <si>
    <t>i-959-re</t>
  </si>
  <si>
    <t>i-964-te</t>
  </si>
  <si>
    <t>Ricky Gunawan (Direktur LBH Masyarakat)</t>
  </si>
  <si>
    <t>i-968-li</t>
  </si>
  <si>
    <t>Lucinta Luna</t>
  </si>
  <si>
    <t>i-999-su</t>
  </si>
  <si>
    <t>i-1002-ti</t>
  </si>
  <si>
    <t>Widiya Hastuti (Pemimpin Redaksi SUARA USU)</t>
  </si>
  <si>
    <t>i-1025-te</t>
  </si>
  <si>
    <t>Kivlan Zen***Muhammad Effendi (Ketua RW)</t>
  </si>
  <si>
    <t>i-1057-re</t>
  </si>
  <si>
    <t>Matthew Woolfe (pendiri The Brunei Project)***Dede Oetomo (pegiat LGBT)</t>
  </si>
  <si>
    <t>i-930-ti</t>
  </si>
  <si>
    <t>Lea***Yulianus Rettoblaut***Roni***Hanif</t>
  </si>
  <si>
    <t>2***2***2***2</t>
  </si>
  <si>
    <t>1***1***1***0</t>
  </si>
  <si>
    <t>i-1208-ko</t>
  </si>
  <si>
    <t>David Brooks (kolumnis New York Times)</t>
  </si>
  <si>
    <t>i-1237-de</t>
  </si>
  <si>
    <t>Teungku Faisal Ali, (Wakil Ketua Majelis Permusyawaratan Ulama (MPU) Aceh)</t>
  </si>
  <si>
    <t>i-1248-ko</t>
  </si>
  <si>
    <t>i-1268-te</t>
  </si>
  <si>
    <t>Hotman Paris***Millendaru (Milen Cyrus)</t>
  </si>
  <si>
    <t>i-1296-li</t>
  </si>
  <si>
    <t>Pihak Dorchester Collection***Randall Garrison (Anggota Parlemen NDP)***Erin O'Toole (Kritikus urusan luar negeri)</t>
  </si>
  <si>
    <t>i-1329-de</t>
  </si>
  <si>
    <t>Sultan Brunei Hassanal Bolkiah***Antonio Guterres (Sekjen PBB)***George Clooney***Elton John</t>
  </si>
  <si>
    <t>-1***1***1***1</t>
  </si>
  <si>
    <t>i-1349-ok</t>
  </si>
  <si>
    <t>Peter Tatchell (Aktivis LGBT)</t>
  </si>
  <si>
    <t>i-1481-ko</t>
  </si>
  <si>
    <t>Brigjen Toni Harmanto (Wakapolda Jawa Timur)***Kombes Gupuh Setiyono (Direktur Reserse Kriminal Umum Polda Jawa Timur)***Aris</t>
  </si>
  <si>
    <t>i-1291-de</t>
  </si>
  <si>
    <t>Stuart Lewis (Kepala Risiko Deutsche Bank)***Antonio Guterres (Sekretaris Jenderal PBB)</t>
  </si>
  <si>
    <t>i-1440-li</t>
  </si>
  <si>
    <t>Mansyur (Ketua Bawaslu Kediri)***Ike Agus Rusalan (Ketua Perwaka Kediri Raya)</t>
  </si>
  <si>
    <t>i-1632-ti</t>
  </si>
  <si>
    <t>2019-04-28</t>
  </si>
  <si>
    <t>Mohammad Idris (Walikota Depok)</t>
  </si>
  <si>
    <t>i-1637-re</t>
  </si>
  <si>
    <t>2019-04-29</t>
  </si>
  <si>
    <t>i-1484-ok</t>
  </si>
  <si>
    <t>Lucinta Luna***Hilda Vitria</t>
  </si>
  <si>
    <t>i-1279-tr</t>
  </si>
  <si>
    <t>Heri Sugiono</t>
  </si>
  <si>
    <t>i-1535-li</t>
  </si>
  <si>
    <t>i-1548-ok</t>
  </si>
  <si>
    <t>Deddy Corbuzier</t>
  </si>
  <si>
    <t>i-1223-te</t>
  </si>
  <si>
    <t>Hassanal Bolkiah (Sultan Brunei Darussalam)***Phil Robertson (wakil direktur Asia di Human Rights Watch)</t>
  </si>
  <si>
    <t>i-1615-te</t>
  </si>
  <si>
    <t>Muda Mahendrawan (Bupati Kubu Raya)***Mohammad Idris (Wali Kota Depok)***Garin Nugroho</t>
  </si>
  <si>
    <t>i-1625-ti</t>
  </si>
  <si>
    <t>KH A Dimyati Badruzaman (Ketua Umum MUI Kota Depok)***Mohammad Idris (Wali Kota Depok)</t>
  </si>
  <si>
    <t>i-1642-tr</t>
  </si>
  <si>
    <t>Syarifah Adriana (Kasatpol PP)***Tumenggung Erwan Suparlan Adiningrat
(Dosen FKIP Untan)</t>
  </si>
  <si>
    <t>i-1660-te</t>
  </si>
  <si>
    <t>Nursalim Yadi Anugerah (Seniman)***Edi Rusdi</t>
  </si>
  <si>
    <t>i-1809-su</t>
  </si>
  <si>
    <t>Ma'ruf Bajammal (Pengacara Brigadir TT)</t>
  </si>
  <si>
    <t>i-1709-ok</t>
  </si>
  <si>
    <t>Agus Fachruddin (Wali Laskar FPI Surabaya)</t>
  </si>
  <si>
    <t>i-1887-ti</t>
  </si>
  <si>
    <t>2019-05-24</t>
  </si>
  <si>
    <t>Warga Taiwan***Shiau Hong-chi (professor studi gender dan manajemen komunikasi di Universitas Shih-Hsin)***Phil Robertson (wakil direktur Asia di Human Rights Watch)</t>
  </si>
  <si>
    <t>i-1819-su</t>
  </si>
  <si>
    <t>2019-05-18</t>
  </si>
  <si>
    <t>Jennifer Lu (kepala koordinator kelompok hak asasi Koalisi Kesetaraan Pernikahan Taiwan)</t>
  </si>
  <si>
    <t>i-1752-te</t>
  </si>
  <si>
    <t>i-1780-de</t>
  </si>
  <si>
    <t>Maju***Prof Bezerra</t>
  </si>
  <si>
    <t>i-1807-re</t>
  </si>
  <si>
    <t>Tsai-Ing Wen (Presiden Taiwan)***John Wu (Oposisi)</t>
  </si>
  <si>
    <t>i-1818-ok</t>
  </si>
  <si>
    <t>AKBP Dwi Hartono (Kapolres Lubuk Linggau)</t>
  </si>
  <si>
    <t>i-1820-tr</t>
  </si>
  <si>
    <t>AKBP Dwi Hartono (Kapolres Lubuk Linggau)***Kompol Zulkarnain (Waka Polres Lubuklinggau)***Bachtiar (Orang tua korban)***Novi Harian (Sahabat Wiwik)***Teti Sutrisnawati (Kakak korban)</t>
  </si>
  <si>
    <t>i-1830-cn</t>
  </si>
  <si>
    <t>Joseph Wu (Menlu Taiwan)</t>
  </si>
  <si>
    <t>i-1831-de</t>
  </si>
  <si>
    <t>M Afif Abdul Qoim (Kuasa hukum TT)***Ma'ruf Bajammal (Kuasa hukum TT)***Brigjen Dedi Prasetyo (Karo Penmas Divisi Humas Polri)</t>
  </si>
  <si>
    <t>i-1870-tr</t>
  </si>
  <si>
    <t>Panca Yunior Utomo (Ketua Majelis Hakim)</t>
  </si>
  <si>
    <t>kelainan orientasi seks</t>
  </si>
  <si>
    <t>i-2010-cn</t>
  </si>
  <si>
    <t>Leiataua Niuapu Faaui</t>
  </si>
  <si>
    <t>i-1953-te</t>
  </si>
  <si>
    <t>i-2046-ok</t>
  </si>
  <si>
    <t>i-2069-cn</t>
  </si>
  <si>
    <t>Juru bicara Macron</t>
  </si>
  <si>
    <t>i-2074-re</t>
  </si>
  <si>
    <t>Nasrul Abit (Wagub Sumbar)</t>
  </si>
  <si>
    <t>sex menyimpang</t>
  </si>
  <si>
    <t>i-2029-ti</t>
  </si>
  <si>
    <t>Eno (warga Beji)***Maulida Octaviani (warga Cilodong)***Nyoman***JJ Rizal (Sejarawan)***Salviadona Tri Partita (Kabag Hukum Setda Kota Depok)***Yurgen Sutarno (juru bicara Partai Solidaritas Indonesia)***Uu Ruzhanul Ulum (Mantan Bupati Tasikmalaya)***Bonar Tigor Naipospos (Wakil Ketua Setara Institute)</t>
  </si>
  <si>
    <t>0***0***0***0***-1***1***0***1</t>
  </si>
  <si>
    <t>i-2109-su</t>
  </si>
  <si>
    <t>Oka Ariani Andikarini (JPU)</t>
  </si>
  <si>
    <t>kisah hubungan sesama jenis</t>
  </si>
  <si>
    <t>i-2150-ko</t>
  </si>
  <si>
    <t>Pangeran William</t>
  </si>
  <si>
    <t>i-2155-te</t>
  </si>
  <si>
    <t>Seorang sumber</t>
  </si>
  <si>
    <t>i-2032-tr</t>
  </si>
  <si>
    <t>Muhammad Haziq Abdul Aziz</t>
  </si>
  <si>
    <t>i-2191-de</t>
  </si>
  <si>
    <t>Ipda Artenius (Kanit Timsus Polda Sulsel)</t>
  </si>
  <si>
    <t>i-2202-de</t>
  </si>
  <si>
    <t>Onad (Vokalis Killing Me Inside)</t>
  </si>
  <si>
    <t>banci</t>
  </si>
  <si>
    <t>i-2285-su</t>
  </si>
  <si>
    <t>AKP Faref Yusuf (Kapolsek Wringinanom)***Hermin (Pelaku)</t>
  </si>
  <si>
    <t>i-2608-te</t>
  </si>
  <si>
    <t>Bernhard (Anggota Dewan Perwakilan Rakyat Daerah Kota Depok)***Hamzah (anggota Fraksi Gerindra)***Sahat Farida Berlian (Wakil Ketua Komisi D)</t>
  </si>
  <si>
    <t>i-2361-ko</t>
  </si>
  <si>
    <t>Rapinoe</t>
  </si>
  <si>
    <t>i-2406-te</t>
  </si>
  <si>
    <t>Cara McCann (aktivis LGBT Irlandia Utara)</t>
  </si>
  <si>
    <t>i-2426-ti</t>
  </si>
  <si>
    <t>Ade Kusmanto (Kepala Bagian Humas Ditjen PAS Kemenkum HAM)</t>
  </si>
  <si>
    <t>i-2451-de</t>
  </si>
  <si>
    <t>i-2535-re</t>
  </si>
  <si>
    <t>i-2537-te</t>
  </si>
  <si>
    <t>Hamzah (Anggota Fraksi Gerindra)***Sri Utami (Ketua BPPD DPRD Kota Depok)</t>
  </si>
  <si>
    <t>i-2209-de</t>
  </si>
  <si>
    <t>Rio Setiady (Sekretaris Komisi III DPRD Kota Pangkalpinang)</t>
  </si>
  <si>
    <t>i-2581-cn</t>
  </si>
  <si>
    <t>Kevin Feige (Presiden Marvel)***Scarlett Johansson***Tessa Thompson</t>
  </si>
  <si>
    <t>1***0***1</t>
  </si>
  <si>
    <t>i-2589-li</t>
  </si>
  <si>
    <t>dr Wiendra Waworuntu M.Kes (Direktur Pencegahan dan Pengendalian Penyakit Menular Langsung Kemenkes RI)***Dr dr Andri Sanityoso Sulaiman, Sp.PD KGHE</t>
  </si>
  <si>
    <t>i-2724-ok</t>
  </si>
  <si>
    <t>i-2728-te</t>
  </si>
  <si>
    <t>Ardhany S (Manajer Program Rumah Cemara)***Maidina Rahmawati (peneliti ICJR)</t>
  </si>
  <si>
    <t>i-2743-su</t>
  </si>
  <si>
    <t>Brászá Lis Ribiero (Model VS)***Lverver Cox (Rekan LGBT)***Valentina Sampaio</t>
  </si>
  <si>
    <t>0***1***2</t>
  </si>
  <si>
    <t>i-2781-tr</t>
  </si>
  <si>
    <t>Sigit (Suami)***Stasya</t>
  </si>
  <si>
    <t>"merasa ada yang aneh dengan dirinya***rela bercerai (demi si transgender)"</t>
  </si>
  <si>
    <t>i-2790-ti</t>
  </si>
  <si>
    <t>i-2820-ko</t>
  </si>
  <si>
    <t>Yael Stefani Sinaga (Pemimpin Suara USU)</t>
  </si>
  <si>
    <t>i-2871-su</t>
  </si>
  <si>
    <t>Gretchen Diaz (Transpuan)***Catriona Gray (Miss Universe 2018)</t>
  </si>
  <si>
    <t>i-2980-li</t>
  </si>
  <si>
    <t>Teddy Quinlivan (model transgender AS)***Laverne Cox (Aktris)</t>
  </si>
  <si>
    <t>i-2990-re</t>
  </si>
  <si>
    <t>Shawn Mendes</t>
  </si>
  <si>
    <t>i-2993-re</t>
  </si>
  <si>
    <t>p-1241-ko</t>
  </si>
  <si>
    <t>Panut Mulyono (Rektor UGM)</t>
  </si>
  <si>
    <t>p-189-ko</t>
  </si>
  <si>
    <t>AKBP Arman Asmara (Wakil Direktur Kriminal Khusus Polda Jawa Timur)</t>
  </si>
  <si>
    <t>p-330-ko</t>
  </si>
  <si>
    <t>AKBP Arisandi (Kasubdit Cyber Crime Ditreskrimsus Polda Jatim)***Kombes Frans Barung Mangera (Kabid Humas Polda Jatim)</t>
  </si>
  <si>
    <t>p-647-de</t>
  </si>
  <si>
    <t>BE (Pemerkosa anak)***Ipda Yulistiana Sri Iriana (Kanit UPPA Polres Malang)</t>
  </si>
  <si>
    <t>p-989-ti</t>
  </si>
  <si>
    <t>Memed Adiwinata (Kuasa Hukum Syafri Adnan Baharuddin)***RA (Korban pemerkosaan)</t>
  </si>
  <si>
    <t>p-1667-su</t>
  </si>
  <si>
    <t>p-2170-ok</t>
  </si>
  <si>
    <t>Adityana Kasandra Putranto (Psikolog)</t>
  </si>
  <si>
    <t>p-2700-li</t>
  </si>
  <si>
    <t>Irjen Pol Luki Hermawan (Kapolda Jatim)***Ahmad Yusep Gunawan (Direktur Kriminal Khusus Polda Jatim)***Mega Angkasa (Ketua Bidang Komunikasi Yayasan Puteri Indonesia)</t>
  </si>
  <si>
    <t>p-3023-de</t>
  </si>
  <si>
    <t>p-3560-li</t>
  </si>
  <si>
    <t>Irjen Pol Luki Hermawan (Kapolda Jawa Timur)</t>
  </si>
  <si>
    <t>p-3884-te</t>
  </si>
  <si>
    <t>Antonio Guterres (Sekretaris Jenderal PBB)</t>
  </si>
  <si>
    <t>p-4025-ko</t>
  </si>
  <si>
    <t>Chris Brown</t>
  </si>
  <si>
    <t>p-4129-ok</t>
  </si>
  <si>
    <t>Edi Hasibuan (Direktur Eksekutif Lemkapi)</t>
  </si>
  <si>
    <t>p-1946-te</t>
  </si>
  <si>
    <t>Subiyanto (Ketua Tim Panel)</t>
  </si>
  <si>
    <t>p-4849-su</t>
  </si>
  <si>
    <t>p-5224-ko</t>
  </si>
  <si>
    <t>Azriana Manalu (Ketua Komnas Perempuan)</t>
  </si>
  <si>
    <t>p-5642-ok</t>
  </si>
  <si>
    <t>Kompol Andi Sinjaya Ghalib</t>
  </si>
  <si>
    <t>p-5683-li</t>
  </si>
  <si>
    <t>p-6284-ko</t>
  </si>
  <si>
    <t>RA (Terduga korban pelecehan seksual)</t>
  </si>
  <si>
    <t>p-6410-ti</t>
  </si>
  <si>
    <t>Siti Mazuma (Direktur LBH APIK)</t>
  </si>
  <si>
    <t>p-6446-li</t>
  </si>
  <si>
    <t>p-6550-cn</t>
  </si>
  <si>
    <t>Steven Greenberg (Kuasa hukum R Kelly)</t>
  </si>
  <si>
    <t>p-6656-tr</t>
  </si>
  <si>
    <t>Irjen Pol Zulkarnain Adinegara (Kapolda Sumsel)***Petugas rumah sakit</t>
  </si>
  <si>
    <t>p-7090-ok</t>
  </si>
  <si>
    <t>p-7357-te</t>
  </si>
  <si>
    <t>Seungri</t>
  </si>
  <si>
    <t>p-7446-ti</t>
  </si>
  <si>
    <t>Tengku Zulkarnain</t>
  </si>
  <si>
    <t>p-7793-ok</t>
  </si>
  <si>
    <t>p-7825-ok</t>
  </si>
  <si>
    <t>p-7937-re</t>
  </si>
  <si>
    <t>p-8085-ko</t>
  </si>
  <si>
    <t>Sofiyan Ardeni (Kapolsek Tanah Abang AKP)</t>
  </si>
  <si>
    <t>p-8532-su</t>
  </si>
  <si>
    <t>AKBP Adhi Purboyo (Wakapolrestabes Makassar)</t>
  </si>
  <si>
    <t>"hubungan badan"</t>
  </si>
  <si>
    <t>p-8595-de</t>
  </si>
  <si>
    <t>Endang Suhartini</t>
  </si>
  <si>
    <t>p-8716-li</t>
  </si>
  <si>
    <t>p-8840-te</t>
  </si>
  <si>
    <t>Winarko (Jaksa)</t>
  </si>
  <si>
    <t>p-9534-re</t>
  </si>
  <si>
    <t>Ipda Julkisno Kaisupy (Kasubag Humas Polres p.Ambon dan PP Lease)</t>
  </si>
  <si>
    <t>p-8935-re</t>
  </si>
  <si>
    <t>p-9216-ok</t>
  </si>
  <si>
    <t>Pribudiarta Nur Sitepu (Sekretaris Kementerian PPPA)</t>
  </si>
  <si>
    <t>p-9306-re</t>
  </si>
  <si>
    <t>Lenin Moreno (Presiden Ekuador)</t>
  </si>
  <si>
    <t>p-9616-cn</t>
  </si>
  <si>
    <t>Richard Marpaung (Kepala Seksi Penerangan Hukum)***Rahmat Santoso (Kuasa hukum Vanessa Angel)</t>
  </si>
  <si>
    <t>p-9660-ti</t>
  </si>
  <si>
    <t>p-9807-de</t>
  </si>
  <si>
    <t>p-10023-de</t>
  </si>
  <si>
    <t>Midha Karim (Ketua Aliansi Perempuan (Alpen) Sultra)***Mayor ARM Sumarsono (Kapenrem Korem 143 Halu Oleo)</t>
  </si>
  <si>
    <t>p-10058-ti</t>
  </si>
  <si>
    <t>Kombes Pol Irman Sugema (Kapolrestabes Bandung)***M. Isnur (Kadiv Advokasi YLBHI)***Asep</t>
  </si>
  <si>
    <t>-1***1***0</t>
  </si>
  <si>
    <t>p-10093-tr</t>
  </si>
  <si>
    <t>Milano Lubis (Kuasa Hukum Vanessa)***Jane Shalimar (Temen Vanessa)</t>
  </si>
  <si>
    <t>p-10113-tr</t>
  </si>
  <si>
    <t>Iptu Denhar (Kapolsek Nibung)</t>
  </si>
  <si>
    <t>p-9944-ti</t>
  </si>
  <si>
    <t>Iriyanto Widisuseno (ketua tim investigasi)***Nurhayati (Dekan FIB Undip)***Kayla</t>
  </si>
  <si>
    <t>0***0***2</t>
  </si>
  <si>
    <t>p-10264-tr</t>
  </si>
  <si>
    <t>p-10350-ti</t>
  </si>
  <si>
    <t>p-10467-re</t>
  </si>
  <si>
    <t>Eva-Marie Persson (Wakil Kepala Jaksa Penuntut Swedia)</t>
  </si>
  <si>
    <t>p-10921-li</t>
  </si>
  <si>
    <t>Mohammad Iqbal (ketua penyidik)***Mahmudul Hasan Noman (Saudara laki-laki Rafi)***Kepala Mahila Parishad</t>
  </si>
  <si>
    <t>p-10688-ko</t>
  </si>
  <si>
    <t>Chandrawati Rezki Prastuti (JPU)</t>
  </si>
  <si>
    <t>p-10783-te</t>
  </si>
  <si>
    <t>p-10971-tr</t>
  </si>
  <si>
    <t>AKBP Adewira Negara Siregar (Kapolres Blitar Kota)</t>
  </si>
  <si>
    <t>p-11017-ko</t>
  </si>
  <si>
    <t>Tite</t>
  </si>
  <si>
    <t>p-11029-te</t>
  </si>
  <si>
    <t>p-11239-re</t>
  </si>
  <si>
    <t>Rudiantara (Menkominfo)</t>
  </si>
  <si>
    <t>p-11282-re</t>
  </si>
  <si>
    <t>p-11428-de</t>
  </si>
  <si>
    <t>Dhini Ardhanie (Jaksa Penuntut Umum)***Abdul Malik (Kuasa hukum Vanessa)</t>
  </si>
  <si>
    <t>p-11452-te</t>
  </si>
  <si>
    <t>p-11486-su</t>
  </si>
  <si>
    <t>Sumber tanpa nama</t>
  </si>
  <si>
    <t>p-11555-cn</t>
  </si>
  <si>
    <t>Milano Lubis (Kuasa Hukum Vanessa)***Novan Arianto (JPU)</t>
  </si>
  <si>
    <t>p-11648-li</t>
  </si>
  <si>
    <t>Asif Saeed Khosa (Hakim Agung Pakistan)***Romana Bashir (Kepala Yayasan Perdamaian dan Pembangunan Pakistan)</t>
  </si>
  <si>
    <t>p-11655-te</t>
  </si>
  <si>
    <t>E Jean Carroll (Penulis)***Donald Trump</t>
  </si>
  <si>
    <t>p-11688-re</t>
  </si>
  <si>
    <t>p-11877-ko</t>
  </si>
  <si>
    <t>p-11909-de</t>
  </si>
  <si>
    <t>Hotman Paris</t>
  </si>
  <si>
    <t>p-11314-ko</t>
  </si>
  <si>
    <t>AKP Bambang Purnomo (Kasatreskrim Polres Tegal)</t>
  </si>
  <si>
    <t>p-11935-su</t>
  </si>
  <si>
    <t>@intdie.shop***@rianty_nwl12***@cahyaniratih</t>
  </si>
  <si>
    <t>p-12031-ko</t>
  </si>
  <si>
    <t>p-12233-li</t>
  </si>
  <si>
    <t>Albertus Husada (Ketua Majelis Hakim)***Presiden Joko Widodo***Andi Samsan Nganro (Juru Bicara MA)</t>
  </si>
  <si>
    <t>p-12299-ko</t>
  </si>
  <si>
    <t>Mutiara Ika Pratiwi (Koordinator Perempuan Mahardhika)***Presiden Joko Widodo***Joko Jumadi (Kuasa hukum Baiq Nuril)</t>
  </si>
  <si>
    <t>1***0***2</t>
  </si>
  <si>
    <t>p-12305-li</t>
  </si>
  <si>
    <t>Joko Jumadi (Kuasa hukum Baiq Nuril)***Sri Nurherwati (Ketua Subkomisi Pemantauan Komnas Perempuan)</t>
  </si>
  <si>
    <t>p-12354-de</t>
  </si>
  <si>
    <t>Bestha Inatsan (peneliti Mappi FH UI)</t>
  </si>
  <si>
    <t>p-12363-ok</t>
  </si>
  <si>
    <t>Abdul Hajar Fickar (Pakar hukum pidana)</t>
  </si>
  <si>
    <t>p-12374-ti</t>
  </si>
  <si>
    <t>Ninik Rahayu (Komisioner Ombudsman RI)</t>
  </si>
  <si>
    <t>p-12486-ti</t>
  </si>
  <si>
    <t>Darcy Paquet (Kritikus film)***Devi Asmarani (Penggagas Mango Meter)</t>
  </si>
  <si>
    <t>p-12598-te</t>
  </si>
  <si>
    <t>Ardiansjah Dara (Dokter kandungan)</t>
  </si>
  <si>
    <t>p-12803-su</t>
  </si>
  <si>
    <t>Tun Dr Mahathir Mohamad (Perdana Menteri Malaysia)***Dr Lee</t>
  </si>
  <si>
    <t>p-13252-cn</t>
  </si>
  <si>
    <t>Lee Min-woo***Jun Jin</t>
  </si>
  <si>
    <t>p-12275-ti</t>
  </si>
  <si>
    <t>Fahri Hamzah (Wakil Ketua DPR)***Aziz Fauzi (Penasihat hukum Baiq Nuril)</t>
  </si>
  <si>
    <t>p-13498-tr</t>
  </si>
  <si>
    <t>p-13539-cn</t>
  </si>
  <si>
    <t>p-13721-ti</t>
  </si>
  <si>
    <t>Aziz Syamsudddin (politikus Partai Golkar)</t>
  </si>
  <si>
    <t>p-13092-re</t>
  </si>
  <si>
    <t>Baiq Nuril Maknun</t>
  </si>
  <si>
    <t>p-14220-su</t>
  </si>
  <si>
    <t>p-14420-re</t>
  </si>
  <si>
    <t>Yasonna Laoly (Menteri Hukum dan HAM)***Baiq Nuril</t>
  </si>
  <si>
    <t>p-14604-ti</t>
  </si>
  <si>
    <t>Ma'ruf Amin***Bambang Brodjonegoro (Kepala Bappenas)***Tresye Widiastuti Paidi (pengawas di Direktorat Pengawasan Norma Kerja Perempuan dan Anak Kementerian Ketenagakerjaan)</t>
  </si>
  <si>
    <t>p-15570-cn</t>
  </si>
  <si>
    <t>Ace Hasan Syadzily (Wakil Ketua Komisi VIII DPR dari Fraksi Partai Golkar)***Ketua Umum IDI Daeng M Faqih</t>
  </si>
  <si>
    <t>p-14856-li</t>
  </si>
  <si>
    <t>p-14874-te</t>
  </si>
  <si>
    <t>Ade Armando (Pembela Korban Kekerasan Seksual)</t>
  </si>
  <si>
    <t>p-14981-ko</t>
  </si>
  <si>
    <t>Dicky Sondani (Kombes Polisi)</t>
  </si>
  <si>
    <t>"percobaan pemerkosaan"</t>
  </si>
  <si>
    <t>p-15010-tr</t>
  </si>
  <si>
    <t>AKP Ruth Yeni (Kanit PPA Polrestabes Surabaya)***Dian Tri Susilo***Nur Hidayat***AKBP Leonard Sinambela (Direskrimum Polda Jatim)</t>
  </si>
  <si>
    <t>0***-1***-1***0</t>
  </si>
  <si>
    <t>"pelaku mengklaim istri tak menolak***menawarkan tubuh istrinya***bisnis esek-esek"</t>
  </si>
  <si>
    <t>p-15195-cn</t>
  </si>
  <si>
    <t>AKBP Ferdy Irawan (Kapolres Metro Tangerang Selatan)***AKP Muharam Wibisono (Kasat Reskrim Polres Metro Tangsel)</t>
  </si>
  <si>
    <t>p-15371-su</t>
  </si>
  <si>
    <t>Yan Widjaya</t>
  </si>
  <si>
    <t>p-15406-te</t>
  </si>
  <si>
    <t>p-15708-ti</t>
  </si>
  <si>
    <t>Ratna Batara Murti (Koordinator Jaringan Kerja Program Legislasi Pro Perempuan (JKP3))***Marwan Dasopang (Ketua Panja RUU PKS)</t>
  </si>
  <si>
    <t>p-15879-te</t>
  </si>
  <si>
    <t>Arist Merdeka Sirait (Ketua Umum Komisi Nasional Perlindungan Anak)***Ajun Komisaris Besar Andi M. Dicky Pastika (Kepala Polres Bogor)</t>
  </si>
  <si>
    <t>p-14683-de</t>
  </si>
  <si>
    <t>Retno Listyarti (Komisioner KPAI)</t>
  </si>
  <si>
    <t>p-15990-su</t>
  </si>
  <si>
    <t>Doddy Soedrajat (Ayah Vanessa)</t>
  </si>
  <si>
    <t>p-16012-de</t>
  </si>
  <si>
    <t>p-16050-re</t>
  </si>
  <si>
    <t>Ita Fatia Nadia (Koordinator Nasional Kekerasan Berbasis Gender dalam Situasi Darurat Dana Penduduk PBB (UNFPA))***Nyimas Aliah (Asisten Deputi Perlindungan Hak Perempuan dalam Situasi Darurat dan Kondisi Khusus Kementerian Pemberdayaan Perempuan dan Perlindungan Anak)</t>
  </si>
  <si>
    <t>p-16123-re</t>
  </si>
  <si>
    <t>Iwan Saktiadi (Kapolres Sukoharjo AKBP)</t>
  </si>
  <si>
    <t>p-16153-cn</t>
  </si>
  <si>
    <t>p-16171-re</t>
  </si>
  <si>
    <t>Ace Hasan Syadzily (Wakil Ketua Komisi VIII DPR RI)***Aziz Syamsuddin (Ketua Komisi III)</t>
  </si>
  <si>
    <t>Abdul Fickar Hajar (Dosen Hukum Pidana Universitas Trisakti)***Taufiqulhadi (Anggota Panitia Kerja (Panja) RKUHP)</t>
  </si>
  <si>
    <t>p-16263-li</t>
  </si>
  <si>
    <t>Demi Moore</t>
  </si>
  <si>
    <t>p-16286-su</t>
  </si>
  <si>
    <t>Bambang Soesatyo (Mantan Ketua DPR)</t>
  </si>
  <si>
    <t>p-16351-su</t>
  </si>
  <si>
    <t>Ibnu (Pelaku pelecehan)***AKP Ruth Yeni (Kanit PPA Polrestabes Surabaya)</t>
  </si>
  <si>
    <t>"aksi"</t>
  </si>
  <si>
    <t>a-7-li</t>
  </si>
  <si>
    <t>a-16-cn</t>
  </si>
  <si>
    <t>a-18-te</t>
  </si>
  <si>
    <t>a-40-re</t>
  </si>
  <si>
    <t>a-55-ti</t>
  </si>
  <si>
    <t>a-60-te</t>
  </si>
  <si>
    <t>Rivanlee Anandar (Kepala Riset Penelitian KontraS)</t>
  </si>
  <si>
    <t>a-69-ko</t>
  </si>
  <si>
    <t>a-78-re</t>
  </si>
  <si>
    <t>a-90-su</t>
  </si>
  <si>
    <t>Hidayat (Ketua RW 13)***AKBP Nugrah Trihadi (Wadirreskrimum Polda DIY)</t>
  </si>
  <si>
    <t>a-100-de</t>
  </si>
  <si>
    <t>a-109-li</t>
  </si>
  <si>
    <t>a-135-te</t>
  </si>
  <si>
    <t>d-48-li</t>
  </si>
  <si>
    <t>Dwi Wahyu Atmaji (Sekretaris Kemenpan-RB)</t>
  </si>
  <si>
    <t>d-108-cn</t>
  </si>
  <si>
    <t>d-156-te</t>
  </si>
  <si>
    <t>Kevin Smith (Ilmuwan Politik)</t>
  </si>
  <si>
    <t>d-195-li</t>
  </si>
  <si>
    <t>@GonzaloSGR</t>
  </si>
  <si>
    <t>"buta"</t>
  </si>
  <si>
    <t>d-212-su</t>
  </si>
  <si>
    <t>Howard Fisher***sumber tanpa nama 1***sumber tanpa nama 2</t>
  </si>
  <si>
    <t>2***-1***-1</t>
  </si>
  <si>
    <t>d-232-cn</t>
  </si>
  <si>
    <t>d-257-su</t>
  </si>
  <si>
    <t>d-265-te</t>
  </si>
  <si>
    <t>d-276-tr</t>
  </si>
  <si>
    <t>Moh. Masduki***Hamzah (ayah Moh Efendi)</t>
  </si>
  <si>
    <t>d-282-de</t>
  </si>
  <si>
    <t>d-334-su</t>
  </si>
  <si>
    <t>dr. Agung Prijanto SpKJ (Sekretaris Pengurus PDSKJI)</t>
  </si>
  <si>
    <t>d-716-te</t>
  </si>
  <si>
    <t>d-869-cn</t>
  </si>
  <si>
    <t>Alvina (Dokter jiwa)***Martha (Dokter jiwa)***LR (Korban pelemparan sperma)</t>
  </si>
  <si>
    <t>d-564-su</t>
  </si>
  <si>
    <t>Ashley Hampton (Psikolog)</t>
  </si>
  <si>
    <t>Sumarti (Warga setempat)</t>
  </si>
  <si>
    <t>d-708-su</t>
  </si>
  <si>
    <t>Irjen Gatot Eddy Pramono (Kapolda Metro Jaya)</t>
  </si>
  <si>
    <t>d-871-cn</t>
  </si>
  <si>
    <t>Alvina (dokter spesialis kejiwaan RS Awal Bros)</t>
  </si>
  <si>
    <t>d-914-ok</t>
  </si>
  <si>
    <t>d-1128-cn</t>
  </si>
  <si>
    <t>Pemprov DKI</t>
  </si>
  <si>
    <t>d-1151-ko</t>
  </si>
  <si>
    <t>Angkie Yudistia (Penyandang Tunarungu, CEO Thisable Enterprise, Stafsus)</t>
  </si>
  <si>
    <t>d-1264-tr</t>
  </si>
  <si>
    <t>Angkie Yudistia (Stafsus Millenial)</t>
  </si>
  <si>
    <t>d-1300-ko</t>
  </si>
  <si>
    <t>Kompol Muryanto (Kapolsek Srandakan)</t>
  </si>
  <si>
    <t>d-1337-su</t>
  </si>
  <si>
    <t>d-1392-li</t>
  </si>
  <si>
    <t>d-1414-te</t>
  </si>
  <si>
    <t>d-1843-ti</t>
  </si>
  <si>
    <t>d-1919-cn</t>
  </si>
  <si>
    <t>Dr Maszlee Bin Malik (Menteri Pendidikan Malaysia)</t>
  </si>
  <si>
    <t>d-1648-de</t>
  </si>
  <si>
    <t>Aida Saskia***Benny Prawira (aktivis dan pendiri komunitas Into The Light Indonesia)</t>
  </si>
  <si>
    <t>d-1661-li</t>
  </si>
  <si>
    <t>Angkie Yudistia (Pendiri Thisable Enterprise dan Stasus)***Bahrul Fuad (Konsultan Disabilitas dan Inklusi Sosial)***Vanessa Vlajkovic (Pegiat disabilitas)***Ananda Sukarlan (Komposer)</t>
  </si>
  <si>
    <t>1***1***2***2</t>
  </si>
  <si>
    <t>d-2241-tr</t>
  </si>
  <si>
    <t>Tatang Sutrisna (penderita penyakit katarak asal Bandung)***Irwan Hidayat (Direktur Sido Muncul)***Dewi Basmala Gatot (Direktur RSUD AL Ihsan)*** Prof. Dr. dr. Nila Djuwita Faried Anfasa Moeloek (Dewan Penasihat SPBK Perdami Pusat)</t>
  </si>
  <si>
    <t>0***1***0***1</t>
  </si>
  <si>
    <t>d-2292-ti</t>
  </si>
  <si>
    <t>d-2317-ok</t>
  </si>
  <si>
    <t>Agustinus Purna Irawan (Rektor Untar)</t>
  </si>
  <si>
    <t>d-2450-su</t>
  </si>
  <si>
    <t>Ghada Abushahla (Project Officer Atfaluna)</t>
  </si>
  <si>
    <t>d-2199-li</t>
  </si>
  <si>
    <t>Nur Isnin Istiartono (Sekreraris Direktorat Jenderal Perhubungan Udara)***Darat Pitra Setiawan (Kepala Humas Direktorat Jenderal Perhubungan)</t>
  </si>
  <si>
    <t>d-1825-ko</t>
  </si>
  <si>
    <t>Martinus Adat (Tunanetra)***Donikus Wangku (Tetangga Martinus)</t>
  </si>
  <si>
    <t>d-2321-re</t>
  </si>
  <si>
    <t>Endra Nawawi (Saksi ahli)***AKBP Anom Karibianto (Kapolres Tasikmalaya Kota)</t>
  </si>
  <si>
    <t>d-2627-cn</t>
  </si>
  <si>
    <t>d-2665-re</t>
  </si>
  <si>
    <t>Yohana (Pengguna LRT)***Aulia (Pengguna LRT)***Aditya Kesuma (General Manager Operasi dan Pelayanan PT LRT Jakarta)***Allan Tandiono (Direktur Utama PT LRT Jakarta)</t>
  </si>
  <si>
    <t>d-2689-te</t>
  </si>
  <si>
    <t>Tati Leliana (Guru SLB)</t>
  </si>
  <si>
    <t>i-4-li</t>
  </si>
  <si>
    <t>i-9-su</t>
  </si>
  <si>
    <t>Widi Mulia</t>
  </si>
  <si>
    <t>i-13-tr</t>
  </si>
  <si>
    <t>Syahranie Arysia Andhina (Humas Rumah Sakit Abdul Wahab)***Iptu Muhammad Afnan (Kapolsek Sanga Sanga)***SA</t>
  </si>
  <si>
    <t>i-31-su</t>
  </si>
  <si>
    <t>D. Razumilov</t>
  </si>
  <si>
    <t>i-45-de</t>
  </si>
  <si>
    <t>i-52-cn</t>
  </si>
  <si>
    <t>Narasumber tanpa nama</t>
  </si>
  <si>
    <t>i-61-tr</t>
  </si>
  <si>
    <t>AKBP Juang Andi Priyanto (Kapolres Cianjur)</t>
  </si>
  <si>
    <t>i-68-de</t>
  </si>
  <si>
    <t>i-70-ko</t>
  </si>
  <si>
    <t>i-93-cn</t>
  </si>
  <si>
    <t>i-97-li</t>
  </si>
  <si>
    <t>Israel Folau (Pemain rugby)***Scott Morrison (Perdana Menteri)***Alan Jones</t>
  </si>
  <si>
    <t>i-112-tr</t>
  </si>
  <si>
    <t>i-114-cn</t>
  </si>
  <si>
    <t>Allison Battison (Pengacara)***Pria</t>
  </si>
  <si>
    <t>1***2</t>
  </si>
  <si>
    <t>i-152-li</t>
  </si>
  <si>
    <t>i-177-tr</t>
  </si>
  <si>
    <t>Ninik Rahayu (anggota Ombudsman)</t>
  </si>
  <si>
    <t>i-222-de</t>
  </si>
  <si>
    <t>i-233-su</t>
  </si>
  <si>
    <t>Swe Zin Htet (Miss Universe Myanmar 2019)</t>
  </si>
  <si>
    <t>"penyuka sesama jenis"</t>
  </si>
  <si>
    <t>i-255-cn</t>
  </si>
  <si>
    <t>i-262-cn</t>
  </si>
  <si>
    <t>Lily Allen (Musisi)</t>
  </si>
  <si>
    <t>i-292-ti</t>
  </si>
  <si>
    <t>i-294-tr</t>
  </si>
  <si>
    <t>Gebby Vesta***Lucinta Luna</t>
  </si>
  <si>
    <t>i-320-de</t>
  </si>
  <si>
    <t>Jareth Nebula</t>
  </si>
  <si>
    <t>i-341-de</t>
  </si>
  <si>
    <t>i-343-ok</t>
  </si>
  <si>
    <t>Andri Sundara***Nora Alexandria</t>
  </si>
  <si>
    <t>i-345-tr</t>
  </si>
  <si>
    <t>Tina Bejarano</t>
  </si>
  <si>
    <t>i-349-li</t>
  </si>
  <si>
    <t>p-93-cn</t>
  </si>
  <si>
    <t>p-94-ko</t>
  </si>
  <si>
    <t>AKP Tukiman (Pjs Kasat Reskrim Polres Balangan)</t>
  </si>
  <si>
    <t>"namun korban berteriak"</t>
  </si>
  <si>
    <t>p-167-ko</t>
  </si>
  <si>
    <t>Shahriar Khan (kepala polisi lokal)</t>
  </si>
  <si>
    <t>p-205-cn</t>
  </si>
  <si>
    <t>Zamzam Syahara (Koordinator umum #SurabayaMenggugat)***Satria Aji (Wakil Presiden Badan Eksekutif Mahasiswa Unair Surabaya)</t>
  </si>
  <si>
    <t>p-226-ko</t>
  </si>
  <si>
    <t>entah apa yang ada di pikiran***menggauli***korban digilir***melayani nafsu***namun korban menolak</t>
  </si>
  <si>
    <t>p-289-ti</t>
  </si>
  <si>
    <t>p-296-su</t>
  </si>
  <si>
    <t>AKP Tiksnarto Andaru Rahutomo (Kepala Satuan Reserse Kriminal Polres Malang)</t>
  </si>
  <si>
    <t>nasib malang***menggerayangi tubuh</t>
  </si>
  <si>
    <t>p-449-ti</t>
  </si>
  <si>
    <t>Agus Sartono (Deputi Koordinasi Bidang Pendidikan dan Agama Kementerian Koordinator Bidang PMK)***Alissa Wahid***Muhadjir Effendy***Tunggal Pawestri (Pegiat isu perempuan)</t>
  </si>
  <si>
    <t>p-471-tr</t>
  </si>
  <si>
    <t>Adib Setiawan (Psikolog dari Yayasan Praktek Psikolog Indonesia)</t>
  </si>
  <si>
    <t>p-485-ko</t>
  </si>
  <si>
    <t>Achmad Hamam Rochani (Penulis Babad Tanah Kendal)***Sugito</t>
  </si>
  <si>
    <t>p-231-ok</t>
  </si>
  <si>
    <t>Amelia Anggraini (Ketua DPP NasDem bidang Perempuan dan Anak)***Ary Egahni (anggota DPR Fraksi Partai NasDem)***Taufik Basari (Ketua DPP Partai Nasdem Bidang Advokasi Hukum dan HAM)</t>
  </si>
  <si>
    <t>p-524-cn</t>
  </si>
  <si>
    <t>Eve-Marie Persson (jaksa penuntut umum Swedia)</t>
  </si>
  <si>
    <t>p-592-ok</t>
  </si>
  <si>
    <t>Christine Lambrecht (Menteri Kehakiman)***Stephan Thomae (wakil pemimpin kelompok oposisi Demokrat Free)***Johannes-Wilhelm Rörig (Komisioner pelecehan seksual anak federal)</t>
  </si>
  <si>
    <t>p-627-tr</t>
  </si>
  <si>
    <t>Tim Teneyck (Polisi)***Christopher Carver (Direktur Operasional Pusat Operator Asosiasi Nomor Darurat AS)</t>
  </si>
  <si>
    <t>p-649-li</t>
  </si>
  <si>
    <t>p-652-re</t>
  </si>
  <si>
    <t>p-659-cn</t>
  </si>
  <si>
    <t>Polisi***Goo Ha-ra</t>
  </si>
  <si>
    <t>p-661-de</t>
  </si>
  <si>
    <t>Lucas Sywenkyj (Inspektur Polisi Parramatta)***Rana El Asmar***Maha Abdo (Asosiasi Muslimah Australia)</t>
  </si>
  <si>
    <t>0***2***1</t>
  </si>
  <si>
    <t>p-428-ok</t>
  </si>
  <si>
    <t>p-876-cn</t>
  </si>
  <si>
    <t>p-926-ok</t>
  </si>
  <si>
    <t>AKBP M Syahduddi (Kapolresta Cirebon)</t>
  </si>
  <si>
    <t>"orientasi seksual menyimpang"</t>
  </si>
  <si>
    <t>p-1260-te</t>
  </si>
  <si>
    <t>Komisaris Besar Yusri Yunus (Kepala Bidang Humas Polda Metro Jaya)***Ajun Komisaris Besar Dedy Murti Haryadi (Wakil Direktur Kriminal Umum Polda Metro Jaya)</t>
  </si>
  <si>
    <t>p-618-li</t>
  </si>
  <si>
    <t>Juru Bicara</t>
  </si>
  <si>
    <t>p-1332-li</t>
  </si>
  <si>
    <t>p-1349-ko</t>
  </si>
  <si>
    <t>Erick Thohir (Menteri BUMN)</t>
  </si>
  <si>
    <t>p-1467-cn</t>
  </si>
  <si>
    <t>Ignatius Kardinal Suharyo (Ketua KWI)***Paulus Christian Siswantoko (Sekretaris Komisi Kerasulan Awam KWI)</t>
  </si>
  <si>
    <t>p-1523-ti</t>
  </si>
  <si>
    <t>p-1611-su</t>
  </si>
  <si>
    <t>AKP Khoirul Hidayat (Kasat Reskrim Polres Ngawi)</t>
  </si>
  <si>
    <t>p-1637-li</t>
  </si>
  <si>
    <t>Henrietta Fore (Direktur Eksekutif UNICEF)</t>
  </si>
  <si>
    <t>p-1413-te</t>
  </si>
  <si>
    <t>Ajun Komisaris Besar M. Joni (Kepala Polisi Resort Bogor)</t>
  </si>
  <si>
    <t>validitas</t>
  </si>
  <si>
    <t>a-1-te</t>
  </si>
  <si>
    <t>a-47-te</t>
  </si>
  <si>
    <t>21/01/2019</t>
  </si>
  <si>
    <t>a-53-ti</t>
  </si>
  <si>
    <t>Hendi (Mahasiswa)***Suprih Suhartono (Ketua Umum Kapribaden)***Prapto Yuwono (pengajar Prodi Sastra Jawa UI)</t>
  </si>
  <si>
    <t>a-17-ko</t>
  </si>
  <si>
    <t>Muhammad Isnur (Ketua Divisi Advokasi Yayasan Lembaga Bantuan Hukum Indonesia)</t>
  </si>
  <si>
    <t>a-123-te</t>
  </si>
  <si>
    <t>Bonie Nugraha Permana (Ketua MLKI Bandung)***Popong Nuraeni (Kepala Disdukcapil Bandung)</t>
  </si>
  <si>
    <t>a-90-ko</t>
  </si>
  <si>
    <t>a-152-ok</t>
  </si>
  <si>
    <t>Jusuf Kalla (Wapres)***Tjahjo Kumolo (Mendagri)</t>
  </si>
  <si>
    <t>a-98-cn</t>
  </si>
  <si>
    <t>Abu Akkas (Kepala Kepolisian Ahmadnagar)</t>
  </si>
  <si>
    <t>a-112-tr</t>
  </si>
  <si>
    <t>15/02/2019</t>
  </si>
  <si>
    <t>a-163-ko</t>
  </si>
  <si>
    <t>Jusuf Kalla (Wapres)***Zudan Arif Fakrulloh (Dirjen Disdukcapil)</t>
  </si>
  <si>
    <t>a-126-te</t>
  </si>
  <si>
    <t>22/02/2019</t>
  </si>
  <si>
    <t>Popong Warliati Nuraeni (Kepala Disdukcapil Bandung)***Bonie Nugraha Permana (Ketua MLKI Bandung)</t>
  </si>
  <si>
    <t>a-139-ok</t>
  </si>
  <si>
    <t xml:space="preserve"> Zudan Arif Fakrulloh (Dirjen Dukcapil)</t>
  </si>
  <si>
    <t>a-141-cn</t>
  </si>
  <si>
    <t>Jusuf Kalla (Wakil Presiden 2014-19)***Bonie Nugraha Permana (Penghayat Kepercayaan)</t>
  </si>
  <si>
    <t>a-195-te</t>
  </si>
  <si>
    <t>a-200-li</t>
  </si>
  <si>
    <t>Aryati Puspasari Abady (Kepala Dispendukcapil Makassar)</t>
  </si>
  <si>
    <t>a-222-de</t>
  </si>
  <si>
    <t>Sukmareni (Juru bicara Komunitas Konservasi Indonesia (KKI))</t>
  </si>
  <si>
    <t>a-225-de</t>
  </si>
  <si>
    <t>a-232-ko</t>
  </si>
  <si>
    <t>a-313-li</t>
  </si>
  <si>
    <t>a-314-tr</t>
  </si>
  <si>
    <t>Dewi Kanti (pendamping komunitas adat Karuhun Sunda Wiwitan)***Zudan (Dirjen Dukcapil Kemendagri)***Bonar Tigor Naipospos(Setara Institute)***Anih (Penghayat Sunda Wiwitan)***Charles Butar-Butar (Penganut Parmalim)***Rukka Sombolinggi (Sekjen AMAN)</t>
  </si>
  <si>
    <t>1***0***0***2***2***1</t>
  </si>
  <si>
    <t>1***-1***0***1***1***1</t>
  </si>
  <si>
    <t>a-325-ko</t>
  </si>
  <si>
    <t>Chairul Anam (Ketua KPU Jatim)</t>
  </si>
  <si>
    <t>a-326-su</t>
  </si>
  <si>
    <t>Gogot Cahyo Baskoro (Komisioner KPU Jatim)</t>
  </si>
  <si>
    <t>a-250-cn</t>
  </si>
  <si>
    <t>Sarkan (Warga)***Saija (Kepala Desa Kanekes Kecamatan Leuwidamar Kabupaten Lebak)***Santa (Warga)</t>
  </si>
  <si>
    <t>2***2***2</t>
  </si>
  <si>
    <t>a-351-re</t>
  </si>
  <si>
    <t>Janet Anderson-Bidois (Kepala Penasihat HAM di Selandia Baru)***Anwar Ghani (Federasi Asosiasi Islam Selandia Baru)***Joris De Bre (Komisaris Hubungan Ras Selandia Baru)***Andrew Little (Menteri Kehakiman dan Layanan Intel)***Anonim (Juru Bicara Polisi Selandia Baru)</t>
  </si>
  <si>
    <t>0***1***0***0***0</t>
  </si>
  <si>
    <t>a-365-li</t>
  </si>
  <si>
    <t>a-375-ti</t>
  </si>
  <si>
    <t>Michelle Bachelet (Pemimpin Badan Hak Asasi Manusia PBB)</t>
  </si>
  <si>
    <t>a-488-re</t>
  </si>
  <si>
    <t>Mohammad Suffaree (Pengurus Masjid)***Mohammad Jinnah (Pedagang Berlian)***Adnan Ali (Muslim Pakistan)***Farah Jameel (Korban)***Sisila Kumara (Petugas Kepolisian)***Jude Thomas (Pastur)</t>
  </si>
  <si>
    <t>2***0***2***2***0***0</t>
  </si>
  <si>
    <t>a-396-ok</t>
  </si>
  <si>
    <t>Gatot Saptadi (Sekda DIY)</t>
  </si>
  <si>
    <t>a-417-tr</t>
  </si>
  <si>
    <t>a-434-re</t>
  </si>
  <si>
    <t>Pramono Ubaid Tanthowi (Komisioner KPU)***Wahyu Setiawan (Komisioner KPU)***Muhammad Nasih (Koordinator Panelis Debat)***Amin Arsul Sani (Wakil Ketua TKN)***Fadli Zon (Dewan Pengarah BPN)***Sandiaga Uno (Cawapres 2019)</t>
  </si>
  <si>
    <t>0***1***0***0***0***0</t>
  </si>
  <si>
    <t>a-437-ko</t>
  </si>
  <si>
    <t>Zia Ullah Langu (Mendagri Balochistan)***Mohsin Butt (Polisi Balochistan)***Anonim (saksi)***Abdul Razaq Chema (Polisi Senior)***Omar Waraich (Wakil Direktur Amnesti Internasional)</t>
  </si>
  <si>
    <t>a-449-ok</t>
  </si>
  <si>
    <t>Sadaf Jaffer (Walikota Montgomery)</t>
  </si>
  <si>
    <t>a-459-ko</t>
  </si>
  <si>
    <t>17/04/2019</t>
  </si>
  <si>
    <t>Yendra Budiana (Jubir Ahmadiyah)***Usama Ahmad Rizal (Jamaah Ahmadiyah)</t>
  </si>
  <si>
    <t>a-477-li</t>
  </si>
  <si>
    <t>Ali Al Ahmed (Pengelola Gulf Institute)***Amnesty Internasional***Kemendagri Saudi</t>
  </si>
  <si>
    <t>Kelompok Ekstrem Sunni</t>
  </si>
  <si>
    <t>a-494-de</t>
  </si>
  <si>
    <t>28/04/2019</t>
  </si>
  <si>
    <t>Heri Darwanto (Kades Karangrowo)***Budi Santoso (Tokoh Sedulur Sikep)***Hartopo (Wakil Bupati Kudus)***M Rosyid (Tokoh Lintas Agama)***Arief Hidayat (Ketua MK)</t>
  </si>
  <si>
    <t>0***2***0***2***0</t>
  </si>
  <si>
    <t>a-496-li</t>
  </si>
  <si>
    <t>Mohammed Al Musalam (Tahanan Saudi)***Munir Al Adam (tahanan Saudi)***Nader Al Sweikat (Ayah salah satu tahanan)***Al Ahmed (Pengelola Gulf Institute)</t>
  </si>
  <si>
    <t>a-517-re</t>
  </si>
  <si>
    <t>a-554-te</t>
  </si>
  <si>
    <t>a-556-ko</t>
  </si>
  <si>
    <t>a-590-su</t>
  </si>
  <si>
    <t>25/05/2019</t>
  </si>
  <si>
    <t>Abdul Qayyum (Perwira Polisi)</t>
  </si>
  <si>
    <t>a-598-cn</t>
  </si>
  <si>
    <t>28/05/2019</t>
  </si>
  <si>
    <t>Mohammad Al Hakim (Menteri Luar Negeri Irak)</t>
  </si>
  <si>
    <t>a-641-li</t>
  </si>
  <si>
    <t>a-661-ti</t>
  </si>
  <si>
    <t>a-676-tr</t>
  </si>
  <si>
    <t>24/06/2019</t>
  </si>
  <si>
    <t>a-688-te</t>
  </si>
  <si>
    <t>a-692-re</t>
  </si>
  <si>
    <t>a-696-ti</t>
  </si>
  <si>
    <t>a-707-ok</t>
  </si>
  <si>
    <t>a-724-ko</t>
  </si>
  <si>
    <t>a-754-de</t>
  </si>
  <si>
    <t>Andrew Tinny (Hakim Melbourne)</t>
  </si>
  <si>
    <t>a-772-de</t>
  </si>
  <si>
    <t>Sigit Widodo (Jubir PSI)</t>
  </si>
  <si>
    <t>a-777-ti</t>
  </si>
  <si>
    <t>Dedi Prasetyo (Karopenmas Mabes Polri)</t>
  </si>
  <si>
    <t>26/07/2019</t>
  </si>
  <si>
    <t>Suwari (Ketua PHDI)</t>
  </si>
  <si>
    <t>a-780-te</t>
  </si>
  <si>
    <t>a-801-de</t>
  </si>
  <si>
    <t>a-814-te</t>
  </si>
  <si>
    <t>Felix Jakens (Head of Campaign Amnesty Internasional Inggris)</t>
  </si>
  <si>
    <t>a-817-ti</t>
  </si>
  <si>
    <t>a-825-de</t>
  </si>
  <si>
    <t>13/08/2019</t>
  </si>
  <si>
    <t>Ismail Hasani (Direktur Setara Institute)</t>
  </si>
  <si>
    <t>a-830-de</t>
  </si>
  <si>
    <t>a-849-ok</t>
  </si>
  <si>
    <t>a-859-ok</t>
  </si>
  <si>
    <t>31/08/2019</t>
  </si>
  <si>
    <t>a-861-de</t>
  </si>
  <si>
    <t>a-877-ko</t>
  </si>
  <si>
    <t>a-892-ko</t>
  </si>
  <si>
    <t>a-896-su</t>
  </si>
  <si>
    <t>d-138-ok</t>
  </si>
  <si>
    <t>d-262-su</t>
  </si>
  <si>
    <t>Zamuel Panggeso (Bripka Bonggakaradeng)</t>
  </si>
  <si>
    <t>Wanita Disabilitas***Lemas***Tanpa Busana</t>
  </si>
  <si>
    <t>d-402-ko</t>
  </si>
  <si>
    <t>Ricky Purnomo Kertapati (Kapolres Pulau Buru)</t>
  </si>
  <si>
    <t>Sakit Jiwa</t>
  </si>
  <si>
    <t>d-1966-su</t>
  </si>
  <si>
    <t>Jhon Paerunan (Kasat Reskrim Tana Toraja)</t>
  </si>
  <si>
    <t>d-505-cn</t>
  </si>
  <si>
    <t>d-1579-de</t>
  </si>
  <si>
    <t>22/01/2019</t>
  </si>
  <si>
    <t>Salman Nuri (Camat)***Alhudri (Kepala Dinsos Aceh)</t>
  </si>
  <si>
    <t>d-877-ok</t>
  </si>
  <si>
    <t>d-909-tr</t>
  </si>
  <si>
    <t>Sri Sugiyanti (Pembalap Sepeda)***Ni'mal Maghfiroh (pilot Sri Sugiyanti)</t>
  </si>
  <si>
    <t>d-1020-su</t>
  </si>
  <si>
    <t>Pramono Ubaid Thantowi (Komisioner KPU)</t>
  </si>
  <si>
    <t>d-1468-te</t>
  </si>
  <si>
    <t>d-913-cn</t>
  </si>
  <si>
    <t>Wirawan Widodo (Ketua Umum GK)***Trisya Suherman (Ketua GK Pengusaha Jokowi)***Ega (Pemain Keyboard)</t>
  </si>
  <si>
    <t>d-1442-ko</t>
  </si>
  <si>
    <t>Siswanto (Kakak Dinda)***Fatimah (Tetangga Dinda)</t>
  </si>
  <si>
    <t>d-1920-su</t>
  </si>
  <si>
    <t>d-2213-de</t>
  </si>
  <si>
    <t>Hidayat Nur Wahid (Wakil Ketua MPR)***Fajar Agung Pangestu (Ketua BEM Unila)</t>
  </si>
  <si>
    <t>Kaum disabilitas</t>
  </si>
  <si>
    <t>d-1768-ko</t>
  </si>
  <si>
    <t>Thelda Williams (Walikota Phoenix)***Manajemen Hacienda Health Care***Anonim (Pengacara)</t>
  </si>
  <si>
    <t>d-2777-ko</t>
  </si>
  <si>
    <t>Denny Haryanto (Wakil Kepala DPMPTSP Provinsi DKI Jakarta)</t>
  </si>
  <si>
    <t>d-2853-de</t>
  </si>
  <si>
    <t>David Aguilar (Pembuat tangan Bionik)</t>
  </si>
  <si>
    <t>d-2936-de</t>
  </si>
  <si>
    <t>Ridwan Kamil (Gubernur Jawa Barat)</t>
  </si>
  <si>
    <t>d-2980-te</t>
  </si>
  <si>
    <t>Moon Hee Sang (Juru Bicara Dewan Nasional Korea Selatan)***Yoshihide Suga (Sekretaris Kabinet Jepang)***Roh Kyu Deok (Juru Bicara Kementerian Luar Negeri Korea Selatan)</t>
  </si>
  <si>
    <t>d-3149-de</t>
  </si>
  <si>
    <t>Hartoyo (Kapolres Sumedang)</t>
  </si>
  <si>
    <t>d-3361-te</t>
  </si>
  <si>
    <t>Muhammad Al Mu'min (Anggota Relasi Basis Marginal)</t>
  </si>
  <si>
    <t>d-3035-su</t>
  </si>
  <si>
    <t>Jasmine Self (Ibu Bayi)</t>
  </si>
  <si>
    <t>d-3561-su</t>
  </si>
  <si>
    <t>Pyong Wha Choi (Dokter)</t>
  </si>
  <si>
    <t>Cacat intelektual</t>
  </si>
  <si>
    <t>d-3577-tr</t>
  </si>
  <si>
    <t>Baim Wong (Artis)</t>
  </si>
  <si>
    <t>Orang Gila</t>
  </si>
  <si>
    <t>d-2799-te</t>
  </si>
  <si>
    <t>Glen Poole (CEO AMHF)</t>
  </si>
  <si>
    <t>d-3697-tr</t>
  </si>
  <si>
    <t>23/02/2019</t>
  </si>
  <si>
    <t>Kim Dae Hoon (Kontestan I Can See Your Voice)</t>
  </si>
  <si>
    <t>d-3267-ko</t>
  </si>
  <si>
    <t>Zamzani (Kapolsek Benjeng)***Suwarno (Warga)</t>
  </si>
  <si>
    <t>Orang gila</t>
  </si>
  <si>
    <t>d-4091-re</t>
  </si>
  <si>
    <t>Abdul Mu'ti (Sekjen PP Muhammadiyah)***Muhammad Ziyad (Ketua LDK PP Muhammadiyah)</t>
  </si>
  <si>
    <t>Kaum DIsabilitas</t>
  </si>
  <si>
    <t>d-4434-li</t>
  </si>
  <si>
    <t>d-4694-ok</t>
  </si>
  <si>
    <t>Kecacatan***Kurang Beruntung***Kecacatan***Orang Buta***Bocah Buta</t>
  </si>
  <si>
    <t>d-4706-su</t>
  </si>
  <si>
    <t>Kementerian BUMN</t>
  </si>
  <si>
    <t>d-4779-ko</t>
  </si>
  <si>
    <t>Mat Rozim (Kepala Desa Madumulyorejo)***Sutikno (Kerabat Korban)***Sukariyah (Warga)***Wahyu Sri BIntoro (Kapolres Gresik)</t>
  </si>
  <si>
    <t>d-6134-te</t>
  </si>
  <si>
    <t>Anies Baswedan (Gubernur DKI Jakarta)</t>
  </si>
  <si>
    <t>d-4942-re</t>
  </si>
  <si>
    <t>d-5788-ok</t>
  </si>
  <si>
    <t>Sonia Wibisono (Dokter)</t>
  </si>
  <si>
    <t>d-6033-ok</t>
  </si>
  <si>
    <t>d-6335-de</t>
  </si>
  <si>
    <t>d-6402-te</t>
  </si>
  <si>
    <t>Mutiara Ika Pratiwi (Koordinator Gemas)***Bambang Soesatyo (Ketua DPR)***Budi Wahyuni (Wakil Ketua Komnas Perempuan)</t>
  </si>
  <si>
    <t>d-6543-re</t>
  </si>
  <si>
    <t>Mohammad Ismail (Koordinator Media SIGAB)***Gufroni Sakaril (Ketua Umum PPDI)</t>
  </si>
  <si>
    <t>d-6563-cn</t>
  </si>
  <si>
    <t>d-6633-ko</t>
  </si>
  <si>
    <t>Kajad Pamuji Joko Waskito (Anggota Divisi Perencanaan, Data, dan Informasi Komisi Pemilihan Umum Surakarta)</t>
  </si>
  <si>
    <t>d-6838-ko</t>
  </si>
  <si>
    <t>Agatha Febriany (Penyandang Tunanetra)</t>
  </si>
  <si>
    <t>d-7014-cn</t>
  </si>
  <si>
    <t>Mark McGrath (Vokalis Sugar Ray)</t>
  </si>
  <si>
    <t>d-7052-li</t>
  </si>
  <si>
    <t>Richard Sam Bera ( Ketua Pelaksana Deklarasi Komunitas Olahraga, Pemuda, lnfluencer, Penyandang Disabilitas)***Harry Warganegara (Ketua Pengarah Komunitas Olahraga Bersatu)</t>
  </si>
  <si>
    <t>d-7677-cn</t>
  </si>
  <si>
    <t>d-7778-re</t>
  </si>
  <si>
    <t>Gufroni Sakari (Ketua PPDI)***Ikmal Maulana (Komisioner KPU Karawang)</t>
  </si>
  <si>
    <t>d-8139-te</t>
  </si>
  <si>
    <t>Ali Said (Ketua PPDI Sulawesi Tenggara)***Nasrul Nasir (Relawan)</t>
  </si>
  <si>
    <t>d-8160-tr</t>
  </si>
  <si>
    <t>Totok Hardiyanto (Koordinator Humas RSJ Surakarta)</t>
  </si>
  <si>
    <t>d-8225-ti</t>
  </si>
  <si>
    <t>Ahmad Taufan Damanik (Ketua Komnas HAM)</t>
  </si>
  <si>
    <t>d-8528-cn</t>
  </si>
  <si>
    <t>d-8697-ti</t>
  </si>
  <si>
    <t>sumber</t>
  </si>
  <si>
    <t>Faisal Rusdi (JBFT)</t>
  </si>
  <si>
    <t>d-9572-tr</t>
  </si>
  <si>
    <t xml:space="preserve">Gufron Falfeli (Kepala Bidang Ketertiban Umum dan Ketentraman Satpol PP Kota Tangerang) </t>
  </si>
  <si>
    <t>d-9577-de</t>
  </si>
  <si>
    <t>Raza Haroon (Kepala Departemen Neurologi Jinnah Medical Centre)***Jay Ram (Ayah Pasien)</t>
  </si>
  <si>
    <t>d-10680-su</t>
  </si>
  <si>
    <t>Adriana Macias (Desainer)</t>
  </si>
  <si>
    <t>d-9741-ti</t>
  </si>
  <si>
    <t>d-10034-cn</t>
  </si>
  <si>
    <t>18/05/2019</t>
  </si>
  <si>
    <t>d-10070-li</t>
  </si>
  <si>
    <t>Deded Sjamsudin (Kepala Pusat Litbang Jalan dan Jembatan)</t>
  </si>
  <si>
    <t>d-10495-ok</t>
  </si>
  <si>
    <t>27/05/2019</t>
  </si>
  <si>
    <t>d-10521-cn</t>
  </si>
  <si>
    <t>Anonim (Jaksa)</t>
  </si>
  <si>
    <t>d-10641-ti</t>
  </si>
  <si>
    <t>29/05/2019</t>
  </si>
  <si>
    <t xml:space="preserve">Susianah Affandy (Komisioner KPAI)***Cris Kuntadi (Staf Ahli Menteri Bidang Logistik, Multimoda, dan Keselamatan Perhubungan Kemenhub) </t>
  </si>
  <si>
    <t>d-10714-ko</t>
  </si>
  <si>
    <t>Tri Rismaharini (Walikota Surabaya)</t>
  </si>
  <si>
    <t>d-10773-tr</t>
  </si>
  <si>
    <t>d-11491-tr</t>
  </si>
  <si>
    <t>orang gila***orang gila***orang gila***orang gila***orang gila***orang gila***orang gila***orang gila***orang gila***orang gila</t>
  </si>
  <si>
    <t>d-11118-ti</t>
  </si>
  <si>
    <t>Harry Sukmono (Sekretaris Dinas Pariwisata Gunungkidul)***Drajad Ruswandono (Sekretaris Daerah Gunungkidul)</t>
  </si>
  <si>
    <t>d-11230-ok</t>
  </si>
  <si>
    <t>Ayu Dita Rahmadhani (Penulis Okezone)</t>
  </si>
  <si>
    <t>Buta</t>
  </si>
  <si>
    <t>d-11256-ti</t>
  </si>
  <si>
    <t>U Yarza (Asisten Ashin Wirathu)***Ashin Wirathu (Biksu Radikal)***U Gambira (Mantan Biksu dan Pemimpin Gerakan Revolusi Saffron)</t>
  </si>
  <si>
    <t>0***-1***1</t>
  </si>
  <si>
    <t>d-11034-te</t>
  </si>
  <si>
    <t>Vicente Mariano (pemimpin kelompok difabel)</t>
  </si>
  <si>
    <t>d-11710-tr</t>
  </si>
  <si>
    <t>d-11934-ko</t>
  </si>
  <si>
    <t>d-11987-de</t>
  </si>
  <si>
    <t>d-12027-de</t>
  </si>
  <si>
    <t>23/06/2019</t>
  </si>
  <si>
    <t>Eka Viora (Ketua PDSKJI)***Rasmus Abildgaard Kristensen (Duta Besar Denmark Untuk Indonesia)</t>
  </si>
  <si>
    <t>d-11613-te</t>
  </si>
  <si>
    <t>Sri Melati (Pendidik MDVI dari Dwituna Harapan Baru)</t>
  </si>
  <si>
    <t>d-12222-re</t>
  </si>
  <si>
    <t>d-12462-ok</t>
  </si>
  <si>
    <t>d-13110-cn</t>
  </si>
  <si>
    <t>d-13407-ko</t>
  </si>
  <si>
    <t>Yasonna Laoly (Menkumham)***Rahmat Effendi (Walikota Bekasi)</t>
  </si>
  <si>
    <t>d-13663-li</t>
  </si>
  <si>
    <t>Hasanudin (Kakak Korban)***Deri Sukandi (Ketua RT)***Indrat Riyani (Kapolsek Bogor Selatan)</t>
  </si>
  <si>
    <t>d-12952-ok</t>
  </si>
  <si>
    <t>Andi M Dicky (Kapolres Bogor Kota)</t>
  </si>
  <si>
    <t>gangguan jiwa</t>
  </si>
  <si>
    <t>d-14094-li</t>
  </si>
  <si>
    <t>d-14144-cn</t>
  </si>
  <si>
    <t>20/07/2019</t>
  </si>
  <si>
    <t>Yossa Nainggolan (Ketua Umum Alpha-I Indonesia dan Ragam Institute)</t>
  </si>
  <si>
    <t>d-13519-re</t>
  </si>
  <si>
    <t>Gufroni Sakaril (Ketua PPDI)</t>
  </si>
  <si>
    <t>d-14681-ti</t>
  </si>
  <si>
    <t>Sibty Hasan (Barista)***Mario Gulton (Pemilik Sunyi)</t>
  </si>
  <si>
    <t>d-13117-de</t>
  </si>
  <si>
    <t>Edy Purnomo (Kaopsnal Yandokpol RS Polri)***Dicky Pastika Gading (Kapolres Bogor)***Bagus Pramono (Dirkrimum Polda Jawa Barat)</t>
  </si>
  <si>
    <t>d-13672-te</t>
  </si>
  <si>
    <t>Kanya Eka Santi (Direktur Rehabilitasi Sosial Anak, Kementerian Sosial)</t>
  </si>
  <si>
    <t>d-15079-su</t>
  </si>
  <si>
    <t>30/07/2019</t>
  </si>
  <si>
    <t>d-12302-te</t>
  </si>
  <si>
    <t>26/06/2019</t>
  </si>
  <si>
    <t>Tri Nur Ramadhaniah (Koordinator Bravo)***Rizki Pratiwi (Koordinator Relawan Pendamping Bravo)***Siswardi Tambunan (Penyandang disabilitas)</t>
  </si>
  <si>
    <t>1***1***2</t>
  </si>
  <si>
    <t>d-15576-ko</t>
  </si>
  <si>
    <t>d-15618-ti</t>
  </si>
  <si>
    <t>d-15675-li</t>
  </si>
  <si>
    <t>Yefri Hariani (Ketua Ombudsman Sumbar)</t>
  </si>
  <si>
    <t>d-15731-cn</t>
  </si>
  <si>
    <t>Heri Purnomo (Kasat Reskrim Polres Jakarta Timur)</t>
  </si>
  <si>
    <t>d-15907-de</t>
  </si>
  <si>
    <t>d-15530-re</t>
  </si>
  <si>
    <t>Erlinda (Pemerhati hak-hak perempuan, anak, dan penyandang disabilitas)</t>
  </si>
  <si>
    <t>d-16338-ok</t>
  </si>
  <si>
    <t>d-15883-su</t>
  </si>
  <si>
    <t>Farid Azis (Penerjemah)</t>
  </si>
  <si>
    <t>d-15935-li</t>
  </si>
  <si>
    <t>Afandi (Kepala Seksi Operasi Suku Dinas (Sudin) Perhubungan Jakarta Barat)***Budi (Pengendara)***Syarif (Supir taksi online)***Wawan (Pengendara)***Syafrin Liputo (Kepala Dinas Perhubungan DKI Jakarta)</t>
  </si>
  <si>
    <t>d-16451-li</t>
  </si>
  <si>
    <t>Dewi Anggraeni (Peneliti ICW)***Farichah Hanum (Direktur Mutu dan Akreditasi Pelayanan Kesehatan Kemenkes)</t>
  </si>
  <si>
    <t>d-15840-li</t>
  </si>
  <si>
    <t>Abu Hurairah (Wakasi Humas Masjid Istiqlal)***Nasarudin Umar (Imam Besar Masjid Istiqlal)</t>
  </si>
  <si>
    <t>d-16769-ti</t>
  </si>
  <si>
    <t>Danang Prihantoro (Corporate Communication Strategic Lion Air Group)</t>
  </si>
  <si>
    <t>d-17418-re</t>
  </si>
  <si>
    <t>Eric Britton (Walikota Boulia)***Luke Donellan (Menteri Keamanan Jalan Raya Australia)***Alfred Sitorus (Ketua Kelompok Pembela Hak Pejalan Kaki)</t>
  </si>
  <si>
    <t>d-17480-ok</t>
  </si>
  <si>
    <t>Rina Nose (Artis)</t>
  </si>
  <si>
    <t>d-17525-de</t>
  </si>
  <si>
    <t>d-17551-su</t>
  </si>
  <si>
    <t>Usman Hamid (Direktur Amnesty Indonesia)</t>
  </si>
  <si>
    <t>d-17594-de</t>
  </si>
  <si>
    <t>d-17630-te</t>
  </si>
  <si>
    <t>Svetlana Zakharoba (IbuSofya Zakharova)***Ekaterina Belan (Psikolog Pendidikan)</t>
  </si>
  <si>
    <t>Seattlechildren.org</t>
  </si>
  <si>
    <t>i-68-te</t>
  </si>
  <si>
    <t>i-73-tr</t>
  </si>
  <si>
    <t>Ahmad Basarah (Wakil Ketua MPR)</t>
  </si>
  <si>
    <t>Perilaku Menyimpang</t>
  </si>
  <si>
    <t>i-76-li</t>
  </si>
  <si>
    <t>Katerina Kainourgiou (MC)</t>
  </si>
  <si>
    <t>i-79-su</t>
  </si>
  <si>
    <t>Kantor Berita Caixin***Blued</t>
  </si>
  <si>
    <t>i-117-te</t>
  </si>
  <si>
    <t>Riska Carolina (Advokat dan Spesialis Kebijakan LGBTI untuk Arus Pelangi)</t>
  </si>
  <si>
    <t>i-2-tr</t>
  </si>
  <si>
    <t>Hanne Gaby Odiele (Model)***Swiatek (Suami Odiele)</t>
  </si>
  <si>
    <t>i-169-ko</t>
  </si>
  <si>
    <t>Beka Ulung Hapsara (Komisioner Komnas HAM)</t>
  </si>
  <si>
    <t>i-181-li</t>
  </si>
  <si>
    <t>i-257-li</t>
  </si>
  <si>
    <t>i-285-de</t>
  </si>
  <si>
    <t>i-326-te</t>
  </si>
  <si>
    <t>i-359-ti</t>
  </si>
  <si>
    <t>Katherine Twamley (Dosen Sosiologi University College London)***Kathy Caprino (Pelatih Pengembangan Diri dan Karir Perempuan)</t>
  </si>
  <si>
    <t>i-373-cn</t>
  </si>
  <si>
    <t>i-411-te</t>
  </si>
  <si>
    <t>Kevin Hart (Artis)</t>
  </si>
  <si>
    <t>i-488-li</t>
  </si>
  <si>
    <t>Onadio Leonardo (Vokalis Killing Me Inside)</t>
  </si>
  <si>
    <t>i-490-tr</t>
  </si>
  <si>
    <t>Argo Yuwono (Kabid Humas Polda Metro Jaya)</t>
  </si>
  <si>
    <t>i-558-su</t>
  </si>
  <si>
    <t>Kelainan seksual***kaum lgbt</t>
  </si>
  <si>
    <t>i-585-ti</t>
  </si>
  <si>
    <t>i-653-te</t>
  </si>
  <si>
    <t>Aaron Morris (Direktur Eksekutif Immigration Equality)</t>
  </si>
  <si>
    <t>i-666-li</t>
  </si>
  <si>
    <t>Ma'ruf Amin (Wapres Indonesia)</t>
  </si>
  <si>
    <t>i-674-ok</t>
  </si>
  <si>
    <t>Dikdik (Ketua RW 29)***Nur Edi Irwansyah (Kapolres Karawang)</t>
  </si>
  <si>
    <t>i-584-ti</t>
  </si>
  <si>
    <t>Jennifer Lee (sutradara Frozen 2)</t>
  </si>
  <si>
    <t>i-746-ko</t>
  </si>
  <si>
    <t>28/02/2019</t>
  </si>
  <si>
    <t>Romahurmuziy (Ketua Umum PPP)</t>
  </si>
  <si>
    <t>i-779-ok</t>
  </si>
  <si>
    <t>i-1880-ko</t>
  </si>
  <si>
    <t>Layla Moran (Anggota Parlemen dari Oxford)***Sultan Bolkiah (Sultan Brunei)</t>
  </si>
  <si>
    <t>i-845-li</t>
  </si>
  <si>
    <t>Pauline Ngarmpring (Kandidat PM Thailand)***Anjana Suvarnanda (Anjaree Group)</t>
  </si>
  <si>
    <t>i-878-tr</t>
  </si>
  <si>
    <t>Andre Rosiade (Jubir BPN)***Ace Hasan (Jubir TKN)</t>
  </si>
  <si>
    <t>i-880-ko</t>
  </si>
  <si>
    <t>i-903-cn</t>
  </si>
  <si>
    <t>i-935-de</t>
  </si>
  <si>
    <t>Hanif Dhakiri (Sekjen PKB)***Muhaimin Iskandar (Ketua Umum PKB)</t>
  </si>
  <si>
    <t>i-960-su</t>
  </si>
  <si>
    <t>Nadi (Tukang Ojek)***Yati (Penjual Rokok)***Dani Mulyana (Manan Proyeksionis)</t>
  </si>
  <si>
    <t>i-1108-ok</t>
  </si>
  <si>
    <t>Jazell Barbie (Miss International 2019)</t>
  </si>
  <si>
    <t>i-1016-tr</t>
  </si>
  <si>
    <t>Pauline Ngarmpring (Kandidat PM Thailand)</t>
  </si>
  <si>
    <t>i-1045-te</t>
  </si>
  <si>
    <t>Runtung Sitepu (Rektor USU)</t>
  </si>
  <si>
    <t>i-1073-de</t>
  </si>
  <si>
    <t>Wiranto (Menkopolhukam)</t>
  </si>
  <si>
    <t>i-1074-ko</t>
  </si>
  <si>
    <t>Matthew Woolfe (Pendiri The Brunei Project)</t>
  </si>
  <si>
    <t>i-1103-cn</t>
  </si>
  <si>
    <t>George Clooney (Artis)***Rachel Chhoa-Howard (Peneliti Amnesty International)</t>
  </si>
  <si>
    <t>i-1170-tr</t>
  </si>
  <si>
    <t>Barbie Kumalasari (Artis)</t>
  </si>
  <si>
    <t>i-1182-li</t>
  </si>
  <si>
    <t>Michelle Bachelet (Kepala Urusan HAM PBB)</t>
  </si>
  <si>
    <t>i-1234-cn</t>
  </si>
  <si>
    <t>Uni Eropa***Anthonio Guterres (Sekjen PBB)***Hassalan Bolkiah (Sultan Brunei)</t>
  </si>
  <si>
    <t>i-1246-ko</t>
  </si>
  <si>
    <t>Joko Widodo (Presiden)</t>
  </si>
  <si>
    <t>Dorchester Collection</t>
  </si>
  <si>
    <t>i-1321-tr</t>
  </si>
  <si>
    <t>Dadang Sudiantoro (Kasat Reskrim Tasikmalaya)</t>
  </si>
  <si>
    <t>i-1631-te</t>
  </si>
  <si>
    <t>Dimyati Badruzaman (Ketua Umum MUI Depok)***Mohammad Idris (Walikota Depok)</t>
  </si>
  <si>
    <t>i-1561-re</t>
  </si>
  <si>
    <t>Pemerintah Brunei***Barbara Lochbihler (Anggota Parlemen)***Federica Mogherini (Perwakilan UE untuk Urusan LN)</t>
  </si>
  <si>
    <t>i-1459-cn</t>
  </si>
  <si>
    <t>15/04/2019</t>
  </si>
  <si>
    <t>i-1633-tr</t>
  </si>
  <si>
    <t>Erna Ruswing Andari (Kepala Sub Bagian Humas Bekasi)***Parjana (Kepala Polsek Bekasi)***Yusuf (Dirlantas Polda Metro Jaya)</t>
  </si>
  <si>
    <t>i-1645-su</t>
  </si>
  <si>
    <t>Tengku Zulkarnain (Wakil Sekjen Bidang Dakwah MUI)***Iman Brotoseno (Sutradara)</t>
  </si>
  <si>
    <t>i-1677-li</t>
  </si>
  <si>
    <t>Joko Anwar (Sutradara)</t>
  </si>
  <si>
    <t>i-1695-ko</t>
  </si>
  <si>
    <t>Sultan Bolkiah (Sultan Brunei)</t>
  </si>
  <si>
    <t>i-1842-cn</t>
  </si>
  <si>
    <t>Afif Abdul Qaim (Kuasa Hukum TT)***Maruf Barjammal (Kuasa Hukum TT)</t>
  </si>
  <si>
    <t>Perbuatan menyimpang</t>
  </si>
  <si>
    <t>i-1771-ok</t>
  </si>
  <si>
    <t>Lucinta Luna (Artis)</t>
  </si>
  <si>
    <t>i-1800-de</t>
  </si>
  <si>
    <t>Erma Suryani Ranik (Wakil Ketua Komisi III DPR)***Agus Triatmaja (Kabid Humas Polda Jateng)</t>
  </si>
  <si>
    <t>i-1827-ok</t>
  </si>
  <si>
    <t>i-1647-te</t>
  </si>
  <si>
    <t>Adrian Pasaribu (Pengamat film dari Cinema Poetica)***Ahmad Yani Basuki (Ketua LSF)</t>
  </si>
  <si>
    <t>Mahyeldi Ansharullah (Walikota Padang)</t>
  </si>
  <si>
    <t>i-2001-ko</t>
  </si>
  <si>
    <t>Michael Elburu (Hakim)</t>
  </si>
  <si>
    <t>i-2047-re</t>
  </si>
  <si>
    <t>16/06/2019</t>
  </si>
  <si>
    <t>Nasrul Abit (Wakil Gubernur Sumatera Barat)</t>
  </si>
  <si>
    <t>penyakit masyarakat</t>
  </si>
  <si>
    <t>i-1960-ok</t>
  </si>
  <si>
    <t>Ustad Arif (Guru Mengaji)***Melati Tia (Santri)***Shinta Ratri (Pemimpin Ponpes Waria)***Nia (santri baru)</t>
  </si>
  <si>
    <t>0***2***0***2</t>
  </si>
  <si>
    <t>i-1996-li</t>
  </si>
  <si>
    <t>Rodrigo Duterte (presiden Filipina)</t>
  </si>
  <si>
    <t>i-2003-li</t>
  </si>
  <si>
    <t>Graeme Reid (Direketur LGBT Human Rights Watch)***Lale Say (koordinator WHO)</t>
  </si>
  <si>
    <t>i-2088-re</t>
  </si>
  <si>
    <t>i-2103-de</t>
  </si>
  <si>
    <t>Joe Russo (Produser Avengers)***Kevin Feige (Bos Marvel)</t>
  </si>
  <si>
    <t>Pangeran William (Pangeran Inggris)</t>
  </si>
  <si>
    <t>i-2182-su</t>
  </si>
  <si>
    <t>i-2186-tr</t>
  </si>
  <si>
    <t>Faruq Rozi (Kasat Reskrim Polres Pelabuhan Tanjung Priok)</t>
  </si>
  <si>
    <t>i-2205-tr</t>
  </si>
  <si>
    <t>Megan Rapinoe (Kapten Timnas Putri AS)</t>
  </si>
  <si>
    <t>i-2215-ko</t>
  </si>
  <si>
    <t>Aldy Sulaiman (Kepala Unit V Subdit 3 Ditreskrimum Polda Jatim)</t>
  </si>
  <si>
    <t>i-2233-tr</t>
  </si>
  <si>
    <t>Sholihin Fery (Kasat Reskrim Polres Mojokerto)</t>
  </si>
  <si>
    <t>i-2493-de</t>
  </si>
  <si>
    <t>17/07/2019</t>
  </si>
  <si>
    <t>Sami (Korban)***Kathrin Tomas (Peneliti Arab Barometer)***Amir Ashour (Pendiri IraQueer)***Juru bicara kepolisian Irak</t>
  </si>
  <si>
    <t>2***0***1***0</t>
  </si>
  <si>
    <t>0***1***1***0</t>
  </si>
  <si>
    <t>i-2278-ok</t>
  </si>
  <si>
    <t>Anonim (Pengacara korban)</t>
  </si>
  <si>
    <t>i-2288-de</t>
  </si>
  <si>
    <t>Anonim (Polisi India)</t>
  </si>
  <si>
    <t>i-2272-li</t>
  </si>
  <si>
    <t>i-2271-ko</t>
  </si>
  <si>
    <t>Alison Van Uytvanck (Petenis Belgia)</t>
  </si>
  <si>
    <t>i-2531-te</t>
  </si>
  <si>
    <t>19/07/2019</t>
  </si>
  <si>
    <t>Mary Jane Real (Board Member Front Line Defenders)***Sayeed Ahmad (Koordinator Front Line Defenders untuk Asia Tenggara)***Shinta Ratri (Pemimpin Pesantren Al Fatah)***Sri Wahyuni (Tetangga)</t>
  </si>
  <si>
    <t>i-2321-ti</t>
  </si>
  <si>
    <t>Tempo***Tuty Suprapto (Direktur Tuty Jaya Pictures)***Nico Pelamonia (Sutradara)***Sutarto (Ketua BSF)</t>
  </si>
  <si>
    <t>i-2472-cn</t>
  </si>
  <si>
    <t>16/07/2019</t>
  </si>
  <si>
    <t>i-2486-su</t>
  </si>
  <si>
    <t>Andar Situmorang (Pengacara Pablo Benua)</t>
  </si>
  <si>
    <t>i-2498-ko</t>
  </si>
  <si>
    <t>Ashlyn Harris (Anggota Timnas Sepakbola Putri AS)***Jaelene Hinkle (Calon Pemain Sepakbola AS)</t>
  </si>
  <si>
    <t>i-2502-ok</t>
  </si>
  <si>
    <t>Papah Edwan (Koreografer)</t>
  </si>
  <si>
    <t>i-2504-su</t>
  </si>
  <si>
    <t>Hotman Paris (Pengacara)</t>
  </si>
  <si>
    <t>i-2413-de</t>
  </si>
  <si>
    <t>Trimedya Panjaitan (Wakil Ketua Komisi III DPR)***Teuku Taufiqulhadi (Anggota Komisi III DPR)</t>
  </si>
  <si>
    <t>i-2648-li</t>
  </si>
  <si>
    <t>28/07/2019</t>
  </si>
  <si>
    <t>Andri Sanityoso (Sekjen Perhimpunan Peneliti Hati Indonesia)***Wiendra Waworuntu (Direktur Pencegahan dan Pengendalian Penyakit Menular Langsung Kemenkes)</t>
  </si>
  <si>
    <t>i-2698-ok</t>
  </si>
  <si>
    <t>i-2701-su</t>
  </si>
  <si>
    <t>Anonim (Presenter)***Millendaru (Artis)</t>
  </si>
  <si>
    <t>Asep Adi Saputra (Kabag Penerangan Umum Divisi Humas Polri)</t>
  </si>
  <si>
    <t>i-2791-tr</t>
  </si>
  <si>
    <t>i-2817-ti</t>
  </si>
  <si>
    <t>i-2837-su</t>
  </si>
  <si>
    <t>Cynthia Marames (Ketua Hiwaso)</t>
  </si>
  <si>
    <t>Kaum waria</t>
  </si>
  <si>
    <t>i-2839-ti</t>
  </si>
  <si>
    <t>Jubir IMDb</t>
  </si>
  <si>
    <t>i-2878-de</t>
  </si>
  <si>
    <t>19/08/2019</t>
  </si>
  <si>
    <t>i-2921-li</t>
  </si>
  <si>
    <t>Eka Viora (Wakil Ketua PDSKJI)***Boyke Nugraha (Dokter Spesialis Kandungan)***Wimpie Pangkahila (Profesor)***Heru Oentoeng (Spesialis Andrologi)***Rachmat Safei (Ketua Umum MUI Jabar)</t>
  </si>
  <si>
    <t>i-2936-li</t>
  </si>
  <si>
    <t>i-2941-tr</t>
  </si>
  <si>
    <t>Siska Sarangheo (Pelaku)***Ari (Tukang ojek)***Mun (Penjaga wisma)***Ali Asa (Sepupu korban)***Dwi Hartono (Kapolres Lubuklinggau)</t>
  </si>
  <si>
    <t>i-2951-ok</t>
  </si>
  <si>
    <t>28/08/2019</t>
  </si>
  <si>
    <t>Dwi Hartono (Kapolres Lubuklinggau)</t>
  </si>
  <si>
    <t>i-2766-su</t>
  </si>
  <si>
    <t>Aditya Madiraju (Mempelai)</t>
  </si>
  <si>
    <t>i-2989-cn</t>
  </si>
  <si>
    <t>i-2997-de</t>
  </si>
  <si>
    <t>Bebby Fey (DJ)</t>
  </si>
  <si>
    <t>i-3004-te</t>
  </si>
  <si>
    <t>i-3010-su</t>
  </si>
  <si>
    <t>21/09/2019</t>
  </si>
  <si>
    <t>Joe Fergus (Pasangan Viral)</t>
  </si>
  <si>
    <t>i-3040-su</t>
  </si>
  <si>
    <t>27/09/2019</t>
  </si>
  <si>
    <t>p-208-li</t>
  </si>
  <si>
    <t>Harissandi (Kasubdit V Ditreskrimsus Polda Jatim)</t>
  </si>
  <si>
    <t>p-1444-ti</t>
  </si>
  <si>
    <t>Art Markman (Peneliti University of Texas)***Linda Brown (Peneliti)</t>
  </si>
  <si>
    <t>p-2194-su</t>
  </si>
  <si>
    <t>Frans Barung Mangera (Kabid Humas Polda Jatim)</t>
  </si>
  <si>
    <t>p-2227-te</t>
  </si>
  <si>
    <t>Guntur Witjaksono (Dewas BPJS)</t>
  </si>
  <si>
    <t>p-2480-te</t>
  </si>
  <si>
    <t>Aga Khan (Pengacara)</t>
  </si>
  <si>
    <t>p-3262-ko</t>
  </si>
  <si>
    <t>17/01/2019</t>
  </si>
  <si>
    <t>Andrew Stamper (Detektif)</t>
  </si>
  <si>
    <t>p-4672-ko</t>
  </si>
  <si>
    <t>Rahmat Santoso (Pengacara VA)</t>
  </si>
  <si>
    <t>Barung***Harissandi (Kasubdit V Cyber Crime Kriminal Khusus Polda Jatim)***Jane Shalimar (Artis)</t>
  </si>
  <si>
    <t>p-4802-tr</t>
  </si>
  <si>
    <t>p-4872-cn</t>
  </si>
  <si>
    <t>p-5026-ti</t>
  </si>
  <si>
    <t>RA (Korban)***Subiyanto Pudin (Ketua Tim Panel)***Poempida Hidayatullah (Dewas BPJS-K)***Haris Azhar (Kuasa Hukum RA)</t>
  </si>
  <si>
    <t>1***-1***-1***1</t>
  </si>
  <si>
    <t>p-5714-li</t>
  </si>
  <si>
    <t>Ratna Pandita (Artis)</t>
  </si>
  <si>
    <t>p-5804-li</t>
  </si>
  <si>
    <t>Jiemi Ardian (Praktisi Kesehatan Mental)***Timothy Legg (Praktisi Kesehatan Jiwa)***Fathimah Izzati (Peneliti Sindikasi)</t>
  </si>
  <si>
    <t>p-6037-su</t>
  </si>
  <si>
    <t>HM Thamrin (Kapolsek Koto XI Tarusan)</t>
  </si>
  <si>
    <t>p-6498-cn</t>
  </si>
  <si>
    <t>Reinhard Marx (Kardinal)</t>
  </si>
  <si>
    <t>p-6302-te</t>
  </si>
  <si>
    <t>Alessandro Gisotti (Juru Bicara Vatikan)</t>
  </si>
  <si>
    <t>p-6392-ko</t>
  </si>
  <si>
    <t>Mustaqim (Asisten Pelatih Persija)</t>
  </si>
  <si>
    <t>p-6580-te</t>
  </si>
  <si>
    <t>Veronica Openibo (Biarawati)***Reinhard Marx (Kardinal Jerman)</t>
  </si>
  <si>
    <t>p-6747-tr</t>
  </si>
  <si>
    <t>George Pell (Kardinal)</t>
  </si>
  <si>
    <t>p-6785-te</t>
  </si>
  <si>
    <t>p-6965-de</t>
  </si>
  <si>
    <t>Anonim (Ayah Korban)***Andrew La Greca (Anggota Paduan Suara)***Doug Smith (Polisi)</t>
  </si>
  <si>
    <t>p-7305-tr</t>
  </si>
  <si>
    <t>Emilia Hanafi (Korban)</t>
  </si>
  <si>
    <t>p-7530-te</t>
  </si>
  <si>
    <t>Tim Investigasi PBB</t>
  </si>
  <si>
    <t>p-7695-li</t>
  </si>
  <si>
    <t>p-7768-li</t>
  </si>
  <si>
    <t>Anonim (sumber dari pihak Seungri)</t>
  </si>
  <si>
    <t>p-7284-de</t>
  </si>
  <si>
    <t>Faruk Rozi ( Kasat Reskrim Polres Pelabuhan Tanjung Priok)</t>
  </si>
  <si>
    <t>p-7969-cn</t>
  </si>
  <si>
    <t>Susan Devoy (Komisioner Hubungan Antar Ras)</t>
  </si>
  <si>
    <t>p-8131-re</t>
  </si>
  <si>
    <t>Dianna Ross (Penyanyi)</t>
  </si>
  <si>
    <t>p-7871-li</t>
  </si>
  <si>
    <t>Anonim (Pengacara S)</t>
  </si>
  <si>
    <t>p-8211-ok</t>
  </si>
  <si>
    <t>Tri Wibowo (Kasat Reskrim Polres Kobar)</t>
  </si>
  <si>
    <t>p-8309-su</t>
  </si>
  <si>
    <t>Matthew Woolfe (Pendiri The Brunei Project)***Ryan Silverio (Koordinator ASEAN Sogie Caucus)</t>
  </si>
  <si>
    <t>p-8350-de</t>
  </si>
  <si>
    <t>Supriadi (Kabid Humas Polda Sumatera Selatan)</t>
  </si>
  <si>
    <t>p-8361-li</t>
  </si>
  <si>
    <t>Donny Eka Syaputra (Kapolres OKI)***Supriadi (Kabid Humas Polda Sumsel)***Zulkarnain Adinegara (Kapolda Sumsel)</t>
  </si>
  <si>
    <t>Jenny SuShe (Jurnalis)***Kubrat Pulev (Petinju)</t>
  </si>
  <si>
    <t>Milano Lubis (Pengacara)</t>
  </si>
  <si>
    <t>p-8597-ko</t>
  </si>
  <si>
    <t>Novan Arianto (Jaksa PU Kejaksaan Jawa Timur)</t>
  </si>
  <si>
    <t>p-8824-li</t>
  </si>
  <si>
    <t>p-8923-li</t>
  </si>
  <si>
    <t>Kim Kwang Sam (Pengacara)</t>
  </si>
  <si>
    <t>p-8939-su</t>
  </si>
  <si>
    <t>Ferry Paulus (CEO Persija)</t>
  </si>
  <si>
    <t>p-8979-re</t>
  </si>
  <si>
    <t>p-8702-tr</t>
  </si>
  <si>
    <t>Sukadi (Pelaku)***Purnomo (Kapolsek Sooko)</t>
  </si>
  <si>
    <t>p-9136-re</t>
  </si>
  <si>
    <t>p-9366-ok</t>
  </si>
  <si>
    <t>Jessica Iskandar (Artis)</t>
  </si>
  <si>
    <t>p-9411-su</t>
  </si>
  <si>
    <t>Agung Wicaksono (Direktur Utama Transjakarta)</t>
  </si>
  <si>
    <t>p-9440-li</t>
  </si>
  <si>
    <t>16/04/2019</t>
  </si>
  <si>
    <t>p-9590-ko</t>
  </si>
  <si>
    <t>p-9656-te</t>
  </si>
  <si>
    <t>Rizki Kamadibrata (Presiden Grab Indonesia)</t>
  </si>
  <si>
    <t>Pemerintah Brunei***Barbara Lochbihler (Anggota Parlemen)***Federica Mogherini (Perwakilan EU untuk Urusan Luar Negeri)</t>
  </si>
  <si>
    <t>p-9674-cn</t>
  </si>
  <si>
    <t>Azriana Manalu (Ketua Komnas Perempuan)***Rizki Kramadibrata (Presiden Direktur Grab Indonesia)</t>
  </si>
  <si>
    <t>p-9693-ko</t>
  </si>
  <si>
    <t>Anonim (Korban)***Edi Kuswoyo (Kepala Humas KAI)</t>
  </si>
  <si>
    <t>p-9730-tr</t>
  </si>
  <si>
    <t>Indra Gunawan (Direktur Partisipasi Masyarakat Kemen PPPA)</t>
  </si>
  <si>
    <t>p-9942-te</t>
  </si>
  <si>
    <t>Momo (Perusahaan yang Menaungi Tantan)</t>
  </si>
  <si>
    <t>p-10052-su</t>
  </si>
  <si>
    <t>Ratman (Kakak Korban)</t>
  </si>
  <si>
    <t>p-10375-ok</t>
  </si>
  <si>
    <t>p-10416-ok</t>
  </si>
  <si>
    <t>Roni Agus Wowor (Kapolsek Pancoran Mas)</t>
  </si>
  <si>
    <t>p-10495-cn</t>
  </si>
  <si>
    <t>Budi Satria Wiguna (Kapolres Garut)***Diah Kurniasari (Ketua P2TP2A Garut)</t>
  </si>
  <si>
    <t>p-10511-ok</t>
  </si>
  <si>
    <t>I Made Budi (Humas Polresta Depok)</t>
  </si>
  <si>
    <t>p-10539-de</t>
  </si>
  <si>
    <t>16/05/2019</t>
  </si>
  <si>
    <t>Ruth Yeni (Kanit PPA Polrestabes Surabaya)</t>
  </si>
  <si>
    <t>p-10797-re</t>
  </si>
  <si>
    <t>26/05/2019</t>
  </si>
  <si>
    <t>p-10660-su</t>
  </si>
  <si>
    <t>p-10298-re</t>
  </si>
  <si>
    <t>Marc Oullet (Kepala Kongregasi Vatikan untuk Uskup)***Michael Walsh (Sejarawan Kepausan)</t>
  </si>
  <si>
    <t>p-10775-ok</t>
  </si>
  <si>
    <t>Budi Satria Wiguna (Kapolres Garut)</t>
  </si>
  <si>
    <t>p-10957-ok</t>
  </si>
  <si>
    <t>Anna (Korban)***Humas Universitas Warwick</t>
  </si>
  <si>
    <t>p-11437-re</t>
  </si>
  <si>
    <t>p-11448-su</t>
  </si>
  <si>
    <t>Abdul Malik (Pengacara VA)</t>
  </si>
  <si>
    <t>p-11604-tr</t>
  </si>
  <si>
    <t>Yoris Marzuki (Kapolres Indramayu)</t>
  </si>
  <si>
    <t>p-11478-re</t>
  </si>
  <si>
    <t>Frances Fairs (Backpacker Inggris)***Anonim (Korban)***Chelsey (Korban)***Eleanor Juby (Backpacker)***Emily (Korban)***Rosie Ayliffe (Warga)***Mark Glazbrook (Agen Imigrasi)***Juru Bicara Depdagri</t>
  </si>
  <si>
    <t>2***2***2***2***2***0***0***0</t>
  </si>
  <si>
    <t>1***1***1***1***1***1***1***1</t>
  </si>
  <si>
    <t>p-11783-ti</t>
  </si>
  <si>
    <t>p-11867-de</t>
  </si>
  <si>
    <t>p-12698-te</t>
  </si>
  <si>
    <t>Yenny Wahid (Aktivis)</t>
  </si>
  <si>
    <t>p-12975-de</t>
  </si>
  <si>
    <t>p-14136-ok</t>
  </si>
  <si>
    <t>29/07/2019</t>
  </si>
  <si>
    <t>Anonim (Ibu Korban)</t>
  </si>
  <si>
    <t>p-13619-de</t>
  </si>
  <si>
    <t>Marek Mielewczyk (Korban)***Uskup Polandia)***Adam Szostkiewicz (Kolumnis Polityka)***Monika (Korban)</t>
  </si>
  <si>
    <t>2***0***0***2</t>
  </si>
  <si>
    <t>1***0***1***1</t>
  </si>
  <si>
    <t>p-13604-cn</t>
  </si>
  <si>
    <t>p-13686-re</t>
  </si>
  <si>
    <t>Ade Kusmanto (Kabag Humas Direktorat Jenderal Permasyarakatan)***Arist Merdeka Sirait (Ketua Komisi Nasional Perlindungan Anak)</t>
  </si>
  <si>
    <t>p-13857-de</t>
  </si>
  <si>
    <t>Edward Dewaruci (Ketua SCCC)</t>
  </si>
  <si>
    <t>p-13903-re</t>
  </si>
  <si>
    <t>Yasonna Laoly (Menkumham)***Aziz Syamsuddin (Ketua Komisi III DPR)***Baiq Nuril (Korban)</t>
  </si>
  <si>
    <t>p-13767-de</t>
  </si>
  <si>
    <t>Masduki Baidlowi (Ketua MUI Bidang Informasi dan Komunikasi)</t>
  </si>
  <si>
    <t>Yasonna Laoly (Menkumham)***Baiq Nuril (Korban)</t>
  </si>
  <si>
    <t>p-14449-cn</t>
  </si>
  <si>
    <t>Yasonna Laoly (Menkumham)***Baiq Nuril (Korban)***Aziz Fauzi (Kuasa Hukum Baiq Nuril)</t>
  </si>
  <si>
    <t>p-14587-li</t>
  </si>
  <si>
    <t>Theresia Widowati (Orangtua Korban)***Ade Kusmato (Kabag Humas Direktorat Jenderal Permasyarakatan)</t>
  </si>
  <si>
    <t>p-14728-ok</t>
  </si>
  <si>
    <t>Tiomasretna Simatupang (Ibu Korban)***Sardi Gultom (Ayah Korban)***Horas Silaen (Kapolres Taput)</t>
  </si>
  <si>
    <t>p-14729-su</t>
  </si>
  <si>
    <t>Muharam Wibisono (Kasat Reskrim Polres Tangerang Selatan)</t>
  </si>
  <si>
    <t>p-14751-de</t>
  </si>
  <si>
    <t>Giadi Nugraha (Kanit Jatanras Satreskrim Polrestabes Surabaya)</t>
  </si>
  <si>
    <t>p-14872-su</t>
  </si>
  <si>
    <t>Sukma Anreianno (Head of Public Affairs Grab)</t>
  </si>
  <si>
    <t>p-15018-cn</t>
  </si>
  <si>
    <t>16/08/2019</t>
  </si>
  <si>
    <t>p-15055-ok</t>
  </si>
  <si>
    <t>Agus Ariandi (Pelaku)***Jeni Jauza (Kanit III Asusila Subdit IV Renakta Ditreskrimum Polda Jatim)</t>
  </si>
  <si>
    <t>p-11093-re</t>
  </si>
  <si>
    <t>Steve Greenberg (Pengacara R. Kelly)</t>
  </si>
  <si>
    <t>p-15315-te</t>
  </si>
  <si>
    <t>22/08/2019</t>
  </si>
  <si>
    <t>Salvador Panelo (Jubir Presiden Duterte)</t>
  </si>
  <si>
    <t>p-15423-ko</t>
  </si>
  <si>
    <t>Nugroho Wisnu (Kasi Intel Kejari Mojokerto)</t>
  </si>
  <si>
    <t>p-15502-ok</t>
  </si>
  <si>
    <t>Yulianus Samberi (Kasat Reskrim Polres Tomohon)***MM (Pelaku)</t>
  </si>
  <si>
    <t>p-15701-te</t>
  </si>
  <si>
    <t>p-15847-li</t>
  </si>
  <si>
    <t>30/08/2019</t>
  </si>
  <si>
    <t>p-15916-ko</t>
  </si>
  <si>
    <t>AM Dicky (Kapolres Bogor)</t>
  </si>
  <si>
    <t>p-16030-ko</t>
  </si>
  <si>
    <t>Yohana Yembise (Menteri PPPA)</t>
  </si>
  <si>
    <t>p-16071-ti</t>
  </si>
  <si>
    <t>Veni Siregar (Koordinator Sekretariat Nasional FPL)***Marwan Dasopang (Ketua Panja RUU PKS)</t>
  </si>
  <si>
    <t>p-16107-ko</t>
  </si>
  <si>
    <t>Haris Azhar (Kuasa Hukum RA)</t>
  </si>
  <si>
    <t>p-16138-su</t>
  </si>
  <si>
    <t>p-16167-li</t>
  </si>
  <si>
    <t>Anonim (Pegawai Hotel)***Ivan Adhittira (Kasatreskrim Polres Serang Kota)</t>
  </si>
  <si>
    <t>p-16178-te</t>
  </si>
  <si>
    <t>Silfi Adi Putri (Kepala Unit Perlindungan Perempuan dan Anak (PPA) Satreskrim Polres Bogor)</t>
  </si>
  <si>
    <t>p-16181-tr</t>
  </si>
  <si>
    <t>Misran (Paur Humas Polres Inhu)***Didik Kurnianto (Kapolsek Kelapa Lima)</t>
  </si>
  <si>
    <t>kemolekan tubuh gadis broken home***dijual murah***layanan spesial</t>
  </si>
  <si>
    <t>p-16060-su</t>
  </si>
  <si>
    <t>Budi Suhendar (Kepala IKFM RSDP)***Dani Arianto (Kapolres Lebak)</t>
  </si>
  <si>
    <t>p-16218-su</t>
  </si>
  <si>
    <t>25/09/2019</t>
  </si>
  <si>
    <t>Vini Zulfa (Koordinator Aksi Geulis)</t>
  </si>
  <si>
    <t>p-16317-tr</t>
  </si>
  <si>
    <t>p-16341-de</t>
  </si>
  <si>
    <t>Kotok Guritno (Kepala Bagian Humas Polres Malang)***Prija Djatmika (Dosen FH Universitas Brawijaya)</t>
  </si>
  <si>
    <t>p-16379-ti</t>
  </si>
  <si>
    <t>29/09/2019</t>
  </si>
  <si>
    <t>liputan6</t>
  </si>
  <si>
    <t>Direktur LBH Bandung Willy Hanafi</t>
  </si>
  <si>
    <t>a-12-cn</t>
  </si>
  <si>
    <t>cnn_indonesia</t>
  </si>
  <si>
    <t>Lokasi</t>
  </si>
  <si>
    <t>a-19-su</t>
  </si>
  <si>
    <t>suara</t>
  </si>
  <si>
    <t>13/11/2019</t>
  </si>
  <si>
    <t>Kabid Humas Polda DIY Kombes Pol Yulianto</t>
  </si>
  <si>
    <t>a-41-te</t>
  </si>
  <si>
    <t>tempo</t>
  </si>
  <si>
    <t>a-42-ti</t>
  </si>
  <si>
    <t>tirto</t>
  </si>
  <si>
    <t>22/11/2020</t>
  </si>
  <si>
    <t>a-47-re</t>
  </si>
  <si>
    <t>republika</t>
  </si>
  <si>
    <t>a-50-ok</t>
  </si>
  <si>
    <t>okezone</t>
  </si>
  <si>
    <t>a-54-te</t>
  </si>
  <si>
    <t>a-58-li</t>
  </si>
  <si>
    <t>a-107-ti</t>
  </si>
  <si>
    <t>a-110-ok</t>
  </si>
  <si>
    <t>a-111-su</t>
  </si>
  <si>
    <t>tribun_news</t>
  </si>
  <si>
    <t>a-62-cn</t>
  </si>
  <si>
    <t>Menteri Dalam Negeri India Amit Shah***Narendra Modi (Presiden India)</t>
  </si>
  <si>
    <t>a-138-cn</t>
  </si>
  <si>
    <t>d-76-te</t>
  </si>
  <si>
    <t>d-242-li</t>
  </si>
  <si>
    <t>kondisi fisik yang tidak sempurna***kekurangan fisik***kekurangan fisik***kondisi fisik yang berkekurangan</t>
  </si>
  <si>
    <t>dr. Agung Prijanto SpKJ(Sekretaris Pengurus Pusat Perhimpunan Dokter Spesialis Kedokteran Jiwa Indonesia)</t>
  </si>
  <si>
    <t>d-122-ko</t>
  </si>
  <si>
    <t>kompas</t>
  </si>
  <si>
    <t>Moh. Hamzah(ayah)***Latifah, ibu kandung</t>
  </si>
  <si>
    <t>menderita kelainan mental</t>
  </si>
  <si>
    <t>d-391-ok</t>
  </si>
  <si>
    <t>d-403-te</t>
  </si>
  <si>
    <t>Ketua PP Persatuan Dokter Spesialis Mata Indonesia, dr. M. Siddik, Sp.M.</t>
  </si>
  <si>
    <t>d-406-ti</t>
  </si>
  <si>
    <t>d-533-tr</t>
  </si>
  <si>
    <t>d-831-su</t>
  </si>
  <si>
    <t>Suyati (68) (tetangga)***ormat(kepala desa setempat)</t>
  </si>
  <si>
    <t>d-1593-tr</t>
  </si>
  <si>
    <t>d-893-ko</t>
  </si>
  <si>
    <t>d-963-cn</t>
  </si>
  <si>
    <t>Angkie Yudistira</t>
  </si>
  <si>
    <t>d-1056-re</t>
  </si>
  <si>
    <t>d-1149-de</t>
  </si>
  <si>
    <t>detik_news</t>
  </si>
  <si>
    <t>Iyus sinting(tersangka kekerasan)*** dr Lahargo Kembaren, SpKJ</t>
  </si>
  <si>
    <t>d-1189-ok</t>
  </si>
  <si>
    <t>Illiza Saaduddin Djamal(Anggota Komisi X DPR RI dari Fraksi PPP</t>
  </si>
  <si>
    <t>Kapolsek Srandakan Kompol Muryanto***Kanit Pelayanan Perempuan dan Anak (PPA) Satreskrim Polres Bantul Aipda Mustafa***asat Reskrim Polres Bantul AKP Riko Sanjaya</t>
  </si>
  <si>
    <t>d-1325-ok</t>
  </si>
  <si>
    <t>d-1342-te</t>
  </si>
  <si>
    <t>d-1384-ko</t>
  </si>
  <si>
    <t>Ankie Yudistia</t>
  </si>
  <si>
    <t>d-1474-li</t>
  </si>
  <si>
    <t>d-820-re</t>
  </si>
  <si>
    <t>Rizka Fajriana Putri Ramadhani(pencipta alat)</t>
  </si>
  <si>
    <t>d-1639-ti</t>
  </si>
  <si>
    <t>d-1690-tr</t>
  </si>
  <si>
    <t>d-1808-cn</t>
  </si>
  <si>
    <t>d-1832-su</t>
  </si>
  <si>
    <t>d-1902-ti</t>
  </si>
  <si>
    <t>d-2061-te</t>
  </si>
  <si>
    <t>Dian Syarif (Ketua Syamsi Dhuha Foundation)</t>
  </si>
  <si>
    <t>d-2210-re</t>
  </si>
  <si>
    <t>AKP Dadang Sudiantoro(Kasat Reskrim Polres Tasikmalaya Kota)***Endra di Polres Tasikmalaya Kota***Wakil Wali Kota Tasikmalaya, Muhammad Yusuf ***Sekeretaris Umum Majelis Ulama Indonesia (MUI) Kota Tasikmakaya, KH Muhammad Aminudin Bustomi*** Komandan Komando Distrik Militer (Dandim) 0612/Tasikmalaya, Letkol Inf Imam Wicaksana</t>
  </si>
  <si>
    <t>0***-1***0***0***0</t>
  </si>
  <si>
    <t>Tatang Surtisna 62***Irwan Hidayat (direktur SidoMuncul)***Dewi Basmala Gatot(Direktur RSUD Al Ihsan***Prof. Dr. dr. Nila Djuwita Faried Anfasa Moeloek(Dewan Penasihat SPBK Perdami Pusat</t>
  </si>
  <si>
    <t>d-2283-su</t>
  </si>
  <si>
    <t>d-2432-cn</t>
  </si>
  <si>
    <t>d-2153-te</t>
  </si>
  <si>
    <t>Kepala Unit Reserse Kriminal Polsek Metro Penjaringan, Komisaris Polisi Mustakim</t>
  </si>
  <si>
    <t>gangguan mental***gangguan jiwa</t>
  </si>
  <si>
    <t>d-2508-ti</t>
  </si>
  <si>
    <t>d-2663-ok</t>
  </si>
  <si>
    <t>Kapolres Banjarnegara AKBP Aris Yudha Legawa</t>
  </si>
  <si>
    <t>d-2719-li</t>
  </si>
  <si>
    <t>d-2720-ok</t>
  </si>
  <si>
    <t>i-113-cn</t>
  </si>
  <si>
    <t>Anggota Ombudsman RI Ninik Rahayu</t>
  </si>
  <si>
    <t>Humas Rumah Sakit Abdul Wahab, Syahranie Arysia Andhina***SA (pelaku)</t>
  </si>
  <si>
    <t>i-37-cn</t>
  </si>
  <si>
    <t>i-51-su</t>
  </si>
  <si>
    <t>i-71-li</t>
  </si>
  <si>
    <t>i-95-ko</t>
  </si>
  <si>
    <t>Israel Folau***Morrison</t>
  </si>
  <si>
    <t>i-102-cn</t>
  </si>
  <si>
    <t>i-125-ti</t>
  </si>
  <si>
    <t>Mukri (Kepala Pusat Penerangan Hukum Kejaksaan Agung Republik Indonesia)***Direktur LBH Masyarakat Ricky Gunawan***Mukhanif Yasin (pendiri UKM Peduli Difabel UGM)</t>
  </si>
  <si>
    <t>i-131-tr</t>
  </si>
  <si>
    <t>Menteri Pendayagunaan Aparatur Negara dan Reformasi Birokrasi Tjahjo Kumolo***Kepala Pusat Penerangan Hukum ( Kapuspenkum) Kejaksaan Agung, Mukri</t>
  </si>
  <si>
    <t>i-145-ko</t>
  </si>
  <si>
    <t>Kepala Pusat Penerangan Kejaksaan Agung Mukri***Ninik Rahayu(anggota Ombudsman)</t>
  </si>
  <si>
    <t>i-155-re</t>
  </si>
  <si>
    <t>Menteri Pendayagunaan Aparatur Negara dan Reformasi Birokrasi (PAN-RB) Tjahjo Kumolo</t>
  </si>
  <si>
    <t>pelaku lesbian, gay, biseksual dan transger</t>
  </si>
  <si>
    <t>i-171-li</t>
  </si>
  <si>
    <t>Sekjen PDIP, Hasto Kristiyanto</t>
  </si>
  <si>
    <t>i-183-ko</t>
  </si>
  <si>
    <t>i-80-su</t>
  </si>
  <si>
    <t>Psikolog Saskhya Aulia Prima, M.Psi</t>
  </si>
  <si>
    <t>Direktur Eksekutif Amnesty International Usman Hamid***anggota Ombudsman Ninik Rahayu</t>
  </si>
  <si>
    <t>i-218-tr</t>
  </si>
  <si>
    <t>Komisioner Komnas HAM Beka Ulung Hapsara</t>
  </si>
  <si>
    <t>i-224-te</t>
  </si>
  <si>
    <t>Gabriel Eel(Organisasi Perubahan Sosial Indonesia)*** Kepala Perwakilan Ombudsman Jawa Tengah Siti Farida</t>
  </si>
  <si>
    <t xml:space="preserve"> Miss Universe Myanmar 2019, Swe Zin Htet</t>
  </si>
  <si>
    <t>Lucinta Luna***Gaby Vesta***Rekan Lucinta Luna</t>
  </si>
  <si>
    <t>2***2***-1</t>
  </si>
  <si>
    <t>i-304-su</t>
  </si>
  <si>
    <t>i-309-su</t>
  </si>
  <si>
    <t>Sophia Hutchins</t>
  </si>
  <si>
    <t>i-312-su</t>
  </si>
  <si>
    <t>i-357-de</t>
  </si>
  <si>
    <t>i-268-su</t>
  </si>
  <si>
    <t>p-32-su</t>
  </si>
  <si>
    <t>p-67-su</t>
  </si>
  <si>
    <t>p-82-ok</t>
  </si>
  <si>
    <t>p-102-ti</t>
  </si>
  <si>
    <t>p-103-tr</t>
  </si>
  <si>
    <t>Kapolres Sintang, AKBP Adhe Hariadi***Kasat Reskrim Polresta Pontianak Kompol M Husni Ramli</t>
  </si>
  <si>
    <t>p-113-cn</t>
  </si>
  <si>
    <t>Direktur Perlindungan WNI dan Badan Hukum Indonesia Kementerian Luar Negeri, Joedha Nugraha</t>
  </si>
  <si>
    <t>p-139-su</t>
  </si>
  <si>
    <t>Duta Besar RI untuk Kuwait Tri Tharyat</t>
  </si>
  <si>
    <t>p-161-de</t>
  </si>
  <si>
    <t>Shyam Lal Gyawali(juru bicara kepolisian Kathmandu)***korban</t>
  </si>
  <si>
    <t>p-179-te</t>
  </si>
  <si>
    <t>Andi Priyanto(kepala Polres Cianjur)***Devi Aprilianti(mucikasi)</t>
  </si>
  <si>
    <t>p-286-te</t>
  </si>
  <si>
    <t xml:space="preserve">Vennetia Ryckerens Danes(Deputi Perlindungan Hak Perempuan, Kementerian Pemberdayaan Perempuan dan Perlindungan Anak atau PPPA)***Edy Kuswoyo(VP Public Relations KAI)***Ross Diana Iskandar(Asisten Deputi Pemenuhan Hak dan Perlindungan Perempuan, Kemenko PMK) </t>
  </si>
  <si>
    <t>p-309-su</t>
  </si>
  <si>
    <t>p-332-ko</t>
  </si>
  <si>
    <t>Asep (ketua RT)***LR,43 (korban)</t>
  </si>
  <si>
    <t>pelemparan sperma</t>
  </si>
  <si>
    <t>p-351-su</t>
  </si>
  <si>
    <t>dr Oka Negara(Seksolog)***RF (suami korban)</t>
  </si>
  <si>
    <t>teror sperma***teror pelemparan sperma</t>
  </si>
  <si>
    <t>p-432-re</t>
  </si>
  <si>
    <t>Kapolres Tasikmalaya Kota AKBP Anom Karibianto</t>
  </si>
  <si>
    <t>p-537-ko</t>
  </si>
  <si>
    <t>Kapolres Tasikmalaya Kota AKBP Anom Karibianto***kasat Reskrim Polres Tasikmalaya Kota AKP Dadang Sudiantoro***Kepala Biro Psikologi Solusi Universitas Muhammadiyah Tasikmalaya, Rikha Surtika MPsi</t>
  </si>
  <si>
    <t>pelemparan sperma***begal payudara***pelemparan sperma***pelemparan sperma***pelemparan sperma*** begal payudara***lempar sperma***teror pelemparan sperma</t>
  </si>
  <si>
    <t>p-549-ok</t>
  </si>
  <si>
    <t>AS,16 (tersangka)***Kasat Reskrim Polresta Palembang, Kompol Yon Edi</t>
  </si>
  <si>
    <t>p-554-re</t>
  </si>
  <si>
    <t>p-583-ko</t>
  </si>
  <si>
    <t>Wakil Ketua Lembaga Perlindungan Saksi dan Korban Antonius Priadi S Wibowo</t>
  </si>
  <si>
    <t>p-622-ok</t>
  </si>
  <si>
    <t>Tim Teneyck( operator 911)***Christopher Carver, direktur operasi pusat pengiriman untuk Asosiasi Layanan Nomor Darurat Nasional di AS</t>
  </si>
  <si>
    <t>p-653-te</t>
  </si>
  <si>
    <t>p-707-re</t>
  </si>
  <si>
    <t>Komisioner Komnas Perempuan Maghdalena Sitorus***Komisioner Komnas Perempuan Mariana Amiruddin***Wakil Ketua Komnas Perempuan Budi Wahyuni***Kordinator Forum Pengadu, Veni Siregar</t>
  </si>
  <si>
    <t>p-763-su</t>
  </si>
  <si>
    <t>Digital At-Risk SAFEnet Nenden Sekar Arum***Komisioner Komnas Perempuan Mariana Amiruddin</t>
  </si>
  <si>
    <t>p-1195-ti</t>
  </si>
  <si>
    <t>Muhadjir Darwin(tim perumus draft regulasi)***Atiatul Muqtadir(Ketua Badan Eksekutif Mahasiswa UGM)***Kevin Krissentanu(forum advokasi)***Wakil Rektor Bidang Pendidikan, Pengajaran dan Kemahasiswaan Djagal Wiseso Warseno***Rektor UGM Panut Mulyono***Ketua Senat Akademik UGM Hardyanto Soebono</t>
  </si>
  <si>
    <t>1***0***1***0***0***0</t>
  </si>
  <si>
    <t>p-1359-li</t>
  </si>
  <si>
    <t>Erick tohir (menteri BUMN)***Sri mulyani (menteri keuangan)***Menteri Ketenagakerjaan Ida Fauziyah</t>
  </si>
  <si>
    <t>p-1376-te</t>
  </si>
  <si>
    <t>Erick tohir (menteri BUMN)</t>
  </si>
  <si>
    <t>p-1397-ok</t>
  </si>
  <si>
    <t>p-1468-de</t>
  </si>
  <si>
    <t>p-1225-ko</t>
  </si>
  <si>
    <t>Bambang (53), pemilik toko sepeda</t>
  </si>
  <si>
    <t>p-1516-su</t>
  </si>
  <si>
    <t>Ani Maidarningsih, 51 (Ibu Korban)</t>
  </si>
  <si>
    <t>p-1607-re</t>
  </si>
  <si>
    <t>Kasatreskrim Polresta Bandung AKP Agta***Bahrul Bangsawan (rekan korban)</t>
  </si>
  <si>
    <t>p-1613-su</t>
  </si>
  <si>
    <t>Ketua Badan Eksekutif Mahasiswa Telkom University Yusuf Suguyarto</t>
  </si>
  <si>
    <t>e</t>
  </si>
  <si>
    <t>a-9-ok</t>
  </si>
  <si>
    <t>975</t>
  </si>
  <si>
    <t>Mansyur Ahmad (Jamaah Ahmadiyah Indonesia)***Muhammad Ro'in (Dewan Dakwah Islamiyah Indonesia)***pengunjuk rasa***Irman Sugema (Kepolisian Resor Kota Besar Bandung)***Rio Tuasikal (jurnalis)</t>
  </si>
  <si>
    <t>1***0***0***0***0</t>
  </si>
  <si>
    <t>1***-1***-1***0***0</t>
  </si>
  <si>
    <t>a-10-su</t>
  </si>
  <si>
    <t>108</t>
  </si>
  <si>
    <t>pendemo</t>
  </si>
  <si>
    <t>ajaran sesat</t>
  </si>
  <si>
    <t>a-11-su</t>
  </si>
  <si>
    <t>365</t>
  </si>
  <si>
    <t>Halili (SETARA Institute)</t>
  </si>
  <si>
    <t>a-14-ko</t>
  </si>
  <si>
    <t>421</t>
  </si>
  <si>
    <t>Muhammad Isnur (Yayasan Lembaga Bantuan Hukum Indonesia)</t>
  </si>
  <si>
    <t>384</t>
  </si>
  <si>
    <t>Lena Maryana (Komisi I DPR RI)</t>
  </si>
  <si>
    <t>aliran kepercayaan</t>
  </si>
  <si>
    <t>a-33-de</t>
  </si>
  <si>
    <t>641</t>
  </si>
  <si>
    <t>Elaine Pearson (Human Rights Watch)</t>
  </si>
  <si>
    <t>a-35-ko</t>
  </si>
  <si>
    <t>437</t>
  </si>
  <si>
    <t>Usman Hamid (Amnesty International Indonesia)</t>
  </si>
  <si>
    <t>a-37-ko</t>
  </si>
  <si>
    <t>20/01/2019</t>
  </si>
  <si>
    <t>501</t>
  </si>
  <si>
    <t>a-38-li</t>
  </si>
  <si>
    <t>321</t>
  </si>
  <si>
    <t>Haris Azhar (Lokataru Foundation)***Yusril Ihza Mahendra (Kuasa hukum Presiden Jokowi)</t>
  </si>
  <si>
    <t>a-39-te</t>
  </si>
  <si>
    <t>782</t>
  </si>
  <si>
    <t>Peneliti***Ashin Tilokabhivamsa (Biara Ywana Payiyarti)***Thaw Parka (Ma Ba Tha)***Matius J. Walton (peneliti Universitas Oxford)</t>
  </si>
  <si>
    <t>0***-1***1***0</t>
  </si>
  <si>
    <t>0***0***-1***0</t>
  </si>
  <si>
    <t>biksu radikal</t>
  </si>
  <si>
    <t>a-40-tr</t>
  </si>
  <si>
    <t>297</t>
  </si>
  <si>
    <t>Anggara (Institute for Criminal Justice Reform)</t>
  </si>
  <si>
    <t>a-43-cn</t>
  </si>
  <si>
    <t>343</t>
  </si>
  <si>
    <t>250</t>
  </si>
  <si>
    <t>a-59-de</t>
  </si>
  <si>
    <t>260</t>
  </si>
  <si>
    <t>a-67-tr</t>
  </si>
  <si>
    <t>190</t>
  </si>
  <si>
    <t>a-91-te</t>
  </si>
  <si>
    <t>528</t>
  </si>
  <si>
    <t>Para aktivis (Shia Rights Watch)</t>
  </si>
  <si>
    <t>a-129-li</t>
  </si>
  <si>
    <t>388</t>
  </si>
  <si>
    <t>Popong W. Nuraeni (Dinas Kependudukan dan Catatan Sipil)</t>
  </si>
  <si>
    <t>a-140-tr</t>
  </si>
  <si>
    <t>309</t>
  </si>
  <si>
    <t>a-162-de</t>
  </si>
  <si>
    <t>225</t>
  </si>
  <si>
    <t>Budi Santoso (penghayat Sikep Samin)</t>
  </si>
  <si>
    <t>a-171-su</t>
  </si>
  <si>
    <t>Zudan Arif Fakrullah (Dirjen Dukcapil)</t>
  </si>
  <si>
    <t>a-177-ti</t>
  </si>
  <si>
    <t>1441</t>
  </si>
  <si>
    <t>Bonie Nugraha Permana (Presidium Majelis Luhur Kepercayaan Indonesia Kota Bandung)***K. H. Ma'ruf Amin (Majelis Ulama Islam)***Rachmat Subagya (penulis)***Denys Lombard (penulis)***Clifford Geertz (penulis)</t>
  </si>
  <si>
    <t>1***-1***0***0***0</t>
  </si>
  <si>
    <t>a-211-re</t>
  </si>
  <si>
    <t>542</t>
  </si>
  <si>
    <t>a-212-su</t>
  </si>
  <si>
    <t>Romo Prima Novianto</t>
  </si>
  <si>
    <t>a-263-li</t>
  </si>
  <si>
    <t>414</t>
  </si>
  <si>
    <t>Hazrat Mirza Masroor Ahmad (Komunitas Muslim Ahmadiyah Dunia)***Jacinda Ardern (Perdana Menteri New Zealand)</t>
  </si>
  <si>
    <t>a-265-ok</t>
  </si>
  <si>
    <t>575</t>
  </si>
  <si>
    <t>Dian Fajrina (Dosen FKIP Unsyiah)</t>
  </si>
  <si>
    <t>a-343-li</t>
  </si>
  <si>
    <t>433</t>
  </si>
  <si>
    <t>a-350-li</t>
  </si>
  <si>
    <t>1390</t>
  </si>
  <si>
    <t>a-368-re</t>
  </si>
  <si>
    <t>231</t>
  </si>
  <si>
    <t>a-387-li</t>
  </si>
  <si>
    <t>726</t>
  </si>
  <si>
    <t>Isnur (kuasa hukum jamaah Ahmadiyah)***Febionesta (kuasa hukum Ahmadiyah)***Yayan Yuliana (Kepala Satuan Polisi Pamong Praja Kota Bekasi)***Bahrain (YLBHI)***Imadun Rahmat (Komnas HAM)***Susilo Bambang Yudhoyono (Presiden RI ke-6)</t>
  </si>
  <si>
    <t>1***1***-1***1***1***-1</t>
  </si>
  <si>
    <t>a-389-te</t>
  </si>
  <si>
    <t>756</t>
  </si>
  <si>
    <t>Iswanto (Kepala Dusun Karet Desa Pleret Bantul Yogyakarta)***Suharsono (Bupati Bantul)***Slamet Jumiarto (korban diskriminasi)***Agnes Dwi Rusjiyati (Aliansi Nasional Bhinneka Tunggal Ika)</t>
  </si>
  <si>
    <t>0***0***1***1</t>
  </si>
  <si>
    <t>-1***0***0***1</t>
  </si>
  <si>
    <t>aliran kepercayaan***musyrik</t>
  </si>
  <si>
    <t>a-392-te</t>
  </si>
  <si>
    <t>453</t>
  </si>
  <si>
    <t>Gatot Saptadi (sekretaris DIY)</t>
  </si>
  <si>
    <t>a-394-de</t>
  </si>
  <si>
    <t>278</t>
  </si>
  <si>
    <t>a-401-te</t>
  </si>
  <si>
    <t>299</t>
  </si>
  <si>
    <t>a-425-su</t>
  </si>
  <si>
    <t>367</t>
  </si>
  <si>
    <t>a-442-su</t>
  </si>
  <si>
    <t>244</t>
  </si>
  <si>
    <t>Abdul Razzaq Cheema (Jenderal Polisi Quetta)</t>
  </si>
  <si>
    <t>a-444-li</t>
  </si>
  <si>
    <t>a-465-su</t>
  </si>
  <si>
    <t>133</t>
  </si>
  <si>
    <t>a-492-re</t>
  </si>
  <si>
    <t>27/04/2019</t>
  </si>
  <si>
    <t>408</t>
  </si>
  <si>
    <t>Tenzin Dorjee (Komisi AS Bidang Kebebasan Beragama Internasional)***Tlaib (anggota kongres)***Ilham Omar (anggota kongres)</t>
  </si>
  <si>
    <t>563</t>
  </si>
  <si>
    <t>Pihak berwenang Arab Saudi***Mohammed al-Musallam (tahanan)***Munir al-Adam (tahanan)***Nader al-Sweikat (ayah tahanan --&gt; Mujtaba al-Sweikat)***Ali al-Ahmed (Gulf Institute Washington)</t>
  </si>
  <si>
    <t>2***2***2***0***0</t>
  </si>
  <si>
    <t>1***1***1***0***1</t>
  </si>
  <si>
    <t>a-501-ok</t>
  </si>
  <si>
    <t>305</t>
  </si>
  <si>
    <t>Amnesty International***Michelle Bachelet (Komisaris Tinggi PBB)</t>
  </si>
  <si>
    <t>a-508-li</t>
  </si>
  <si>
    <t>876</t>
  </si>
  <si>
    <t>Philippe Nassif (Amnesty International)***Juru Bicara Departemen Luar Negeri***Ali al-Ahmed (Gulf Institute Washington)</t>
  </si>
  <si>
    <t>a-527-su</t>
  </si>
  <si>
    <t>110</t>
  </si>
  <si>
    <t>a-528-te</t>
  </si>
  <si>
    <t>330</t>
  </si>
  <si>
    <t>358</t>
  </si>
  <si>
    <t>a-571-tr</t>
  </si>
  <si>
    <t>295</t>
  </si>
  <si>
    <t>a-577-te</t>
  </si>
  <si>
    <t>410</t>
  </si>
  <si>
    <t>a-579-re</t>
  </si>
  <si>
    <t>553</t>
  </si>
  <si>
    <t>a-588-cn</t>
  </si>
  <si>
    <t>586</t>
  </si>
  <si>
    <t>a-530-de</t>
  </si>
  <si>
    <t>Rafi Gurbanov (wakil kepala Komite Departemen Hubungan Internasional Komite Agama Republik Azerbaijan)</t>
  </si>
  <si>
    <t>a-600-de</t>
  </si>
  <si>
    <t>385</t>
  </si>
  <si>
    <t>Jerry D Gray (warga mualaf)</t>
  </si>
  <si>
    <t>a-615-ko</t>
  </si>
  <si>
    <t>419</t>
  </si>
  <si>
    <t>a-617-ko</t>
  </si>
  <si>
    <t>Edi Sucipto***Marini</t>
  </si>
  <si>
    <t>a-629-ko</t>
  </si>
  <si>
    <t>308</t>
  </si>
  <si>
    <t>a-630-de</t>
  </si>
  <si>
    <t>292</t>
  </si>
  <si>
    <t>K. H. Abubakar Paka (Ketua MUI Gowa)</t>
  </si>
  <si>
    <t>Mahathir Mohamad (Perdana Menteri Malaysia)***India Today</t>
  </si>
  <si>
    <t>a-637-ti</t>
  </si>
  <si>
    <t>754</t>
  </si>
  <si>
    <t>a-643-re</t>
  </si>
  <si>
    <t>Bram Prasetyo (Kepala Bidang Pelayanan Pendaftaran Kependudukan)</t>
  </si>
  <si>
    <t>aliran kepercayaan***aliran kepercayaan***aliran kepercayaan</t>
  </si>
  <si>
    <t>a-660-su</t>
  </si>
  <si>
    <t>259</t>
  </si>
  <si>
    <t>Sabrina (sekretaris Desa Rejosari)***Budi Siswanto (kepala divisi pelayanan Desa Rejosari)</t>
  </si>
  <si>
    <t>a-669-su</t>
  </si>
  <si>
    <t>202</t>
  </si>
  <si>
    <t>a-608-de</t>
  </si>
  <si>
    <t>Sumanto al Qurtuby</t>
  </si>
  <si>
    <t>kelompok syiah***kelompok syiah***kelompok syiah***kelompok syiah***kelompok syiah***kelompok syiah</t>
  </si>
  <si>
    <t>a-673-te</t>
  </si>
  <si>
    <t>397</t>
  </si>
  <si>
    <t>Noor Sudiyati (Majelis Luhur Kepercayaan terhadap Tuhan Yang Maha Esa)***Noviana (Manajer Program Festival Benang Merah)***Chamidah Mardiyanti (koordinator Festival Benang Merah)</t>
  </si>
  <si>
    <t>a-683-ti</t>
  </si>
  <si>
    <t>522</t>
  </si>
  <si>
    <t>Yusuf Martak (Gerakan Nasional Pengawal Fatwa)</t>
  </si>
  <si>
    <t>a-708-de</t>
  </si>
  <si>
    <t>211</t>
  </si>
  <si>
    <t>a-715-li</t>
  </si>
  <si>
    <t>Justin Trudeau (PM Kanada)</t>
  </si>
  <si>
    <t>a-717-ti</t>
  </si>
  <si>
    <t>271</t>
  </si>
  <si>
    <t>a-719-ok</t>
  </si>
  <si>
    <t>377</t>
  </si>
  <si>
    <t>Pangeran Salman</t>
  </si>
  <si>
    <t>a-750-tr</t>
  </si>
  <si>
    <t>a-763-su</t>
  </si>
  <si>
    <t>296</t>
  </si>
  <si>
    <t>Ibrahim Ben Bella Bouty (Ditjen PPMD Kemendes PDTT)***Edi Supriyanto (Anggota Perkumpulan Difabel Sehati Sukoharjo)</t>
  </si>
  <si>
    <t>230</t>
  </si>
  <si>
    <t>a-744-de</t>
  </si>
  <si>
    <t>Samsul Maarif (Sekretaris Program Studi Agama dan Lintas Budaya Universitas Gadjah Mada)***PP Nomor 40 Tahun 2019</t>
  </si>
  <si>
    <t>aliran kepercayaan***aliran kepercayaan***aliran kepercayaan***aliran kepercayaan</t>
  </si>
  <si>
    <t>a-804-te</t>
  </si>
  <si>
    <t>456</t>
  </si>
  <si>
    <t>Imran Khan (Perdana Menteri Pakistan)***Fawad Hussain (Menteri Informasi dan Komunikasi Pakistan)</t>
  </si>
  <si>
    <t>a-815-cn</t>
  </si>
  <si>
    <t>317</t>
  </si>
  <si>
    <t>Majed Abdennour (warga Irak)</t>
  </si>
  <si>
    <t>a-842-de</t>
  </si>
  <si>
    <t>389</t>
  </si>
  <si>
    <t>a-888-te</t>
  </si>
  <si>
    <t>205</t>
  </si>
  <si>
    <t>a-894-ti</t>
  </si>
  <si>
    <t>907</t>
  </si>
  <si>
    <t>d-10-li</t>
  </si>
  <si>
    <t>d-18-ok</t>
  </si>
  <si>
    <t>277</t>
  </si>
  <si>
    <t>d-1307-ok</t>
  </si>
  <si>
    <t>Jokowi***Sandiaga Uno***Ma'ruf Amin</t>
  </si>
  <si>
    <t>d-369-ti</t>
  </si>
  <si>
    <t>425</t>
  </si>
  <si>
    <t>d-989-ko</t>
  </si>
  <si>
    <t>Ace Hasan Syadzily (Jubir tim kampanye Jokowi-Ma'ruf)***Djoko Santoso (BPN)</t>
  </si>
  <si>
    <t>d-1186-de</t>
  </si>
  <si>
    <t>Minah***Dinda</t>
  </si>
  <si>
    <t>d-1036-ti</t>
  </si>
  <si>
    <t>386</t>
  </si>
  <si>
    <t>d-2156-de</t>
  </si>
  <si>
    <t>Iptu TS Margo (Polres Banjanegara)</t>
  </si>
  <si>
    <t>Didi</t>
  </si>
  <si>
    <t>Denny Wahyu Haryanto (Wakil Kepala DPMPTSP Provinsi DKI Jakarta)</t>
  </si>
  <si>
    <t>d-2364-ok</t>
  </si>
  <si>
    <t>253</t>
  </si>
  <si>
    <t>d-2989-ti</t>
  </si>
  <si>
    <t>1227</t>
  </si>
  <si>
    <t>d-3029-ok</t>
  </si>
  <si>
    <t>341</t>
  </si>
  <si>
    <t>d-2423-ti</t>
  </si>
  <si>
    <t>April Syar (Pelaksana Harian PPUA Penyandang Disabilitas)</t>
  </si>
  <si>
    <t>d-3337-ok</t>
  </si>
  <si>
    <t>424</t>
  </si>
  <si>
    <t>d-3485-su</t>
  </si>
  <si>
    <t>257</t>
  </si>
  <si>
    <t>d-3614-ok</t>
  </si>
  <si>
    <t>929</t>
  </si>
  <si>
    <t>Glen Poole (Chief Executive Officer The Australian Men’s Health Forum)</t>
  </si>
  <si>
    <t>d-3822-cn</t>
  </si>
  <si>
    <t>173</t>
  </si>
  <si>
    <t>Kurniawi (Kasat Reskrim Polres OKU Selatan Ajun Komisaris Besar)</t>
  </si>
  <si>
    <t>Robert Kubica (pembalap)***Riccardo Ceccarelli (dokter)***Claire Williams (Williams)</t>
  </si>
  <si>
    <t>keterbatasan fisik</t>
  </si>
  <si>
    <t>d-5044-te</t>
  </si>
  <si>
    <t xml:space="preserve"> Silvia Halim (MRT Jakarta)***petugas keamanan***Juariyah</t>
  </si>
  <si>
    <t>d-5445-cn</t>
  </si>
  <si>
    <t>d-5461-de</t>
  </si>
  <si>
    <t>1455</t>
  </si>
  <si>
    <t>d-5504-re</t>
  </si>
  <si>
    <t>269</t>
  </si>
  <si>
    <t>d-5736-cn</t>
  </si>
  <si>
    <t>251</t>
  </si>
  <si>
    <t>d-6026-li</t>
  </si>
  <si>
    <t>409</t>
  </si>
  <si>
    <t>Donald Santoso (manajer)</t>
  </si>
  <si>
    <t>d-4908-ko</t>
  </si>
  <si>
    <t>Suwondo Kendal M. Wibowo (Humas RSUD)***Suwondo Widiyo Ertanto (Kepala Bidang Pelayanan Keperawatan RSUD)</t>
  </si>
  <si>
    <t>Penderita Gangguan Jiwa***menderita sakit jiwa</t>
  </si>
  <si>
    <t>d-6197-ok</t>
  </si>
  <si>
    <t>457</t>
  </si>
  <si>
    <t>Jesica Tanoesoedibjo (MNC)***Euis (orang tua)</t>
  </si>
  <si>
    <t>d-6237-cn</t>
  </si>
  <si>
    <t>274</t>
  </si>
  <si>
    <t>d-6437-de</t>
  </si>
  <si>
    <t>234</t>
  </si>
  <si>
    <t>Nurdin AR (Kapolsek)</t>
  </si>
  <si>
    <t>tidak waras</t>
  </si>
  <si>
    <t>d-6599-re</t>
  </si>
  <si>
    <t>378</t>
  </si>
  <si>
    <t>d-6848-li</t>
  </si>
  <si>
    <t>302</t>
  </si>
  <si>
    <t>d-7251-ti</t>
  </si>
  <si>
    <t>224</t>
  </si>
  <si>
    <t>d-7622-ko</t>
  </si>
  <si>
    <t>485</t>
  </si>
  <si>
    <t>pasien RSJ***Murjioko (Ketua Pemilu Jebres)***pasien RSJ***pasien RSj</t>
  </si>
  <si>
    <t>2***0***2***2</t>
  </si>
  <si>
    <t>"gangguan jiwa yang diderita"</t>
  </si>
  <si>
    <t>d-8366-ko</t>
  </si>
  <si>
    <t>280</t>
  </si>
  <si>
    <t>Yayat Ahmad Hidayat (Ketua RW)***Iptu Toto Herman Permana (Kapolsek)</t>
  </si>
  <si>
    <t>d-8497-su</t>
  </si>
  <si>
    <t>teman Kellya***Kelly Knox</t>
  </si>
  <si>
    <t>cacat***cacat</t>
  </si>
  <si>
    <t>d-7988-cn</t>
  </si>
  <si>
    <t>Piter Rumander***Yason Krar</t>
  </si>
  <si>
    <t>d-9075-su</t>
  </si>
  <si>
    <t>333</t>
  </si>
  <si>
    <t>d-9213-tr</t>
  </si>
  <si>
    <t>216</t>
  </si>
  <si>
    <t>Abdul Muthaleb (warga)</t>
  </si>
  <si>
    <t>d-9215-cn</t>
  </si>
  <si>
    <t>336</t>
  </si>
  <si>
    <t>d-9354-ok</t>
  </si>
  <si>
    <t>d-9358-re</t>
  </si>
  <si>
    <t>d-9378-ko</t>
  </si>
  <si>
    <t xml:space="preserve">lokasi
</t>
  </si>
  <si>
    <t>Denny Abidin (Singtel)</t>
  </si>
  <si>
    <t>d-9475-re</t>
  </si>
  <si>
    <t>465</t>
  </si>
  <si>
    <t>d-9611-re</t>
  </si>
  <si>
    <t>609</t>
  </si>
  <si>
    <t>d-9953-li</t>
  </si>
  <si>
    <t>Jolenee Marie</t>
  </si>
  <si>
    <t>d-10043-re</t>
  </si>
  <si>
    <t>217</t>
  </si>
  <si>
    <t>Rahmat Bagja (Komisioner Bawaslu)</t>
  </si>
  <si>
    <t>d-10096-te</t>
  </si>
  <si>
    <t>627</t>
  </si>
  <si>
    <t>Muhidin***Sukamto***Haidi Syaifullah</t>
  </si>
  <si>
    <t>d-10433-su</t>
  </si>
  <si>
    <t>228</t>
  </si>
  <si>
    <t>d-10057-de</t>
  </si>
  <si>
    <t>Uwais Kurni (Komunitas Bobotoh Difabel)</t>
  </si>
  <si>
    <t>d-10503-su</t>
  </si>
  <si>
    <t>d-10685-te</t>
  </si>
  <si>
    <t>Rade Bunga***Danu Kastomi</t>
  </si>
  <si>
    <t>d-10809-li</t>
  </si>
  <si>
    <t>393</t>
  </si>
  <si>
    <t>Harry Sukmono (Sekdin Pariwisata)***Drajad Ruswandono (Sekretaris Daerah)</t>
  </si>
  <si>
    <t>d-11123-ko</t>
  </si>
  <si>
    <t>445</t>
  </si>
  <si>
    <t>fan BTS @anOT7girl***@elmariachipt2</t>
  </si>
  <si>
    <t>d-11279-ko</t>
  </si>
  <si>
    <t>374</t>
  </si>
  <si>
    <t>d-11026-li</t>
  </si>
  <si>
    <t>Perry Warjiyo (Gubernur BI)***Vincente***Herdhiyan Saputro***Handayani (Direktur Konsumer BRI)</t>
  </si>
  <si>
    <t>0***2***0***0</t>
  </si>
  <si>
    <t xml:space="preserve">Eko Kristiawan (CSR Pertamina)***Muhammad Sofyan (Yayasan Gerakan Masyarakat Peduli Keluarga Miskin)***Carnoto </t>
  </si>
  <si>
    <t>mempunyai keterbatasan</t>
  </si>
  <si>
    <t>d-11517-re</t>
  </si>
  <si>
    <t>Budi Satria Wiguna (Kapolres Garut AKPB)</t>
  </si>
  <si>
    <t>d-11539-ti</t>
  </si>
  <si>
    <t>506</t>
  </si>
  <si>
    <t>d-11541-tr</t>
  </si>
  <si>
    <t>orang gila***orang gila***orang gila***orang gila</t>
  </si>
  <si>
    <t>218</t>
  </si>
  <si>
    <t>Iptu Prayitno (Kapolsek)</t>
  </si>
  <si>
    <t>d-11834-de</t>
  </si>
  <si>
    <t>1088</t>
  </si>
  <si>
    <t>d-11864-ok</t>
  </si>
  <si>
    <t>469</t>
  </si>
  <si>
    <t>d-11940-li</t>
  </si>
  <si>
    <t>694</t>
  </si>
  <si>
    <t>WHO***Boston Children's Hospital***Asosiasi Alzheimer</t>
  </si>
  <si>
    <t>cacat lahir</t>
  </si>
  <si>
    <t>d-12048-li</t>
  </si>
  <si>
    <t>626</t>
  </si>
  <si>
    <t>d-12050-ok</t>
  </si>
  <si>
    <t>399</t>
  </si>
  <si>
    <t>Erlina (istri korban)***Iptu Jhon Digul Manra (Kasat Reskrim)</t>
  </si>
  <si>
    <t>d-13165-te</t>
  </si>
  <si>
    <t>557</t>
  </si>
  <si>
    <t>Ratih Ibrahim</t>
  </si>
  <si>
    <t>d-13429-re</t>
  </si>
  <si>
    <t>41</t>
  </si>
  <si>
    <t>d-15052-li</t>
  </si>
  <si>
    <t>Imam Nahrawi (Menpora RI)***Anjas Pramono</t>
  </si>
  <si>
    <t>AKBP Andi M. Dicky (Kapolres Bogor Kota)</t>
  </si>
  <si>
    <t>d-14114-su</t>
  </si>
  <si>
    <t>348</t>
  </si>
  <si>
    <t>Suhartono (Yayasan Jamrud Biru)***Encu</t>
  </si>
  <si>
    <t>d-14171-ok</t>
  </si>
  <si>
    <t>d-14224-li</t>
  </si>
  <si>
    <t>34</t>
  </si>
  <si>
    <t>d-12872-tr</t>
  </si>
  <si>
    <t>Shinzo Abe (PM Jepang)***Tamaki (Partai Demokratik Masyarakat)***Kazuo Shii (Partai Komunis)***Hideaki Omura (Gubernur Aichi)***Hiroshi Kitagawa***Yoshihiro Senda (profesor Universitas Nara)</t>
  </si>
  <si>
    <t>-1***1***0***1***1***1</t>
  </si>
  <si>
    <t>d-14643-li</t>
  </si>
  <si>
    <t>551</t>
  </si>
  <si>
    <t>d-15010-de</t>
  </si>
  <si>
    <t>289</t>
  </si>
  <si>
    <t>Busril (PDGI)</t>
  </si>
  <si>
    <t>d-15189-li</t>
  </si>
  <si>
    <t>Tjahjo Kumolo (Mendagri)***Moeldoko (Kepala Staf Kepresidenan)</t>
  </si>
  <si>
    <t>d-17094-su</t>
  </si>
  <si>
    <t>Agus Triadmaja (Kabid Humas Polda Jateng Kombes)***Brigjen Dedi Prasetyo (Humas Mabes Polri)</t>
  </si>
  <si>
    <t>d-15788-re</t>
  </si>
  <si>
    <t>265</t>
  </si>
  <si>
    <t>Lahargo Kembaren</t>
  </si>
  <si>
    <t>d-15792-su</t>
  </si>
  <si>
    <t>619</t>
  </si>
  <si>
    <t>d-16003-de</t>
  </si>
  <si>
    <t>Iptu Nasrullah (Kapolsek Karangbinangun)***Wahyu Norman Hidayat (Kasat Reskrim Polres Lamongan AKP)</t>
  </si>
  <si>
    <t>d-16103-ok</t>
  </si>
  <si>
    <t>Tengku Havid (MNC Peduli)</t>
  </si>
  <si>
    <t>d-16130-cn</t>
  </si>
  <si>
    <t>909</t>
  </si>
  <si>
    <t>d-15725-tr</t>
  </si>
  <si>
    <t>Abdul Salam***Surni (Ketua RT 5)</t>
  </si>
  <si>
    <t>d-16357-ti</t>
  </si>
  <si>
    <t>740</t>
  </si>
  <si>
    <t>d-16459-su</t>
  </si>
  <si>
    <t>232</t>
  </si>
  <si>
    <t>d-16732-ok</t>
  </si>
  <si>
    <t>YS</t>
  </si>
  <si>
    <t>Keterbelakangan Mental***keterbelakangan mental***mengesampingkan ke khilafanya</t>
  </si>
  <si>
    <t>d-16300-te</t>
  </si>
  <si>
    <t xml:space="preserve">Purwanto (Ketua Kelompok Masseur Tunanetra Sabtu Wage)***Triyono </t>
  </si>
  <si>
    <t>d-16863-tr</t>
  </si>
  <si>
    <t>Dian Sastrowardoyo</t>
  </si>
  <si>
    <t>sekarang bersikap normal</t>
  </si>
  <si>
    <t>d-16902-ko</t>
  </si>
  <si>
    <t>164</t>
  </si>
  <si>
    <t>Farhan Shodiq***Bagus***Suryani***Nur***Meyra</t>
  </si>
  <si>
    <t>2***2***2***2***0</t>
  </si>
  <si>
    <t>319</t>
  </si>
  <si>
    <t>Agus Susanto (BPJS)***Krishna Syarif (BPJS)***Hanif Dhakiri (Menteri)</t>
  </si>
  <si>
    <t>d-17084-li</t>
  </si>
  <si>
    <t>d-17181-re</t>
  </si>
  <si>
    <t>475</t>
  </si>
  <si>
    <t>1936</t>
  </si>
  <si>
    <t>Danang Mandala Prihantoro (Corporate Communication Strategic Lion Air Group)</t>
  </si>
  <si>
    <t>d-17358-ti</t>
  </si>
  <si>
    <t>479</t>
  </si>
  <si>
    <t>d-17367-cn</t>
  </si>
  <si>
    <t>d-17410-ok</t>
  </si>
  <si>
    <t>d-17472-li</t>
  </si>
  <si>
    <t>518</t>
  </si>
  <si>
    <t>Anies Baswedan</t>
  </si>
  <si>
    <t>d-17508-ti</t>
  </si>
  <si>
    <t>460</t>
  </si>
  <si>
    <t>gifted and talented children's education act of 1978***Jaringan Psikologi Indonesia***situs Special Needs***Amril Muhammad (pengajar Cugenang Gifted School)***Boy Rahardjo Sidharta dan Patricia Lestari Taslim</t>
  </si>
  <si>
    <t>0***0***0***1***0</t>
  </si>
  <si>
    <t>0***0***1***1***0</t>
  </si>
  <si>
    <t>d-17555-su</t>
  </si>
  <si>
    <t>320</t>
  </si>
  <si>
    <t>Janna (Delta Airlines)***Ashley</t>
  </si>
  <si>
    <t>193</t>
  </si>
  <si>
    <t>Dwi Wahyu Atmaji***Keputusan Presiden Nomor 17 Tahun 2019</t>
  </si>
  <si>
    <t>d-17647-cn</t>
  </si>
  <si>
    <t>427</t>
  </si>
  <si>
    <t>d-17651-de</t>
  </si>
  <si>
    <t>252</t>
  </si>
  <si>
    <t>dr. Andri</t>
  </si>
  <si>
    <t>d-17677-tr</t>
  </si>
  <si>
    <t>136</t>
  </si>
  <si>
    <t>d-17689-de</t>
  </si>
  <si>
    <t>i-211-te</t>
  </si>
  <si>
    <t>Samir Sabri</t>
  </si>
  <si>
    <t>i-53-cn</t>
  </si>
  <si>
    <t>312</t>
  </si>
  <si>
    <t>i-55-ok</t>
  </si>
  <si>
    <t>864</t>
  </si>
  <si>
    <t>i-88-ti</t>
  </si>
  <si>
    <t>493</t>
  </si>
  <si>
    <t>anak Ricky Martin***Hoda Ahmari Tehran</t>
  </si>
  <si>
    <t>i-157-tr</t>
  </si>
  <si>
    <t>199</t>
  </si>
  <si>
    <t xml:space="preserve">LGBT Network***Ramzan Kadyrov***Igor Kochetkov (LGBT Network)***Organisasi untuk Keamanan dan Kerja Sama Eropa (OSCE)***Alvi Kraimov (Jubir Chechnya)***Ruslan
</t>
  </si>
  <si>
    <t>1***0***1***0***0***2</t>
  </si>
  <si>
    <t>1***0***1***0***1***1</t>
  </si>
  <si>
    <t>kaum gay***kaum gay***kaum LGBT***kaum gay***kaum gay</t>
  </si>
  <si>
    <t>i-170-li</t>
  </si>
  <si>
    <t>450</t>
  </si>
  <si>
    <t>i-289-ko</t>
  </si>
  <si>
    <t>Bambang Soesatyo (DPR)</t>
  </si>
  <si>
    <t>i-357-te</t>
  </si>
  <si>
    <t>248</t>
  </si>
  <si>
    <t>Puadi</t>
  </si>
  <si>
    <t>539</t>
  </si>
  <si>
    <t>Maimon Herawati***Dara Nasution (PSI)***BBC***Eunice Atujide***Ayisha Osori***Katherine Twamley</t>
  </si>
  <si>
    <t>-1***1***0***-1***1***0</t>
  </si>
  <si>
    <t>i-367-ok</t>
  </si>
  <si>
    <t>Rahayu Saraswati Djojohadikusumo (DPR)</t>
  </si>
  <si>
    <t>785</t>
  </si>
  <si>
    <t>i-449-te</t>
  </si>
  <si>
    <t>Jazuli Juwaini (PKS)***Komnas Perempuan</t>
  </si>
  <si>
    <t>i-476-ok</t>
  </si>
  <si>
    <t>366</t>
  </si>
  <si>
    <t>dahulu seorang pria</t>
  </si>
  <si>
    <t>i-499-ko</t>
  </si>
  <si>
    <t>226</t>
  </si>
  <si>
    <t>i-500-li</t>
  </si>
  <si>
    <t>Ilhan Omar***diplomat Arab***pendukung***Arab Saudi</t>
  </si>
  <si>
    <t>1***-1***1***-1</t>
  </si>
  <si>
    <t>i-521-de</t>
  </si>
  <si>
    <t>M Romahurmuziy (Ketua Umum PPP)</t>
  </si>
  <si>
    <t>i-536-cn</t>
  </si>
  <si>
    <t>Ferdinandus Setu (Kepala Biro Humas Kemenkominfo)</t>
  </si>
  <si>
    <t>i-580-ok</t>
  </si>
  <si>
    <t>887</t>
  </si>
  <si>
    <t>Argo Yuwono (Polri)***Jupiter Fourtissimo***Widuri Agesty***Fransisca Indrasar</t>
  </si>
  <si>
    <t>menjadi gay***pengakuan gay</t>
  </si>
  <si>
    <t>i-461-de</t>
  </si>
  <si>
    <t>Dony Alexander (Kasubdit II Ditresnarkoba Polda Metro Jaya AKBP)</t>
  </si>
  <si>
    <t>i-714-te</t>
  </si>
  <si>
    <t>Jolene Dawson</t>
  </si>
  <si>
    <t xml:space="preserve"> adalah seorang laki-laki yang mengubah identitasnya menjadi perempuan</t>
  </si>
  <si>
    <t>i-629-de</t>
  </si>
  <si>
    <t>229</t>
  </si>
  <si>
    <t>i-641-li</t>
  </si>
  <si>
    <t>pria yang gemar berpenampilan seperti wanita</t>
  </si>
  <si>
    <t>i-650-tr</t>
  </si>
  <si>
    <t>145</t>
  </si>
  <si>
    <t>Christiano Ronaldo***Javier Tebas</t>
  </si>
  <si>
    <t>i-651-cn</t>
  </si>
  <si>
    <t>Vennetia R Danies (KPPA)</t>
  </si>
  <si>
    <t>i-698-li</t>
  </si>
  <si>
    <t>538</t>
  </si>
  <si>
    <t>dr. Iman Murahman (Kasi Penyakit Menular Dinas Kesehatan Aceh)</t>
  </si>
  <si>
    <t>hubungan seksual antara lelaki sesama lelaki***kaum nabi luth</t>
  </si>
  <si>
    <t>i-728-li</t>
  </si>
  <si>
    <t>KlikDokter</t>
  </si>
  <si>
    <t>771</t>
  </si>
  <si>
    <t>Saras Dewi***Ace Hasan Syadzily (DPR)***Ratna Batara Munti (LBH APIK)</t>
  </si>
  <si>
    <t>i-934-cn</t>
  </si>
  <si>
    <t>Hasan Kleib (Dubes RI)</t>
  </si>
  <si>
    <t>i-942-ok</t>
  </si>
  <si>
    <t>Lucinta Luna***@sirajadamar88***@theshe.arisandi</t>
  </si>
  <si>
    <t>i-949-tr</t>
  </si>
  <si>
    <t>395</t>
  </si>
  <si>
    <t>Cak Imin***M Hanif Dhakiri</t>
  </si>
  <si>
    <t>i-1034-ti</t>
  </si>
  <si>
    <t>Joko Widodo</t>
  </si>
  <si>
    <t>i-1035-cn</t>
  </si>
  <si>
    <t>329</t>
  </si>
  <si>
    <t>Amirsyah Tambunan (MUI)</t>
  </si>
  <si>
    <t>penyimpangan seksual***hubungan seksual yang menyimpang</t>
  </si>
  <si>
    <t>i-1050-tr</t>
  </si>
  <si>
    <t>126</t>
  </si>
  <si>
    <t>akun Twitter @chs**cakes</t>
  </si>
  <si>
    <t>isu transgender yang menerpa</t>
  </si>
  <si>
    <t>i-1052-de</t>
  </si>
  <si>
    <t>301</t>
  </si>
  <si>
    <t>Amirsyah Tambunan (MUI)***Prof Euis Sunarti</t>
  </si>
  <si>
    <t>i-1081-re</t>
  </si>
  <si>
    <t>i-1115-li</t>
  </si>
  <si>
    <t>545</t>
  </si>
  <si>
    <t>George Clooney***Sultan Hassanal Bolkiah***Rachel Chhoa-Howard</t>
  </si>
  <si>
    <t>i-1128-tr</t>
  </si>
  <si>
    <t>227</t>
  </si>
  <si>
    <t>George Clooney***Dustin Lance Black***John Simpson***Sultan Bolkiah</t>
  </si>
  <si>
    <t>0***2***2***0</t>
  </si>
  <si>
    <t>kaum homoseksual</t>
  </si>
  <si>
    <t>i-1166-ti</t>
  </si>
  <si>
    <t>458</t>
  </si>
  <si>
    <t>Elton John***George Clooney***The Guardian</t>
  </si>
  <si>
    <t>hubungan lesbian, gay, biseksual, dan transgender (LGBT)</t>
  </si>
  <si>
    <t>477</t>
  </si>
  <si>
    <t>Hidayat Nur Wahid</t>
  </si>
  <si>
    <t>i-1256-ok</t>
  </si>
  <si>
    <t>403</t>
  </si>
  <si>
    <t>memiliki nama asli Muhammad Fattah</t>
  </si>
  <si>
    <t>236</t>
  </si>
  <si>
    <t>Hotman Paris***Millen Cyrus***Kevin Halim</t>
  </si>
  <si>
    <t>i-1278-ti</t>
  </si>
  <si>
    <t>1635</t>
  </si>
  <si>
    <t>Sultan Hasannal Bolkiah***Kantor Perdana Menteri Brunei***Rachel Chhoa-Howad***Michelle Bachelet***Matthew Woolfe***Dede Oetomo***OutRight Action International***George Clooney***Elton John***Jillian Lauren***Shannon Marketic</t>
  </si>
  <si>
    <t>0***0***1***0***1***2***1***0***2***0***0</t>
  </si>
  <si>
    <t>-1***-1***1***1***1***1***1***1***1***1***0</t>
  </si>
  <si>
    <t>kaum homoseksual*** kaum LGBT*** kaum LGBT*** kaum LGBT</t>
  </si>
  <si>
    <t>i-1307-su</t>
  </si>
  <si>
    <t>360</t>
  </si>
  <si>
    <t xml:space="preserve"> Andre Rosiade (Jubir Prabowo)</t>
  </si>
  <si>
    <t>i-1314-ti</t>
  </si>
  <si>
    <t>1274</t>
  </si>
  <si>
    <t>seorang mahasiswa***Iqbal Harefa***Elvi Sumanti***Mohamad Nasir***Human Rights Watch***Lembaga Bantuan Hukum Masyarakat</t>
  </si>
  <si>
    <t>0***0***0***0***1***1</t>
  </si>
  <si>
    <t>-1***-1***-1***-1***1***1</t>
  </si>
  <si>
    <t>511</t>
  </si>
  <si>
    <t>Hassanal Bolkiah (Sultan Brunei)***Kantor Perdana Menteri***Antonio Guterres (PBB)***George Clooney***Elton John</t>
  </si>
  <si>
    <t>0***0***0***2***2</t>
  </si>
  <si>
    <t>-1***-1***1***1***1</t>
  </si>
  <si>
    <t>hubungan seks sesama pria***hubungan seks sesama jenis***kaum homoseksual</t>
  </si>
  <si>
    <t>i-1400-ti</t>
  </si>
  <si>
    <t>Yosep Adi Prasetyo (Ketua Dewan Pers)</t>
  </si>
  <si>
    <t>i-1468-li</t>
  </si>
  <si>
    <t>979</t>
  </si>
  <si>
    <t>Pete Buttigieg***Frank Bruni***David Axelrod***Andrew Sullivan***Seth Mandel</t>
  </si>
  <si>
    <t>i-1480-de</t>
  </si>
  <si>
    <t>600</t>
  </si>
  <si>
    <t xml:space="preserve">Toni Harmanto (polisi)***Aris Sugianto***Azis Prakoso </t>
  </si>
  <si>
    <t>hubungan sesama jenis</t>
  </si>
  <si>
    <t>i-1499-ok</t>
  </si>
  <si>
    <t>208</t>
  </si>
  <si>
    <t>i-1519-tr</t>
  </si>
  <si>
    <t>261</t>
  </si>
  <si>
    <t>Dadi Sulsel***Yunus</t>
  </si>
  <si>
    <t>i-1527-cn</t>
  </si>
  <si>
    <t>264</t>
  </si>
  <si>
    <t>i-1543-su</t>
  </si>
  <si>
    <t>300</t>
  </si>
  <si>
    <t>Mark Hamilton***Leona O'Neill</t>
  </si>
  <si>
    <t>i-1209-li</t>
  </si>
  <si>
    <t>i-1582-tr</t>
  </si>
  <si>
    <t>129</t>
  </si>
  <si>
    <t>Daily Mirror***laporan penyelidikan</t>
  </si>
  <si>
    <t>ternyata bukan seorang perempuan</t>
  </si>
  <si>
    <t>i-1287-cn</t>
  </si>
  <si>
    <t>Stuart Lewis (Kepala Risiko Deutsche Bank)***Hassanal Bolkiah (Sultan Brunei)***Antonio Guterres (Sekjen PBB)</t>
  </si>
  <si>
    <t>i-1640-te</t>
  </si>
  <si>
    <t>846</t>
  </si>
  <si>
    <t>Rakhmi Marshita***Mohammad Idris***Muda Mahendrawan***Ahmad Yani Basuki (LSF)***Seno Gumira Ajidarma***Garin Nugroho</t>
  </si>
  <si>
    <t>-1***-1***-1***0***1***1</t>
  </si>
  <si>
    <t>i-1648-ti</t>
  </si>
  <si>
    <t>215</t>
  </si>
  <si>
    <t>i-1722-ok</t>
  </si>
  <si>
    <t>476</t>
  </si>
  <si>
    <t>Mahyeldi Ansharullah</t>
  </si>
  <si>
    <t>perilaku penyimpangan seksual</t>
  </si>
  <si>
    <t>i-1725-re</t>
  </si>
  <si>
    <t>Jimmi Syah Putra Ginting (KPID)***Mahyeldi</t>
  </si>
  <si>
    <t>perilaku LGBT***penyimpangan perilaku seksual</t>
  </si>
  <si>
    <t>371</t>
  </si>
  <si>
    <t>27</t>
  </si>
  <si>
    <t>Dwi Hartono (Kapolres)</t>
  </si>
  <si>
    <t>i-1919-tr</t>
  </si>
  <si>
    <t>Heng Yirui***Lee Kuan Yew***Lee Hsien Loong</t>
  </si>
  <si>
    <t>i-1957-ko</t>
  </si>
  <si>
    <t>Rodrigo Duterte (Presiden Filipina)</t>
  </si>
  <si>
    <t>i-2004-re</t>
  </si>
  <si>
    <t>615</t>
  </si>
  <si>
    <t>i-2033-de</t>
  </si>
  <si>
    <t>671</t>
  </si>
  <si>
    <t>WHO</t>
  </si>
  <si>
    <t>i-2034-ko</t>
  </si>
  <si>
    <t>344</t>
  </si>
  <si>
    <t>Agung Iriawan</t>
  </si>
  <si>
    <t>i-2059-cn</t>
  </si>
  <si>
    <t>i-2137-ok</t>
  </si>
  <si>
    <t>447</t>
  </si>
  <si>
    <t>i-2139-su</t>
  </si>
  <si>
    <t>486</t>
  </si>
  <si>
    <t>Sobri Lubis***Yusuf Martak</t>
  </si>
  <si>
    <t>i-2146-cn</t>
  </si>
  <si>
    <t>398</t>
  </si>
  <si>
    <t>Unggul Sagena (SAFENet)***Riska Carolina (Arus Pelangi)</t>
  </si>
  <si>
    <t>Muhammad Haziq Abdul Aziz***Azmin Ali</t>
  </si>
  <si>
    <t>Iptu Androyuan Elim (Kanit Reskrim Polsek Kuta Utara)***I Dewa Putu Gede Anom Danujaya (Kapolsek Kuta Utara, AKP)</t>
  </si>
  <si>
    <t>i-2311-cn</t>
  </si>
  <si>
    <t xml:space="preserve"> Zach Barack***Kevin Feige***Victoria Alonso***Zoha Rahman</t>
  </si>
  <si>
    <t>i-2340-re</t>
  </si>
  <si>
    <t>122</t>
  </si>
  <si>
    <t>i-2422-re</t>
  </si>
  <si>
    <t>50</t>
  </si>
  <si>
    <t>i-2454-tr</t>
  </si>
  <si>
    <t>316</t>
  </si>
  <si>
    <t>warganet***netizen</t>
  </si>
  <si>
    <t>i-2544-re</t>
  </si>
  <si>
    <t>i-2569-re</t>
  </si>
  <si>
    <t>768</t>
  </si>
  <si>
    <t>Maryam Alkhawaja***Garry Kasparov (HRF)***Nicki Minaj***Susanne Koelbl</t>
  </si>
  <si>
    <t>i-2632-tr</t>
  </si>
  <si>
    <t>Hudiyono (Pelaksana Tugas Kepala Dinas Pendidikan Provinsi Jawa Timur)</t>
  </si>
  <si>
    <t>Penyimpangan Perilaku Seksual***penyimpangan perilaku seksual***perilaku seksual menyimpang***perilaku seksual menyimpang</t>
  </si>
  <si>
    <t>i-2635-su</t>
  </si>
  <si>
    <t>Millen Cyrus***Dr. Maddie Deutsch***transcare.ucfs.edu</t>
  </si>
  <si>
    <t>2***0***1</t>
  </si>
  <si>
    <t>i-2643-cn</t>
  </si>
  <si>
    <t>262</t>
  </si>
  <si>
    <t>i-2217-li</t>
  </si>
  <si>
    <t>Oliver Hough***Letitia James (Jaksa Agung New York)</t>
  </si>
  <si>
    <t>i-2739-de</t>
  </si>
  <si>
    <t>i-2765-li</t>
  </si>
  <si>
    <t>Valentina Sampaio***Erio Zanon***Lais Ribeiro***Ed Razek</t>
  </si>
  <si>
    <t>1***0***1***0</t>
  </si>
  <si>
    <t>i-2787-su</t>
  </si>
  <si>
    <t>@papah_edwan***Terrence Higgins Trust</t>
  </si>
  <si>
    <t>pria yang melakukan transgender***pria lalu melakukan transgender</t>
  </si>
  <si>
    <t>i-2815-ko</t>
  </si>
  <si>
    <t>118</t>
  </si>
  <si>
    <t>Efendri Ali***Ery Syahrial***Ucok Lasdin Silalahi</t>
  </si>
  <si>
    <t>0***-1***0</t>
  </si>
  <si>
    <t>i-2852-cn</t>
  </si>
  <si>
    <t>Indonesia Indicator</t>
  </si>
  <si>
    <t>i-2772-de</t>
  </si>
  <si>
    <t>Lucinta Luna***Dira</t>
  </si>
  <si>
    <t>i-2870-li</t>
  </si>
  <si>
    <t>176</t>
  </si>
  <si>
    <t>Dena Rachman</t>
  </si>
  <si>
    <t>i-2884-tr</t>
  </si>
  <si>
    <t>168</t>
  </si>
  <si>
    <t>Lucinta Luna***Ria Ricis</t>
  </si>
  <si>
    <t>wanita "jadi-jadian" alias transgender</t>
  </si>
  <si>
    <t>i-2955-tr</t>
  </si>
  <si>
    <t>161</t>
  </si>
  <si>
    <t>britannica.com***Gordon Brown***thesun.co.uk***Dr Mirzakhmet Zhanadilov***Gulnara Aytnzhanova</t>
  </si>
  <si>
    <t>i-2966-ti</t>
  </si>
  <si>
    <t>i-2978-ko</t>
  </si>
  <si>
    <t>380</t>
  </si>
  <si>
    <t>Nasir Djamil (DPR Fraksi PKS)***Enny Nurbaningsih</t>
  </si>
  <si>
    <t>perzinaan sesama jenis***zina sesama jenis</t>
  </si>
  <si>
    <t>i-2982-re</t>
  </si>
  <si>
    <t>98</t>
  </si>
  <si>
    <t>Andrea Ganna***Benjamin Neale</t>
  </si>
  <si>
    <t>perilaku seksual sesama jenis</t>
  </si>
  <si>
    <t>i-3005-tr</t>
  </si>
  <si>
    <t>156</t>
  </si>
  <si>
    <t>i-3030-ok</t>
  </si>
  <si>
    <t>Titi Pudji</t>
  </si>
  <si>
    <t>i-3044-cn</t>
  </si>
  <si>
    <t>514</t>
  </si>
  <si>
    <t>276</t>
  </si>
  <si>
    <t>Arisandi (Polda Jatim)***Arman Asmara Syarifuddin (Polda Jatim)***Frans Barung (Kombes)</t>
  </si>
  <si>
    <t>p-434-su</t>
  </si>
  <si>
    <t>Harissandi (Polda Jatim)***Arman Asmara (Polda)</t>
  </si>
  <si>
    <t>model majalah dewasa***kerap membagikan foto seksi yang menonjolkan bagian payudaranya</t>
  </si>
  <si>
    <t>p-780-ok</t>
  </si>
  <si>
    <t>315</t>
  </si>
  <si>
    <t>Luki Hermawan (Polda)***Vanessa Angel</t>
  </si>
  <si>
    <t>asyik bercumbu</t>
  </si>
  <si>
    <t>p-1115-tr</t>
  </si>
  <si>
    <t>AKBP Harissandi***Reza Indragiri***Eva Ahyani Djulfa</t>
  </si>
  <si>
    <t>pelacur***pelacur</t>
  </si>
  <si>
    <t>p-2463-su</t>
  </si>
  <si>
    <t>204</t>
  </si>
  <si>
    <t>p-3047-ko</t>
  </si>
  <si>
    <t>Milano***Vanessa Angel***Frans Barung</t>
  </si>
  <si>
    <t>p-3087-ok</t>
  </si>
  <si>
    <t>258</t>
  </si>
  <si>
    <t>Milano Lubis</t>
  </si>
  <si>
    <t>p-4599-ti</t>
  </si>
  <si>
    <t>484</t>
  </si>
  <si>
    <t>Naila Rizki Zakiyah</t>
  </si>
  <si>
    <t>p-4777-ko</t>
  </si>
  <si>
    <t>p-4781-li</t>
  </si>
  <si>
    <t>125</t>
  </si>
  <si>
    <t>Afner Juwono (Kapolres)</t>
  </si>
  <si>
    <t>p-4863-tr</t>
  </si>
  <si>
    <t>111</t>
  </si>
  <si>
    <t>Afner Juwono</t>
  </si>
  <si>
    <t>p-5005-su</t>
  </si>
  <si>
    <t>628</t>
  </si>
  <si>
    <t>pria hidung belang***pria hidung belang kelas kakap***foto seksi dan video vulgar*** wanita panggilan</t>
  </si>
  <si>
    <t>p-5082-de</t>
  </si>
  <si>
    <t>364</t>
  </si>
  <si>
    <t>Anwar Haidar (Kapolres)***Damus Asa (Polres)</t>
  </si>
  <si>
    <t>p-5337-cn</t>
  </si>
  <si>
    <t>314</t>
  </si>
  <si>
    <t>p-5352-de</t>
  </si>
  <si>
    <t>p-5763-cn</t>
  </si>
  <si>
    <t>p-5822-ok</t>
  </si>
  <si>
    <t>p-5827-su</t>
  </si>
  <si>
    <t>Iptu Khairunnas (Polres)</t>
  </si>
  <si>
    <t>pria hidung belang</t>
  </si>
  <si>
    <t>p-5957-ti</t>
  </si>
  <si>
    <t>1217</t>
  </si>
  <si>
    <t>Military Psychology: Concepts, Trends and Interventions***Perpetrators: The World of the Holocaust Killers***Disobedience and Conspiracy in the German Army, 1918–1945***Gary Sheffield***buku panduan militer Jerman</t>
  </si>
  <si>
    <t>p-6135-ti</t>
  </si>
  <si>
    <t>525</t>
  </si>
  <si>
    <t>Zahwani Pandra Arsyad (Polri)</t>
  </si>
  <si>
    <t>p-6198-te</t>
  </si>
  <si>
    <t>91</t>
  </si>
  <si>
    <t>Frans Barung Mangera</t>
  </si>
  <si>
    <t>p-6224-ok</t>
  </si>
  <si>
    <t>347</t>
  </si>
  <si>
    <t>Puas Fransiskus***Theodore McCarrick</t>
  </si>
  <si>
    <t>284</t>
  </si>
  <si>
    <t>Alessandro Gisotti</t>
  </si>
  <si>
    <t>p-6318-cn</t>
  </si>
  <si>
    <t>452</t>
  </si>
  <si>
    <t>Ade Armando (KPKS)***Haris Azhar</t>
  </si>
  <si>
    <t>perbuatan asusila***perbuatan tercela dalam bentuk perbuatan maksiat dan pelanggaran agama dan kesusilaan***pencabulan</t>
  </si>
  <si>
    <t>p-6430-de</t>
  </si>
  <si>
    <t>Rahmat Santoso</t>
  </si>
  <si>
    <t>p-6466-te</t>
  </si>
  <si>
    <t>Have No Fear***juru bicara Vatican***perempuan ini mengalami pelecehan seksual</t>
  </si>
  <si>
    <t>p-6828-li</t>
  </si>
  <si>
    <t>530</t>
  </si>
  <si>
    <t>Iptu Fathur Rohman (Polri)</t>
  </si>
  <si>
    <t>pencabulan***mencabulinya***perbuatan cabul</t>
  </si>
  <si>
    <t>p-6875-de</t>
  </si>
  <si>
    <t>294</t>
  </si>
  <si>
    <t>Arya Perdana (Kapolresta)</t>
  </si>
  <si>
    <t>p-7104-ti</t>
  </si>
  <si>
    <t>602</t>
  </si>
  <si>
    <t>Togar SM Sijabat***Heribertus S Hartojo</t>
  </si>
  <si>
    <t>p-7287-li</t>
  </si>
  <si>
    <t>Jefrison Riwu Kore (Walli Kota Kupang)</t>
  </si>
  <si>
    <t>361</t>
  </si>
  <si>
    <t>Reuters***africanews.com***saksi***laporan tim investigasi PBB</t>
  </si>
  <si>
    <t>p-7589-ko</t>
  </si>
  <si>
    <t>239</t>
  </si>
  <si>
    <t>polisi***Biro Catatan Kriminal Nasional</t>
  </si>
  <si>
    <t>p-7658-tr</t>
  </si>
  <si>
    <t>157</t>
  </si>
  <si>
    <t>Soompi</t>
  </si>
  <si>
    <t>p-7676-ko</t>
  </si>
  <si>
    <t>Bernard***Leo Yudhantara (Lurah Kebagusan)</t>
  </si>
  <si>
    <t>p-7773-ok</t>
  </si>
  <si>
    <t>307</t>
  </si>
  <si>
    <t>The Age</t>
  </si>
  <si>
    <t>p-8071-te</t>
  </si>
  <si>
    <t>370</t>
  </si>
  <si>
    <t>Jeanny Silvia Sari Sirait (LBH)***korban***korban lain</t>
  </si>
  <si>
    <t>1***2***2</t>
  </si>
  <si>
    <t>p-8096-cn</t>
  </si>
  <si>
    <t>492</t>
  </si>
  <si>
    <t>Franky Desima Waruwu (kuasa hukum)***Richard Marpaung***Aga Khan</t>
  </si>
  <si>
    <t>p-8121-li</t>
  </si>
  <si>
    <t>352</t>
  </si>
  <si>
    <t>Sri Rahayu***Franky Waruwu***Farida Hariani***Yafet Kurniawan</t>
  </si>
  <si>
    <t>p-8199-ko</t>
  </si>
  <si>
    <t>Pol Supriadi (polisi)</t>
  </si>
  <si>
    <t>p-8262-cn</t>
  </si>
  <si>
    <t>254</t>
  </si>
  <si>
    <t>p-8287-ko</t>
  </si>
  <si>
    <t>282</t>
  </si>
  <si>
    <t>Pol Supriadi***Arisman Manai***Anugrah</t>
  </si>
  <si>
    <t>p-8333-tr</t>
  </si>
  <si>
    <t>175</t>
  </si>
  <si>
    <t>Pol Supriadi***Arisman Manai</t>
  </si>
  <si>
    <t>p-8378-re</t>
  </si>
  <si>
    <t>617</t>
  </si>
  <si>
    <t>Walid al-Hathloul</t>
  </si>
  <si>
    <t>p-8493-tr</t>
  </si>
  <si>
    <t>212</t>
  </si>
  <si>
    <t>Nicky Tirta</t>
  </si>
  <si>
    <t>p-8506-cn</t>
  </si>
  <si>
    <t>Anne Barrett Doyle</t>
  </si>
  <si>
    <t>p-8801-cn</t>
  </si>
  <si>
    <t>426</t>
  </si>
  <si>
    <t>Mitch Fifield***Digital Industry Group Inc***Digital Right Watch***Agung Porter (jaksa)</t>
  </si>
  <si>
    <t>160</t>
  </si>
  <si>
    <t>Ferry Paulus</t>
  </si>
  <si>
    <t>p-9088-ko</t>
  </si>
  <si>
    <t>Tim Reaksi Cepat P2TP2A***Indratmoko (Polrestabes)</t>
  </si>
  <si>
    <t>pencabulan***pencabulan</t>
  </si>
  <si>
    <t>p-8754-de</t>
  </si>
  <si>
    <t>Suhartanto (Kapolsek Tempurejo AKP)</t>
  </si>
  <si>
    <t>cabul***cabuli***mencabuli***pencabulan***perbuatan asusila***Aksi tidak bermoral</t>
  </si>
  <si>
    <t>p-9331-tr</t>
  </si>
  <si>
    <t>116</t>
  </si>
  <si>
    <t>Bibi Ardiansyah***netter***Milano Lubis</t>
  </si>
  <si>
    <t>p-9553-te</t>
  </si>
  <si>
    <t>328</t>
  </si>
  <si>
    <t>aljazeera.com***Ranjan Gogoi</t>
  </si>
  <si>
    <t>Azriana Manalu (Komnas Perempuan)</t>
  </si>
  <si>
    <t>p-9716-te</t>
  </si>
  <si>
    <t>Edy Kuswoyo (KAI)***@xrybqby</t>
  </si>
  <si>
    <t>p-9337-ko</t>
  </si>
  <si>
    <t>Arm Sarkistan Sihaloho (Kepala Penerangan Kodam XVI Pattimura Kolonel)***Julkisno Kaisupy (Humas Polri)</t>
  </si>
  <si>
    <t>berkencan***mengencani***mengencani***pria hidung belang</t>
  </si>
  <si>
    <t>p-9801-tr</t>
  </si>
  <si>
    <t>213</t>
  </si>
  <si>
    <t>Tribun Pekanbaru***Sanny Handityo</t>
  </si>
  <si>
    <t>pencabulan***dicabuli</t>
  </si>
  <si>
    <t>p-10207-tr</t>
  </si>
  <si>
    <t>Face2Face Afrika***Cathy</t>
  </si>
  <si>
    <t>p-10001-te</t>
  </si>
  <si>
    <t>222</t>
  </si>
  <si>
    <t>Hotman Paris***netizen</t>
  </si>
  <si>
    <t>p-10130-de</t>
  </si>
  <si>
    <t>Vanessa Angel***Milano Lubis</t>
  </si>
  <si>
    <t>p-10149-ti</t>
  </si>
  <si>
    <t>327</t>
  </si>
  <si>
    <t>Arira (KANPI)</t>
  </si>
  <si>
    <t>p-10236-ok</t>
  </si>
  <si>
    <t>p-10237-re</t>
  </si>
  <si>
    <t>Sultan Hassanal Bolkiah***Erywan Pehin Yusof (Menlu Brunei)***Paula Gerber (Pusat Hukum Hak Asasi Manusia Castan)***Ellen DeGeneres***Economist Intelligence Unit***Amnesty International***Kerstin Steiner</t>
  </si>
  <si>
    <t>0***0***1***2***0***1***0</t>
  </si>
  <si>
    <t>-1***-1***1***1***0***0***0</t>
  </si>
  <si>
    <t>pria yang berhubungan seks dengan pria lain</t>
  </si>
  <si>
    <t>p-10253-ti</t>
  </si>
  <si>
    <t>925</t>
  </si>
  <si>
    <t>p-10333-de</t>
  </si>
  <si>
    <t>Ferry Paulus (CEO Persija)***Silvio Escobar</t>
  </si>
  <si>
    <t>p-10345-su</t>
  </si>
  <si>
    <t>249</t>
  </si>
  <si>
    <t>p-10480-te</t>
  </si>
  <si>
    <t>550</t>
  </si>
  <si>
    <t>Milano Lubis***Heru Andeska***Dedhi Chrisdianto***Harissandi***Akhmad Yusep Gunawan</t>
  </si>
  <si>
    <t>1***1***0***0***0</t>
  </si>
  <si>
    <t>p-10594-ko</t>
  </si>
  <si>
    <t>267</t>
  </si>
  <si>
    <t>Jagdish Prasad (polisi)</t>
  </si>
  <si>
    <t>p-11075-cn</t>
  </si>
  <si>
    <t>303</t>
  </si>
  <si>
    <t>Novoletto</t>
  </si>
  <si>
    <t>p-11326-re</t>
  </si>
  <si>
    <t>Neymar Jr***Flavia Cristina Merlini (jaksa penuntut)</t>
  </si>
  <si>
    <t>p-11298-ti</t>
  </si>
  <si>
    <t>1018</t>
  </si>
  <si>
    <t>Eno***Maulida Octaviani***Nyoman***JJ Rizal***Salviadona Tri Partita***Yurgen Sutarno***Bonar Tigor Naipospos</t>
  </si>
  <si>
    <t>0***0***2***0***0***0***0</t>
  </si>
  <si>
    <t>0***0***1***1***-1***1***0</t>
  </si>
  <si>
    <t>p-11342-ti</t>
  </si>
  <si>
    <t>Aljazeera***Misa Iwata***Reuters***Miku Yokoyama***Tomoko Murata***Chihiro Ito</t>
  </si>
  <si>
    <t>0***2***0***0***0***2</t>
  </si>
  <si>
    <t>0***1***0***1***1***1</t>
  </si>
  <si>
    <t>p-11474-li</t>
  </si>
  <si>
    <t>Josep Vives</t>
  </si>
  <si>
    <t>p-11526-ok</t>
  </si>
  <si>
    <t>Mami Ayu***Fajar Purwoto</t>
  </si>
  <si>
    <t>esek-esek***kaus warna merah yang membalut tubuhnya***Tutur bahasanya juga renyah***Senyum selalu menghias di bibirnya yang dipoles dengan lipstik warna merah***jasa kenikmatan sesaat***esek-esek</t>
  </si>
  <si>
    <t>p-11573-li</t>
  </si>
  <si>
    <t>434</t>
  </si>
  <si>
    <t>penyelidik***The Straits Times***pihak berwenang***polisi</t>
  </si>
  <si>
    <t>382</t>
  </si>
  <si>
    <t>Asif Saeed Khosa***Komisi Hak Asasi Manusia Pakistan***Thomson Reuters Foundation***Mansoor Ali Shah***Romana Bashir (Yayasan Perdamaian dan Pembangunan)</t>
  </si>
  <si>
    <t>0***1***0***0***1</t>
  </si>
  <si>
    <t>1***0***0***0***1</t>
  </si>
  <si>
    <t>p-11680-ok</t>
  </si>
  <si>
    <t>Aurelie Moeremans***Roby Tremonti</t>
  </si>
  <si>
    <t>p-11695-ti</t>
  </si>
  <si>
    <t>1013</t>
  </si>
  <si>
    <t>Suwarni Pringgodigdo***Amelia Fauzia***Maria Ulfah***Hasim Adnan***Elizabeth Martyn***Barbara Hatley dan Susan Blackburn***Saskia Wieringa</t>
  </si>
  <si>
    <t>1***0***1***0***0***0***0</t>
  </si>
  <si>
    <t>1***0***0***1***0***0***0</t>
  </si>
  <si>
    <t>p-11943-tr</t>
  </si>
  <si>
    <t>AKP Faruq Rozi (Kasat Reskrim Polres Pelabuhan Tanjung Priok)</t>
  </si>
  <si>
    <t>p-11958-ko</t>
  </si>
  <si>
    <t>220</t>
  </si>
  <si>
    <t>p-11973-tr</t>
  </si>
  <si>
    <t>132</t>
  </si>
  <si>
    <t>Warta Kota***Nia Ramadhani***Saipul Jamil</t>
  </si>
  <si>
    <t>p-12281-tr</t>
  </si>
  <si>
    <t>Jokowi***Andi Samsan Nganro (Jubir Hakim Agung)***Joko Jumadi (Kuasa Hukum Baiq Nuril)</t>
  </si>
  <si>
    <t>muatan asusila***tindak asusila</t>
  </si>
  <si>
    <t>p-12332-te</t>
  </si>
  <si>
    <t>346</t>
  </si>
  <si>
    <t>Rudy Lombok (Paku ITE)</t>
  </si>
  <si>
    <t>p-12337-ti</t>
  </si>
  <si>
    <t>287</t>
  </si>
  <si>
    <t>Mutiara Ika (Perempuan Pekerja)</t>
  </si>
  <si>
    <t>p-12490-tr</t>
  </si>
  <si>
    <t>240</t>
  </si>
  <si>
    <t>Andi Samsan Nganro (Jubir MA Hakim Agung)***Yasonna Laoly (Menkumham)***HM Prasetyo (Jaksa Agung)</t>
  </si>
  <si>
    <t>p-12862-de</t>
  </si>
  <si>
    <t>182</t>
  </si>
  <si>
    <t>Bambang Purnomo (Polres Tegal)</t>
  </si>
  <si>
    <t>sodomi***disodomi</t>
  </si>
  <si>
    <t>p-13012-ko</t>
  </si>
  <si>
    <t>p-13178-ko</t>
  </si>
  <si>
    <t>Suaidi Yahya (Wali Kota Lhokseumawe)</t>
  </si>
  <si>
    <t>p-14277-ok</t>
  </si>
  <si>
    <t>Cupi Cupita</t>
  </si>
  <si>
    <t>pria-pria hidung belang</t>
  </si>
  <si>
    <t>p-12316-re</t>
  </si>
  <si>
    <t>Mutiara Ika (Sekretaris Nasional Perempuan Mahardika)***Abdullah (Ketua Bidang Hukum dan Humas MA)</t>
  </si>
  <si>
    <t>mengaku mendapat pelecehan</t>
  </si>
  <si>
    <t>p-13502-cn</t>
  </si>
  <si>
    <t>449</t>
  </si>
  <si>
    <t>Charles Honoris (DPR)***Satya Yudha (DPR)</t>
  </si>
  <si>
    <t>p-12365-re</t>
  </si>
  <si>
    <t>p-13661-li</t>
  </si>
  <si>
    <t>606</t>
  </si>
  <si>
    <t>Presiden AS Donald Trump***New York Times***Washington Post***CNN***NBC</t>
  </si>
  <si>
    <t>p-13924-ti</t>
  </si>
  <si>
    <t>Sri Nurherwati (Komnas Perempuan)</t>
  </si>
  <si>
    <t>p-14005-su</t>
  </si>
  <si>
    <t>356</t>
  </si>
  <si>
    <t>Suhendro (Kapolres)</t>
  </si>
  <si>
    <t>p-14035-cn</t>
  </si>
  <si>
    <t>Sunnaya Nash***Ariana Grande***Stephanie Otway (Instagram)***Sara ZIff (Model Alliance)***Tony Iu dan Lindsey Schuyler (Diet Prada)***Instagram</t>
  </si>
  <si>
    <t>2***0***0***1***0***0</t>
  </si>
  <si>
    <t>0***0***1***1***1***1</t>
  </si>
  <si>
    <t>p-14050-su</t>
  </si>
  <si>
    <t>@askmenfess***@Hardi23146421***@_bilbill***@kusuma_denti***HanaAlifaS</t>
  </si>
  <si>
    <t>p-14409-tr</t>
  </si>
  <si>
    <t>178</t>
  </si>
  <si>
    <t>polisi***Lisa</t>
  </si>
  <si>
    <t>p-15940-ti</t>
  </si>
  <si>
    <t>Yohana Susana Yembise (Menteri Pemberdayaan Perempuan dan Perlindungan Anak (PPPA))***Asfinawati (Direktur YLBHI)***Anggara Suwahju (Direktur Eksekutif Institute For Criminal Justice Reform (ICJR))***Mamik Sri Supatmi (Kriminolog Universitas Indonesia)</t>
  </si>
  <si>
    <t>1***1***0***0</t>
  </si>
  <si>
    <t>0***1***1***1</t>
  </si>
  <si>
    <t>p-15184-ti</t>
  </si>
  <si>
    <t>882</t>
  </si>
  <si>
    <t>268</t>
  </si>
  <si>
    <t>Google</t>
  </si>
  <si>
    <t>Hasto Atmojo (LPSK)***Noor Sidharta (LPSK)</t>
  </si>
  <si>
    <t>p-15598-ko</t>
  </si>
  <si>
    <t>286</t>
  </si>
  <si>
    <t>Ratna Batara Munti (Koordinator Jaringan Kerja Prolegnas Pro Perempuan)</t>
  </si>
  <si>
    <t>p-14412-li</t>
  </si>
  <si>
    <t>Patroli Indosiar</t>
  </si>
  <si>
    <t>p-15954-tr</t>
  </si>
  <si>
    <t>Poppy Kelly***Nikita Mirzani</t>
  </si>
  <si>
    <t>Doddy Soedrajat</t>
  </si>
  <si>
    <t>p-16008-cn</t>
  </si>
  <si>
    <t>245</t>
  </si>
  <si>
    <t>AS</t>
  </si>
  <si>
    <t>p-16118-ok</t>
  </si>
  <si>
    <t>Dodi Sudrajat</t>
  </si>
  <si>
    <t>pose seksi***mempertontonkan tubuh seksinya</t>
  </si>
  <si>
    <t>p-16164-ko</t>
  </si>
  <si>
    <t>Ace Hasan Syadzily (DPR)***Aziz Syamsuddin (DPR)</t>
  </si>
  <si>
    <t>p-16236-de</t>
  </si>
  <si>
    <t>349</t>
  </si>
  <si>
    <t>Jazuli Juwaini (PKS)***Bambang Soesatyo (DPR)</t>
  </si>
  <si>
    <t>a-11-ko</t>
  </si>
  <si>
    <t>a-15-te</t>
  </si>
  <si>
    <t>Alaraby.co.uk***Departemen Keuangan AS</t>
  </si>
  <si>
    <t>a-24-cn</t>
  </si>
  <si>
    <t>Amelia (Imparsial)***Imparsial***Erwin Natosmal Oemar (ILR)</t>
  </si>
  <si>
    <t>a-29-ko</t>
  </si>
  <si>
    <t>Suharsono (Bupati Bantul)***Muhammad Irwan Susanto (Kepala Desa)***Utiek</t>
  </si>
  <si>
    <t>a-37-li</t>
  </si>
  <si>
    <t>Sumber keamanan dan medis***Sumber rumah sakit lokal***New Strait Times***Human Rights Watch</t>
  </si>
  <si>
    <t>a-49-re</t>
  </si>
  <si>
    <t>a-65-ko</t>
  </si>
  <si>
    <t>Juliari Peter Batubara (Menteri Sosial)***Hudiyono (Plt Kepala Biro Kesejahteraan Sosial Pemprov Jawa Timur)</t>
  </si>
  <si>
    <t>dianggap sesat</t>
  </si>
  <si>
    <t>a-74-cn</t>
  </si>
  <si>
    <t>Maram Uday***Hashem***Crush***Taleb</t>
  </si>
  <si>
    <t>a-83-tr</t>
  </si>
  <si>
    <t>Mahfud MD (Menko Polhukam)</t>
  </si>
  <si>
    <t>a-84-ko</t>
  </si>
  <si>
    <t>a-98-su</t>
  </si>
  <si>
    <t>YouTube FORKOM FORUM KOMUNIKASI ALAWIYYIN INDONESIA***Haddad Alwi***Guntur Romli***Ustadz Hikmat***Wisnu Prabowo (Kapolres Sukabumi Kota AKBP)</t>
  </si>
  <si>
    <t>1***2***0***0***0</t>
  </si>
  <si>
    <t>0***0***1***0***0</t>
  </si>
  <si>
    <t>a-114-tr</t>
  </si>
  <si>
    <t>Diaz Hendropriiyono (Ketum PKP Indonesia)***Presiden Joko Widodo</t>
  </si>
  <si>
    <t>a-121-ti</t>
  </si>
  <si>
    <t>a-134-re</t>
  </si>
  <si>
    <t>Abbas Mousavi (juru bicara Kementerian Luar Negeri Iran)</t>
  </si>
  <si>
    <t>a-142-ok</t>
  </si>
  <si>
    <t>Reporter Associated Press</t>
  </si>
  <si>
    <t>Mayo Clinic***Health Line</t>
  </si>
  <si>
    <t>d-177-cn</t>
  </si>
  <si>
    <t>d-192-ko</t>
  </si>
  <si>
    <t>Gina Anindyajati</t>
  </si>
  <si>
    <t>kelainan sifat yang berbeda dengan bocah seusianya***memiliki kebutuhan yang lebih dari anak normal</t>
  </si>
  <si>
    <t>Chand Kelvin***Mintarsih A. Latief</t>
  </si>
  <si>
    <t>d-209-re</t>
  </si>
  <si>
    <t>d-215-te</t>
  </si>
  <si>
    <t>Sri Melati (MDVI Dwi Tuna Harapan Baru)***Heru Ramdani (Guru Sekolah Luar Biasa Pembina)</t>
  </si>
  <si>
    <t>d-238-ko</t>
  </si>
  <si>
    <t>jurnal Development***Dr Rui Diogo***Dr Sergio Almécija</t>
  </si>
  <si>
    <t>d-267-ti</t>
  </si>
  <si>
    <t>d-316-li</t>
  </si>
  <si>
    <t>d-319-ok</t>
  </si>
  <si>
    <t>390</t>
  </si>
  <si>
    <t>Sistem Registrasi Sampel***World Health Organization***dr. Agung Frijanto Sp-KJ</t>
  </si>
  <si>
    <t>d-488-ok</t>
  </si>
  <si>
    <t>Edy (Kapolsek)***Robianto (Kalapas)</t>
  </si>
  <si>
    <t>d-547-de</t>
  </si>
  <si>
    <t xml:space="preserve">YLBHI </t>
  </si>
  <si>
    <t>d-724-ti</t>
  </si>
  <si>
    <t>Bawaslu</t>
  </si>
  <si>
    <t>d-781-ko</t>
  </si>
  <si>
    <t>Ongko Gradiarso Sukahar (Kasat Reskrim Polres Cilacap AKP)</t>
  </si>
  <si>
    <t>d-845-ti</t>
  </si>
  <si>
    <t>Kemnaker***BPN</t>
  </si>
  <si>
    <t>Syamsul Anwar***Joko Kristiyanto***Asrul Hasan***Sukaesih***Andre Soelistyo***Kevin Aluwi</t>
  </si>
  <si>
    <t>0***0***2***0***0***0</t>
  </si>
  <si>
    <t>Sajidan (UNS)***Senny Marbun (NPC)</t>
  </si>
  <si>
    <t>d-996-de</t>
  </si>
  <si>
    <t>DIan Sastrowadoyo</t>
  </si>
  <si>
    <t>d-1339-te</t>
  </si>
  <si>
    <t>Heba Morayef (Amnesty International)</t>
  </si>
  <si>
    <t>d-1373-de</t>
  </si>
  <si>
    <t>d-1424-tr</t>
  </si>
  <si>
    <t>d-2220-te</t>
  </si>
  <si>
    <t>Toni Kuswanto (Pelatih Angkat Berat Paralimpik Indonesia)***Andi Herman (Kepala Kontingen ASEAN Para Games)</t>
  </si>
  <si>
    <t>d-1854-de</t>
  </si>
  <si>
    <t>d-1869-li</t>
  </si>
  <si>
    <t>Joko Widodo***Basuki Hadimuljono</t>
  </si>
  <si>
    <t>d-1891-su</t>
  </si>
  <si>
    <t>Rima Ferdianto</t>
  </si>
  <si>
    <t>d-1956-re</t>
  </si>
  <si>
    <t>d-1977-ti</t>
  </si>
  <si>
    <t>Nadiem Makarim</t>
  </si>
  <si>
    <t>d-2012-ko</t>
  </si>
  <si>
    <t>Mustakim (Kanit Reskrim Polsek Metro Penjaringan Kompol)</t>
  </si>
  <si>
    <t>World of Buzz***Medical News Today</t>
  </si>
  <si>
    <t>d-2348-ko</t>
  </si>
  <si>
    <t>d-2442-li</t>
  </si>
  <si>
    <t>d-2557-de</t>
  </si>
  <si>
    <t>d-2573-re</t>
  </si>
  <si>
    <t>d-2579-te</t>
  </si>
  <si>
    <t>2019-12-28</t>
  </si>
  <si>
    <t>Rahayu Saraswati</t>
  </si>
  <si>
    <t>d-2623-tr</t>
  </si>
  <si>
    <t>Arwani (Kabid Kesehatan Jiwa Kantor Dinkes Kabupaten Kediri)***Sunar</t>
  </si>
  <si>
    <t>menderita skizofrenia***penderita jiwa***menderita gangguan jiwa***keterbelakangan mental***menderita epilepsi***keterbelakangan mental</t>
  </si>
  <si>
    <t>d-2728-su</t>
  </si>
  <si>
    <t>d-2739-tr</t>
  </si>
  <si>
    <t>i-26-de</t>
  </si>
  <si>
    <t>The Sun***Surrogate.com</t>
  </si>
  <si>
    <t>i-28-ok</t>
  </si>
  <si>
    <t>D Razumilov***Sapizhat Gusnieva</t>
  </si>
  <si>
    <t>merubah orientasi seksnya menjadi gay</t>
  </si>
  <si>
    <t>i-35-ok</t>
  </si>
  <si>
    <t>i-40-tr</t>
  </si>
  <si>
    <t>Mark Feehily</t>
  </si>
  <si>
    <t>i-53-de</t>
  </si>
  <si>
    <t>Bebby Fey</t>
  </si>
  <si>
    <t>i-59-su</t>
  </si>
  <si>
    <t>Juang Andi Supriyanto***Davina</t>
  </si>
  <si>
    <t>Juang Andi Priyanto</t>
  </si>
  <si>
    <t>Binjai Iptu Siswanto Ginting (Polsek)</t>
  </si>
  <si>
    <t>i-105-ko</t>
  </si>
  <si>
    <t>Ninik Rahayu (Ombudsman)</t>
  </si>
  <si>
    <t>i-109-ti</t>
  </si>
  <si>
    <t>@ksupercorp1821***@smurff32896***NPC Daily***CNN***Kristen Anderson-Lopez</t>
  </si>
  <si>
    <t>i-157-su</t>
  </si>
  <si>
    <t>Arsul Sani (DPR)</t>
  </si>
  <si>
    <t>i-190-li</t>
  </si>
  <si>
    <t>Achmad Baidowi (Fraksi PPP di DPR)***Usman Hamid (Amnesty International)</t>
  </si>
  <si>
    <t>i-194-su</t>
  </si>
  <si>
    <t>Ulil (Kapolsek)</t>
  </si>
  <si>
    <t>i-196-tr</t>
  </si>
  <si>
    <t>i-202-de</t>
  </si>
  <si>
    <t>Gabriel Eel (OPSI)***Siti Farida (Ombudsman)</t>
  </si>
  <si>
    <t>i-235-su</t>
  </si>
  <si>
    <t>Dwi Estiningsih***Nelson Eugine Walls***Brian Mustanskiyang***Sadiq Naveed</t>
  </si>
  <si>
    <t>i-237-ti</t>
  </si>
  <si>
    <t>Dwi Estiningsih (PKS)***Brian Mustanski***N. Eugene Walls***Justito Adiprasetio (Unpad)***Fathimah Fildzah Izzati (Pusat Penelitian Politik LIPI)</t>
  </si>
  <si>
    <t>-1***1***1***1***1</t>
  </si>
  <si>
    <t>i-249-tr</t>
  </si>
  <si>
    <t>VOA***Bhuwan Kathuria***Sharif Rangnekar***Devdutt Pattanaik***Nemat Sadat***Saif Mahmood***Divya Gulati</t>
  </si>
  <si>
    <t>0***2***2***0***2***0***0</t>
  </si>
  <si>
    <t>1***1***1***1***1***1***0</t>
  </si>
  <si>
    <t>i-257-su</t>
  </si>
  <si>
    <t>i-259-ti</t>
  </si>
  <si>
    <t>Yusnaningsi Kasim</t>
  </si>
  <si>
    <t>i-279-de</t>
  </si>
  <si>
    <t>i-306-cn</t>
  </si>
  <si>
    <t>i-310-ko</t>
  </si>
  <si>
    <t>i-360-su</t>
  </si>
  <si>
    <t>Juang Andi Priyanto (Kapolres)***Sintia</t>
  </si>
  <si>
    <t>i-361-te</t>
  </si>
  <si>
    <t>Herlambang P. Wiratraman</t>
  </si>
  <si>
    <t>i-368-ti</t>
  </si>
  <si>
    <t>Engadget***Technology Review</t>
  </si>
  <si>
    <t>p-3-su</t>
  </si>
  <si>
    <t>Cinta Laura***@BudeSumiyati***@PolJokesID***@anindyavivi***@wibowo_arma82</t>
  </si>
  <si>
    <t>p-17-de</t>
  </si>
  <si>
    <t>Jean Calvijn Simanjuntak (Kapolres Trenggalek AKBP)</t>
  </si>
  <si>
    <t>kalap karena cemburu</t>
  </si>
  <si>
    <t>p-60-ko</t>
  </si>
  <si>
    <t>Herliana (pengacara terdakwa)</t>
  </si>
  <si>
    <t>p-74-tr</t>
  </si>
  <si>
    <t>Aswar Nur SIk (Polda)***Ibrahim Tompo (Humas Polda)***Dr Remigius Sigid Tri Hardjanto (Kapolda)</t>
  </si>
  <si>
    <t>p-98-ok</t>
  </si>
  <si>
    <t>p-100-su</t>
  </si>
  <si>
    <t>Dewi***Ben</t>
  </si>
  <si>
    <t>p-117-de</t>
  </si>
  <si>
    <t>Jaka Mulyana (Wakapolres Cianjur)</t>
  </si>
  <si>
    <t>p-157-cn</t>
  </si>
  <si>
    <t>p-191-tr</t>
  </si>
  <si>
    <t>Juang Andi Priyanto (Kapolres Cianjur)</t>
  </si>
  <si>
    <t>p-219-de</t>
  </si>
  <si>
    <t>Bimantoro Kurniawan (Polres)</t>
  </si>
  <si>
    <t>p-229-li</t>
  </si>
  <si>
    <t>Mulyo Hadi Purnomo (KPI)</t>
  </si>
  <si>
    <t>p-365-ti</t>
  </si>
  <si>
    <t>Gama Triono***Profesor Koentjoro</t>
  </si>
  <si>
    <t>kemungkinan besar pelaku memiliki masalah psikologis</t>
  </si>
  <si>
    <t>p-421-li</t>
  </si>
  <si>
    <t>Danny Ford (Polisi)***Aaron Helton***Tera Mathis (Jubir Polisi)***Jason Hicks (Jaksa Distrik)***Payton McCormick (Jubir Walmart)***Forrest Bennett***Kimberly Meek</t>
  </si>
  <si>
    <t>p-437-re</t>
  </si>
  <si>
    <t>Ustaz Maman Suratman</t>
  </si>
  <si>
    <t>p-505-su</t>
  </si>
  <si>
    <t>Trunoyudo Wisnu Andiko (Humas Polda)</t>
  </si>
  <si>
    <t>p-508-te</t>
  </si>
  <si>
    <t>Eva-Marie Persson (Wakil Jaksa Penuntut)</t>
  </si>
  <si>
    <t>p-564-te</t>
  </si>
  <si>
    <t>p-587-li</t>
  </si>
  <si>
    <t>Mike Tyson</t>
  </si>
  <si>
    <t>p-594-re</t>
  </si>
  <si>
    <t>Profesor Ariel Heryanto***Gary Quinlan</t>
  </si>
  <si>
    <t>p-596-su</t>
  </si>
  <si>
    <t>Rebecca Reijmen</t>
  </si>
  <si>
    <t>p-619-li</t>
  </si>
  <si>
    <t>Aisha Servia (Sutradara)</t>
  </si>
  <si>
    <t>p-633-cn</t>
  </si>
  <si>
    <t xml:space="preserve">Soompi </t>
  </si>
  <si>
    <t>p-638-de</t>
  </si>
  <si>
    <t>Rizki Santoso (Polres)</t>
  </si>
  <si>
    <t>p-650-ok</t>
  </si>
  <si>
    <t>Chris Atkins***polisi</t>
  </si>
  <si>
    <t>p-696-ok</t>
  </si>
  <si>
    <t>Vanessa Angel***warganet***warganet</t>
  </si>
  <si>
    <t>p-722-tr</t>
  </si>
  <si>
    <t>Veri Siregar (Komnas Perempuan)</t>
  </si>
  <si>
    <t>p-864-tr</t>
  </si>
  <si>
    <t>Yunar Hotma (Polres Malang)***Budi Harianto (Kapolsek)***Adrian Darmali (Grab)</t>
  </si>
  <si>
    <t>pencabulan***dicabuli***dicabuli</t>
  </si>
  <si>
    <t>p-944-su</t>
  </si>
  <si>
    <t>Tri Rismaharini***Presiden Erdogan</t>
  </si>
  <si>
    <t>p-950-cn</t>
  </si>
  <si>
    <t>Alberto Ali (Pariwisata DKI Jakarta)</t>
  </si>
  <si>
    <t>p-965-de</t>
  </si>
  <si>
    <t>p-1182-su</t>
  </si>
  <si>
    <t>Chinapress***pengacara pelaku</t>
  </si>
  <si>
    <t>p-1285-de</t>
  </si>
  <si>
    <t>Kiki "The Potters"</t>
  </si>
  <si>
    <t>p-1322-cn</t>
  </si>
  <si>
    <t>Valentina Sagala***Dea Safira (Indonesia Feminis)***Nia Umar (Asosiasi Ibu Menyusui Indonesia)</t>
  </si>
  <si>
    <t>Sri Mulyani***Ida Fauziyah (Menteri Ketenagakerjaan)</t>
  </si>
  <si>
    <t>p-1381-tr</t>
  </si>
  <si>
    <t>Yuni Shara</t>
  </si>
  <si>
    <t>a-2-de</t>
  </si>
  <si>
    <t>a-6-cn</t>
  </si>
  <si>
    <t>Kepolisian New South Wales</t>
  </si>
  <si>
    <t>a-25-ti</t>
  </si>
  <si>
    <t>Mansyur Ahmad(Jamaah Ahmadiyah Indonesia)***Danang(Jamaah Ahmadiyah Indonesia)***Halili(Direktur Riset SETARA Institute)***Willy Hanafi(LBH Bandung)</t>
  </si>
  <si>
    <t>Anggara(Direktur Eksekutif Institute for Criminal Justice)</t>
  </si>
  <si>
    <t>11/010/2019</t>
  </si>
  <si>
    <t>Rivanlee Anandar(Peneliti Hukum dan HAM KontraS)***Pramono Ubaid(Komisioner KPU)***Arief Budiman(Ketua KPU)</t>
  </si>
  <si>
    <t>a-52-te</t>
  </si>
  <si>
    <t>Yati Adriyani(Koordinator Badan Pekerja KontraS)</t>
  </si>
  <si>
    <t>a-94-ko</t>
  </si>
  <si>
    <t>Kementerian Luar Negeri Bahrain</t>
  </si>
  <si>
    <t>Syiah***Sunni</t>
  </si>
  <si>
    <t>a-178-tr</t>
  </si>
  <si>
    <t>Zudan Arif Fikurlloh(Dirjen Dukcapil)</t>
  </si>
  <si>
    <t xml:space="preserve">a-128-ti
</t>
  </si>
  <si>
    <t>Bonie Nugraha Permana(Ketua Presidium Majelis Luhur Kepercayaan Indonesia Kota Bandung)</t>
  </si>
  <si>
    <t>a-132-de</t>
  </si>
  <si>
    <t>Sukarniaty Kondokelele(Kepala Dinas Dukcapil Provinsi Sulsel)</t>
  </si>
  <si>
    <t>a-138-li</t>
  </si>
  <si>
    <t>Popong W. Nuraeni(Dinas Kependudukan dan Catatan Sipil)</t>
  </si>
  <si>
    <t>Zudan Arif Fakrulloh(Dirjen Dukcapil)</t>
  </si>
  <si>
    <t xml:space="preserve">a-153-ti
</t>
  </si>
  <si>
    <t>Zudan Arif Fakhrulloh(Dirjen Dukcapil kemendagri)</t>
  </si>
  <si>
    <t xml:space="preserve">a-155-tr
</t>
  </si>
  <si>
    <t>Jusuf Kalla(Wakil Presiden)</t>
  </si>
  <si>
    <t>a-172-te</t>
  </si>
  <si>
    <t>a-182-re</t>
  </si>
  <si>
    <t>a-198-cn</t>
  </si>
  <si>
    <t>a-202-re</t>
  </si>
  <si>
    <t>a-215-li</t>
  </si>
  <si>
    <t>Sunarso(Pengurus Majelis Luhur Kepercayaan Terhadap Tuhan YME Indonesia(YMLKI)Cilacap)</t>
  </si>
  <si>
    <t>a-221-tr</t>
  </si>
  <si>
    <t>MR atau Angel Vanessa(lelaki"cantik")***TMS(pasangannya MR)***Wilayatul Hisbah(petugas)</t>
  </si>
  <si>
    <t>waria***lelaki cantik***waria***berpenampilan normal layaknya seorang pria***waria***waria</t>
  </si>
  <si>
    <t>a-227-re</t>
  </si>
  <si>
    <t>a-310-su</t>
  </si>
  <si>
    <t>18/03/2019</t>
  </si>
  <si>
    <t>Sri Hartanto(Kabid Pendaftaran Disdukcapil)</t>
  </si>
  <si>
    <t>a-248-su</t>
  </si>
  <si>
    <t>a-257-de</t>
  </si>
  <si>
    <t>Hery Suherman(Kepala Disdukcapil Jabar)</t>
  </si>
  <si>
    <t>a-258-te</t>
  </si>
  <si>
    <t>Heri Suherman(Kepala Dinas Kependudukan Dan Catatan Sipil Jawa Barat)***Bonie Nugraha Permana(pengkhayat)</t>
  </si>
  <si>
    <t>a-330-ko</t>
  </si>
  <si>
    <t>23/03/2019</t>
  </si>
  <si>
    <t>Halim Eka Wardhana(Juru Bicara Doa Perdamaian)***Niluh Novi Astawati(Muda Mudi Cirebon Hindu)</t>
  </si>
  <si>
    <t>a-331-ko</t>
  </si>
  <si>
    <t>a-334-de</t>
  </si>
  <si>
    <t>a-386-cn</t>
  </si>
  <si>
    <t>Slamet Jumiarto(penganut agama marjinal)***Iswanto(Kepala Dusun)</t>
  </si>
  <si>
    <t>a-390-de</t>
  </si>
  <si>
    <t>Ahmad Royan(Ketua Forum Kebangsaan Tulungagung)</t>
  </si>
  <si>
    <t>a-404-ko</t>
  </si>
  <si>
    <t>a-412-cn</t>
  </si>
  <si>
    <t>Kementerian Luar Negeri Bahrain***Human Right Watch</t>
  </si>
  <si>
    <t>a-415-ko</t>
  </si>
  <si>
    <t>a-418-cn</t>
  </si>
  <si>
    <t>a-424-ok</t>
  </si>
  <si>
    <t>a-430-ti</t>
  </si>
  <si>
    <t>a-439-ok</t>
  </si>
  <si>
    <t>Wakil Inspektur Jenderal Quetta</t>
  </si>
  <si>
    <t>a-480-tr</t>
  </si>
  <si>
    <t>a-486-ti</t>
  </si>
  <si>
    <t>a-511-de</t>
  </si>
  <si>
    <t>a-521-tr</t>
  </si>
  <si>
    <t>a-544-cn</t>
  </si>
  <si>
    <t>a-587-ti</t>
  </si>
  <si>
    <t>a-594-re</t>
  </si>
  <si>
    <t>Jerry D Gray(penulis buku)</t>
  </si>
  <si>
    <t>a-620-de</t>
  </si>
  <si>
    <t>Amnesty Internasional***Lynn Maalouf(Direktur Penelitian Amnesty Internasional Timur Tengah)</t>
  </si>
  <si>
    <t>a-639-li</t>
  </si>
  <si>
    <t>14/06/2019</t>
  </si>
  <si>
    <t>a-642-ok</t>
  </si>
  <si>
    <t>a-690-de</t>
  </si>
  <si>
    <t>a-735-te</t>
  </si>
  <si>
    <t>Haris Azhar(Pendiri Kantor Hukum Lokataru)***Jusuf Kalla(Wakil Presiden)***Moeldoko(Kepala Kantor Staf Presiden)</t>
  </si>
  <si>
    <t>a-778-de</t>
  </si>
  <si>
    <t>a-781-cn</t>
  </si>
  <si>
    <t>27/07/2019</t>
  </si>
  <si>
    <t>a-782-de</t>
  </si>
  <si>
    <t>a-783-te</t>
  </si>
  <si>
    <t>a-831-li</t>
  </si>
  <si>
    <t>a-832-su</t>
  </si>
  <si>
    <t>a-837-li</t>
  </si>
  <si>
    <t>Mirwais(Pengantin Pria)***Muhammad Farhag(Saksi)</t>
  </si>
  <si>
    <t>a-851-ko</t>
  </si>
  <si>
    <t>a-854-tr</t>
  </si>
  <si>
    <t>a-857-ko</t>
  </si>
  <si>
    <t>a-866-ok</t>
  </si>
  <si>
    <t>a-867-te</t>
  </si>
  <si>
    <t>a-878-li</t>
  </si>
  <si>
    <t>a-880-ok</t>
  </si>
  <si>
    <t>a-895-re</t>
  </si>
  <si>
    <t>Lutfee H Samea</t>
  </si>
  <si>
    <t>d-148-te</t>
  </si>
  <si>
    <t>Adrian Yunan Faisal(pemusik)</t>
  </si>
  <si>
    <t>d-1031-te</t>
  </si>
  <si>
    <t>Abdul Kadir Karding(Timses TKN)***Djoko Santoso(Timses Prabowo-Sandi)</t>
  </si>
  <si>
    <t>d-1202-ko</t>
  </si>
  <si>
    <t>d-1481-de</t>
  </si>
  <si>
    <t>AKP Saharuddin(Kapolsek Kawan Pelabuhan Nusantara)***Toleng(Saksi)</t>
  </si>
  <si>
    <t>gangguan kejiwaan</t>
  </si>
  <si>
    <t>d-1490-li</t>
  </si>
  <si>
    <t>d-1723-ti</t>
  </si>
  <si>
    <t>23/01/2019</t>
  </si>
  <si>
    <t>d-2261-su</t>
  </si>
  <si>
    <t>d-2312-li</t>
  </si>
  <si>
    <t>d-3728-li</t>
  </si>
  <si>
    <t>Kasi Trantib(Satpol PP)</t>
  </si>
  <si>
    <t>perempuan penderita gangguan jiw</t>
  </si>
  <si>
    <t>d-2482-tr</t>
  </si>
  <si>
    <t>d-2599-te</t>
  </si>
  <si>
    <t>d-2334-ti</t>
  </si>
  <si>
    <t>Marta(Ibu Stevani)***Supanem(Ibu Nur Amelia)***Oma Ros('malaikat')***Tong Amat(penyintas)***Stevani(penyintas)***Nur Amelia(penyintas)</t>
  </si>
  <si>
    <t>0***0***0***1***1***1</t>
  </si>
  <si>
    <t>Anne Avantie(Pendiri Wisma Kasih Hydrocephalus)***Irwan Hidayat(Direktur PT Berlico Farma)</t>
  </si>
  <si>
    <t>d-3279-ok</t>
  </si>
  <si>
    <t>Marullah Matali(Wali Kota Jakarta Selatan)***Mahfud Fasa(Ketua Perkumpulan Penyandang Disabilitas Fisik Indonesia untuk DKI Jakarta)</t>
  </si>
  <si>
    <t>d-3719-de</t>
  </si>
  <si>
    <t>AKP Edi Qorinas(Kasat Reskrim Polres Tanggamus )***Ipda Primadona Laila(Kanit Perlindungan Perempuan dan Anak)</t>
  </si>
  <si>
    <t>perilaku menyimpang***menyetubuhi</t>
  </si>
  <si>
    <t>Inspektur Satu Herry Sulistyo(Kapolsek Pulau Beringin)</t>
  </si>
  <si>
    <t>Abdul Mu'ti(Sekjen PP Muhammadiyah)***Muhammad Ziyad(Lembaga Dakwah Khusus)</t>
  </si>
  <si>
    <t>d-4628-ti</t>
  </si>
  <si>
    <t>Maulani Rotinsulu(Ketua Umum Himpunan Wanita Disabitlitas Indonesia)</t>
  </si>
  <si>
    <t>d-4712-ti</t>
  </si>
  <si>
    <t>d-4723-tr</t>
  </si>
  <si>
    <t>Ibu dari W***Maulani Rotinsulu(Ketum HWDI)</t>
  </si>
  <si>
    <t>d-5121-re</t>
  </si>
  <si>
    <t>Slamet Mulyana(Kadispora Kab Bandung)***Seni Aprilianty(Ketua National Paralympic Commitee Indonesia)</t>
  </si>
  <si>
    <t>d-5849-cn</t>
  </si>
  <si>
    <t>Imam Addaruquthni(Sekretaris Jenderal DMI)***Komisaris Besar Polisi Agus Triatmaja(Kepala Bidang Humas Kepolisian Daerah (Polda) Jawa Tengah)</t>
  </si>
  <si>
    <t>d-6178-li</t>
  </si>
  <si>
    <t>dr Hably Warganegara (dokter)</t>
  </si>
  <si>
    <t>d-6564-de</t>
  </si>
  <si>
    <t>Naily Syatifah(Ketua KPU Kudus)***Dhani Kurniawan(Komisioner KPU Kudus)***Anik Mahiroh(peserta difabel)</t>
  </si>
  <si>
    <t>d-6624-de</t>
  </si>
  <si>
    <t>AKP Rizaldi(Kasatreskrim Polres Sukabumi)***Wahyu Handriana(Juru Bicara RSUD)</t>
  </si>
  <si>
    <t>Gagu</t>
  </si>
  <si>
    <t>d-6960-ok</t>
  </si>
  <si>
    <t>d-7153-ok</t>
  </si>
  <si>
    <t>d-7636-ok</t>
  </si>
  <si>
    <t>d-7663-ti</t>
  </si>
  <si>
    <t>Nahar(Deputi Bidang Perlindungan Anak KemenPPPA)</t>
  </si>
  <si>
    <t>d-7678-de</t>
  </si>
  <si>
    <t>d-7765-ok</t>
  </si>
  <si>
    <t>d-7948-ok</t>
  </si>
  <si>
    <t>AKBP Eddwi Kurniyanto(Kapolres Probolinggo)</t>
  </si>
  <si>
    <t>d-8162-cn</t>
  </si>
  <si>
    <t>Mochammad Afifuddin(Anggota Bawaslu RI)</t>
  </si>
  <si>
    <t>d-8292-ko</t>
  </si>
  <si>
    <t>20/04/2019</t>
  </si>
  <si>
    <t>Suparno(AKP Polres Kebumen)</t>
  </si>
  <si>
    <t>d-8684-re</t>
  </si>
  <si>
    <t>d-7440-tr</t>
  </si>
  <si>
    <t>Pramono Ubaid Tanthowi(Komisioner KPU RI)</t>
  </si>
  <si>
    <t>d-9146-ko</t>
  </si>
  <si>
    <t>Enceng(pemilik warung nasi)***Wiwin Wiartini (Kepala Sekolah SLB-C Plus Asih Manunggal)</t>
  </si>
  <si>
    <t>d-9979-ti</t>
  </si>
  <si>
    <t>Sagar Savla(Product Manager Google AI Research Group)</t>
  </si>
  <si>
    <t>d-9221-de</t>
  </si>
  <si>
    <t>Muhammad Sai(Ketua Kelompok Tani dan Sekretaris Perkumpulan Penyandang Disabilitas Indonesia)</t>
  </si>
  <si>
    <t>d-9324-te</t>
  </si>
  <si>
    <t>d-10546-li</t>
  </si>
  <si>
    <t>Angkie Yudistia( Founder dan CEO Thisable Enterprise)***Reza(unknown)</t>
  </si>
  <si>
    <t>d-10041-ok</t>
  </si>
  <si>
    <t>Natasha Rizki(selebriti)</t>
  </si>
  <si>
    <t>d-9746-tr</t>
  </si>
  <si>
    <t>Susiyati(Istri)***Mas Nan(Suami)</t>
  </si>
  <si>
    <t>Meski tak dapat melihat seperti orang pada umumnya</t>
  </si>
  <si>
    <t>d-9875-te</t>
  </si>
  <si>
    <t>Sandra Talogo(Direktur Administrasi dan Pendiri Sekolah Khusus Spektrum)***Nana Hani (kakak dari salah seorang murid)</t>
  </si>
  <si>
    <t>gangguan perkembangan***gangguan perilaku</t>
  </si>
  <si>
    <t>d-10024-su</t>
  </si>
  <si>
    <t>d-10213-su</t>
  </si>
  <si>
    <t>d-10632-su</t>
  </si>
  <si>
    <t>Nikita Mirzani(Artis)</t>
  </si>
  <si>
    <t>d-10729-li</t>
  </si>
  <si>
    <t>d-10833-su</t>
  </si>
  <si>
    <t>anOT7girl(akun Twitter fans BTS)</t>
  </si>
  <si>
    <t>d-11307-ti</t>
  </si>
  <si>
    <t>d-11477-te</t>
  </si>
  <si>
    <t>Ben Carpenter(Ayah Super)</t>
  </si>
  <si>
    <t>AKBP Budi Satria Wiguna(Kapolres Garut)</t>
  </si>
  <si>
    <t>d-12168-tr</t>
  </si>
  <si>
    <t>Mariyono(Kapolres Majalengka)</t>
  </si>
  <si>
    <t>d-11811-tr</t>
  </si>
  <si>
    <t>d-12113-ko</t>
  </si>
  <si>
    <t>d-11181-ok</t>
  </si>
  <si>
    <t>Sulistio(Kerabat Korban)***Erna Ruswing(Kasubag Humas Polres Metro Bekasi Kota)</t>
  </si>
  <si>
    <t>d-10975-li</t>
  </si>
  <si>
    <t>Fitri(penyandang polio)</t>
  </si>
  <si>
    <t>d-11883-su</t>
  </si>
  <si>
    <t>Joni Yulianto( Direktur Eksekutif Sasana Inklusi dan Advokasi Gerakan Difabel (Sigab))***Kadarmanta Baskara Aji(Kepala Dinas Pendidikan, Pemuda dan Olahraga Daerah Istimewa Yogyakarta)***Muhajir Effendi(Mendikbud)</t>
  </si>
  <si>
    <t>d-14313-ok</t>
  </si>
  <si>
    <t>Wendra Rona(Direktur LBH Padang)</t>
  </si>
  <si>
    <t xml:space="preserve"> Finandita Utari(psikolog)***Olivia Febrian(Spesialis Pendidikan Zumba)</t>
  </si>
  <si>
    <t>d-13578-ko</t>
  </si>
  <si>
    <t>Lilis(anggota Gerakan Jumat Berkah Kotabaru)***Dhani(anggota Gerakan Jumat Berkah Kotabaru)</t>
  </si>
  <si>
    <t>d-14963-ti</t>
  </si>
  <si>
    <t>Pribudiarta Nur Sitepu(Sekretaris KPPA)</t>
  </si>
  <si>
    <t>d-13985-de</t>
  </si>
  <si>
    <t>Romo Dominic Valanmanal(Pastor Katolik India)***Binoy Zacharia(anggota dari komunitas India Katolik)***Linton Thomas(anggota dari komunitas India Katolik)***Fiona Sharkie selaku(Ketua Pelaksana)***Uskup Bosco Puthur(Ketua dari Gereja Syro-Malabar di Australia)</t>
  </si>
  <si>
    <t>-1***1***1***0***0</t>
  </si>
  <si>
    <t>d-13530-su</t>
  </si>
  <si>
    <t>Alex Dominguez(disabilitas)</t>
  </si>
  <si>
    <t>d-13674-ti</t>
  </si>
  <si>
    <t>Nadhila Izzati Husna(saudara keluarga disabiltias)***Feka Angge Pramita(Psikolog klinis spesialis anak)</t>
  </si>
  <si>
    <t>d-13746-ko</t>
  </si>
  <si>
    <t>15/07/2019</t>
  </si>
  <si>
    <t>d-12612-li</t>
  </si>
  <si>
    <t>Syafruddin(Wakil Ketua Umum DMI)***AKBP Andi M Dicky(Kapolres Bogor)***salah satu warga</t>
  </si>
  <si>
    <t>d-14565-su</t>
  </si>
  <si>
    <t>Adel Wahidi(Plt Ombudsman Sumbar)***Romi(CPNS)</t>
  </si>
  <si>
    <t>Suhartono(Pemilik Yayasan Jamrud Biru)***Encu(Kakak Ipar Wawan)</t>
  </si>
  <si>
    <t>d-14249-tr</t>
  </si>
  <si>
    <t>AKP Cahyadi(Kapolsek Sukanagara)***Ustaz Syamsul(Warga)</t>
  </si>
  <si>
    <t>mengalami gangguan jiwa</t>
  </si>
  <si>
    <t>d-14257-cn</t>
  </si>
  <si>
    <t>d-14588-ti</t>
  </si>
  <si>
    <t xml:space="preserve"> Cheri Minns(Make up artist)***Dr. Rami Kaminski(profesor psikiatri di Fakultas Farmasi Universitas Columbia)***Deborah Serani(psikolog klinis sekaligus penulis buku Living With Depression)***Roy Johnson(Komika)</t>
  </si>
  <si>
    <t>d-14605-cn</t>
  </si>
  <si>
    <t>Romi Syofpa Ismael(Dokter Gigi)***Yulian Efi(Ketua Panselda CPNS 2018)***Admi Zulkhairi(Pengembangan Sumber Daya Manusia (BKPSDM) Solok Selatan)</t>
  </si>
  <si>
    <t>d-14653-ok</t>
  </si>
  <si>
    <t>d-14799-re</t>
  </si>
  <si>
    <t>Bambang Soeprijono(Operation Head TBBM Bandung Group, Pertamina Marketing Operation Region III)***Neneng(siswa sekolah Dreamable)***Cecep Hidayat(Ketua Yayasan PKBM Hidayah)</t>
  </si>
  <si>
    <t>d-14859-re</t>
  </si>
  <si>
    <t>Heppy Sebayang( Ketua Lembaga Advokasi Perlindungan Penyandang Disabilitas Indonesia )</t>
  </si>
  <si>
    <t>d-14856-re</t>
  </si>
  <si>
    <t>Nyimas Alia(Asisten Deputi Perlindungan Perempuan Kementerian Pemberdayaan Perempuan dan Perlindungan Anak)***Yulian Efi(Ketua Panitia Seleksi Daerah Solok Selatan 2018 )</t>
  </si>
  <si>
    <t>d-15317-ok</t>
  </si>
  <si>
    <t>d-15813-tr</t>
  </si>
  <si>
    <t>d-15830-de</t>
  </si>
  <si>
    <t>Fitriah(Korban Begal Payudara)***Shinta(Korban Begal Payudara)</t>
  </si>
  <si>
    <t>d-15850-su</t>
  </si>
  <si>
    <t>Widjianto(pengerajin besek)</t>
  </si>
  <si>
    <t>d-15958-re</t>
  </si>
  <si>
    <t>AKP Muharam Wibisono(Kasar Reskrim Polres Tangerang Selatan)</t>
  </si>
  <si>
    <t>d-16124-tr</t>
  </si>
  <si>
    <t>Wendy Kusumowidagdo(Direktur Eksekutif Yayasan Helping Funds)***Willy Suwandi Dharma(Salah satu pendiri Yayasan Helping Funds)</t>
  </si>
  <si>
    <t>Kombes (Pol) Donny Charles Go(Kabid Humas Polda Kalimantan Barat)</t>
  </si>
  <si>
    <t>gangguan jiwa***kalau sudah penyakitnya kambuh lagi yang bersangkutan berulah kembali</t>
  </si>
  <si>
    <t>d-16142-de</t>
  </si>
  <si>
    <t>15/08/2019</t>
  </si>
  <si>
    <t>Sugeng Sulistiyono(Kanit Laka Satlantas Polresta Sidoarjo)</t>
  </si>
  <si>
    <t>d-16711-ko</t>
  </si>
  <si>
    <t>Dian Sastro(artis)</t>
  </si>
  <si>
    <t>d-16798-tr</t>
  </si>
  <si>
    <t>d-15952-ok</t>
  </si>
  <si>
    <t xml:space="preserve"> Fitri Utaminingrum(dosen Universitas Brawijaya)</t>
  </si>
  <si>
    <t>d-17011-ok</t>
  </si>
  <si>
    <t>d-17033-ti</t>
  </si>
  <si>
    <t>Hari Nugroho(Kepala Dinas Bina Marga DKI Jakarta)</t>
  </si>
  <si>
    <t>d-17328-ko</t>
  </si>
  <si>
    <t>Taifur(Kapolsek Sukatani)</t>
  </si>
  <si>
    <t>d-17351-te</t>
  </si>
  <si>
    <t>Achsanul Habib(Direktur Hak Asasi Manusia dan Kemanusiaan Kementerian Luar Negeri)***Chelsea Islan(Ketua Youth of Indonesia)</t>
  </si>
  <si>
    <t>d-17435-ti</t>
  </si>
  <si>
    <t>d-17447-cn</t>
  </si>
  <si>
    <t>d-17454-de</t>
  </si>
  <si>
    <t>d-17504-te</t>
  </si>
  <si>
    <t>d-17510-tr</t>
  </si>
  <si>
    <t>d-17016-su</t>
  </si>
  <si>
    <t>Agus Gumilang(Menteri Sosial)</t>
  </si>
  <si>
    <t>d-17581-cn</t>
  </si>
  <si>
    <t>Vini Zulfa(Koordinator Aksi Geulis)***Dina Tanjung(Koordinator Lapangan Emak-emak Militan)</t>
  </si>
  <si>
    <t>d-17662-li</t>
  </si>
  <si>
    <t>Cardi B(Artis)</t>
  </si>
  <si>
    <t>d-17668-re</t>
  </si>
  <si>
    <t>Mustajab(Tukang Pijit)</t>
  </si>
  <si>
    <t>d-17674-te</t>
  </si>
  <si>
    <t>Jason Moser(ilmuwan)</t>
  </si>
  <si>
    <t>Rana Safvi(Sejarawan)***Devdutt Patnaik(Ahli mitologi)***Profesor Mukhia(Ilmuwan)***Keshav Suri(Aktivis LGBT)</t>
  </si>
  <si>
    <t>0***0***0***2</t>
  </si>
  <si>
    <t>Supriyadi(Ketua RT Setempat)***Dhani(Anggota FPI)***Ruli Ramadhani(pemilik rumah)</t>
  </si>
  <si>
    <t xml:space="preserve">i-88-ti
</t>
  </si>
  <si>
    <t>i-224-ok</t>
  </si>
  <si>
    <t>Kaeden(remaja berpenghasilan Rp70jt)</t>
  </si>
  <si>
    <t>i-252-ko</t>
  </si>
  <si>
    <t>i-280-cn</t>
  </si>
  <si>
    <t>Boaz Simajutak(Kepala Divisi Safety SAFEnet)</t>
  </si>
  <si>
    <t>i-299-te</t>
  </si>
  <si>
    <t>i-365-de</t>
  </si>
  <si>
    <t xml:space="preserve"> Imam Nahe'i(Komisioner Komnas Perempuan)***Bambang Soesatyo(Ketua DPR)</t>
  </si>
  <si>
    <t>i-371-su</t>
  </si>
  <si>
    <t>i-510-cn</t>
  </si>
  <si>
    <t>Rudiantara(Menkominfo)</t>
  </si>
  <si>
    <t>i-431-li</t>
  </si>
  <si>
    <t>Argo Yuwono(Divisi humas Polda Metro Jaya)</t>
  </si>
  <si>
    <t>Reva Alexa sebelumnya bernama Yogi Saputra</t>
  </si>
  <si>
    <t>Ilhan Omar(anggota DPR Amerika Serikat)</t>
  </si>
  <si>
    <t>i-616-ko</t>
  </si>
  <si>
    <t>Masnoni(Kapolsek Ilir Barat 1 Palembang)***Andi(Keponakan Korban)</t>
  </si>
  <si>
    <t>i-763-su</t>
  </si>
  <si>
    <t>i-857-te</t>
  </si>
  <si>
    <t>Joko Widodo(Capres)</t>
  </si>
  <si>
    <t>i-871-ko</t>
  </si>
  <si>
    <t>Ace Hasan Syadzily(Jubir TKN)</t>
  </si>
  <si>
    <t>i-892-ko</t>
  </si>
  <si>
    <t>Rotem Sela(presenter TV)***Netanyahu(PM Israel)***Gal Gadot(Artis)</t>
  </si>
  <si>
    <t>i-929-te</t>
  </si>
  <si>
    <t>Gal Gadot(artis)***Rotem Sela(penyiar televisi)***Netanyahu(PM Israel)***Carole Nuriel(Direktur ADL)***Reuven Rivlin(Presiden Israel)</t>
  </si>
  <si>
    <t>0***1***-1***0***0</t>
  </si>
  <si>
    <t>Runtung Sitepu(Rektor USU)***Yael Stefany(Pimpinan Umum Suara USU)</t>
  </si>
  <si>
    <t>i-1046-ti</t>
  </si>
  <si>
    <t>salah seorang sumber***Produser***Fletcher(Sutradara Rocketman)</t>
  </si>
  <si>
    <t>i-1053-li</t>
  </si>
  <si>
    <t>Kumalasari(Sahabat Lucinta Luna)***Lucinta Luna(artis)</t>
  </si>
  <si>
    <t>wanita yang diisukan transgender</t>
  </si>
  <si>
    <t>i-1070-tr</t>
  </si>
  <si>
    <t>Lucinta Luna(artis)</t>
  </si>
  <si>
    <t>i-1095-li</t>
  </si>
  <si>
    <t>Yasonna Laoly(Menkumham)***Bambang Soesatyo(Ketua DPR RI)</t>
  </si>
  <si>
    <t>i-1118-ok</t>
  </si>
  <si>
    <t>Renadly Denada Rachman(Artis)</t>
  </si>
  <si>
    <t>i-1130-de</t>
  </si>
  <si>
    <t>Rhoma Irama(artis)</t>
  </si>
  <si>
    <t>i-1262-su</t>
  </si>
  <si>
    <t>Mutah Napoleon Beale(rapper)***Fariz(netizen Brunei)***Ryan Selviro(aktivis hak LGBT dan HAM)***Phil Robertson (Wakil Direktur untuk Asia Human Rights Watch)***Sultan Hasanal Bolkiah(Sultan Brunei)</t>
  </si>
  <si>
    <t>-1***0***1***1***-1</t>
  </si>
  <si>
    <t>i-1300-ok</t>
  </si>
  <si>
    <t>Cheryl Brown(pengacara)</t>
  </si>
  <si>
    <t xml:space="preserve"> pelaku adalah seorang pria yang telah merubah identitas seksnya menjadi perempuan.</t>
  </si>
  <si>
    <t>i-1303-re</t>
  </si>
  <si>
    <t>Anwar Abbas(Sekretaris Jenderal Majelis Ulama Indonesia (MUI))</t>
  </si>
  <si>
    <t>Menjadi LGBT bukanlah bagian dari hak asasi manusia (HAM)</t>
  </si>
  <si>
    <t>i-1339-tr</t>
  </si>
  <si>
    <t>Dorchester Collection(hotel sultan Brunei)</t>
  </si>
  <si>
    <t>i-1628-cn</t>
  </si>
  <si>
    <t>Ratu Dewa(Sekeretaris Daerah Kota Palembang)***Garin Nugroho(sutradara Kucumbu Tubuh Indahku)</t>
  </si>
  <si>
    <t>i-1195-ti</t>
  </si>
  <si>
    <t>Michelle Bachelet(Pemimpin Badan Hak Asasi Manusia PBB)</t>
  </si>
  <si>
    <t>i-1452-re</t>
  </si>
  <si>
    <t>i-1343-ko</t>
  </si>
  <si>
    <t>Peter Tatchell(Aktivis LGBT)</t>
  </si>
  <si>
    <t>i-1580-su</t>
  </si>
  <si>
    <t>i-1620-ok</t>
  </si>
  <si>
    <t>warganet</t>
  </si>
  <si>
    <t>i-1644-ko</t>
  </si>
  <si>
    <t>Yusuf Supriatman(Ketua RW 014)</t>
  </si>
  <si>
    <t>i-1698-ok</t>
  </si>
  <si>
    <t>netizen***Atta Halilintar(youtuber)***Lucinta Luna(artis)</t>
  </si>
  <si>
    <t>AKBP Dwi Hartono(Kapolres Lubuklinggau)***Kompol Zulkarnain(Wakapolres Lubuklinggau)***Keluarga Wiwik Wulandari</t>
  </si>
  <si>
    <t>i-1828-su</t>
  </si>
  <si>
    <t>Vicente Fernandez(Artis)***Vicente Fernandez Jr(putra artis)</t>
  </si>
  <si>
    <t>i-1787-cn</t>
  </si>
  <si>
    <t>Ariana Grande</t>
  </si>
  <si>
    <t>i-1881-ko</t>
  </si>
  <si>
    <t>Chen Hsue(novelis)***Kristin Huan(blogger)</t>
  </si>
  <si>
    <t>i-1886-te</t>
  </si>
  <si>
    <t>Universitas Oxford</t>
  </si>
  <si>
    <t>i-1891-ti</t>
  </si>
  <si>
    <t>i-1821-cn</t>
  </si>
  <si>
    <t>Dexter Fletcher(sutradara rocketman)***Egerton(Aktor)</t>
  </si>
  <si>
    <t>i-1898-ti</t>
  </si>
  <si>
    <t>i-1899-tr</t>
  </si>
  <si>
    <t>Masnoni(Kapolsek Ilir Barat)***Jagad(pelaku)</t>
  </si>
  <si>
    <t>i-1903-su</t>
  </si>
  <si>
    <t>Heng Yirui(pasangan lgbt)***Lee Hsien Yang(orang tua)***Lee Hsien Long(pm singapura)</t>
  </si>
  <si>
    <t>i-1904-te</t>
  </si>
  <si>
    <t>Ashanty(artis)</t>
  </si>
  <si>
    <t>i-1911-tr</t>
  </si>
  <si>
    <t>Heng Yirui(pasangan lgbt)</t>
  </si>
  <si>
    <t>i-1917-ti</t>
  </si>
  <si>
    <t xml:space="preserve">28/05/2019
</t>
  </si>
  <si>
    <t>i-1935-su</t>
  </si>
  <si>
    <t>Captain Vincent(Youtuber)***Novita Condro(istri Captain Vincent)</t>
  </si>
  <si>
    <t>i-1988-cn</t>
  </si>
  <si>
    <t>Melania Geymonat(korban)***Met(tidak disebutkan, tapi di atasnya ada keterangan polisi)***Theresa May(PM Inggris)</t>
  </si>
  <si>
    <t>i-1950-li</t>
  </si>
  <si>
    <t>i-1955-cn</t>
  </si>
  <si>
    <t>Nofrijal(Sekretaris Utama BKKBN)</t>
  </si>
  <si>
    <t>penyakit yang harus disembuhkan***penyimpangan seksual</t>
  </si>
  <si>
    <t>i-1964-tr</t>
  </si>
  <si>
    <t>i-1993-su</t>
  </si>
  <si>
    <t>Sabrina Chariunnisa(influencer)***Lucinta Luna(artis)***netizen</t>
  </si>
  <si>
    <t>i-2005-su</t>
  </si>
  <si>
    <t>Lucinta Luna(artis)***netizen</t>
  </si>
  <si>
    <t>i-2023-tr</t>
  </si>
  <si>
    <t>Tantan Syurya Santana(Plt Kepala Satpol PP Kota Bandung)</t>
  </si>
  <si>
    <t>i-2028-su</t>
  </si>
  <si>
    <t>13/06/2019</t>
  </si>
  <si>
    <t>i-2045-tr</t>
  </si>
  <si>
    <t>Taylor Swift(artis)***netizen</t>
  </si>
  <si>
    <t>i-2218-re</t>
  </si>
  <si>
    <t>Michael Vogel(penulis dan produser)***Alquran</t>
  </si>
  <si>
    <t>Jika ide kufur mengendap di kepala mungil mereka***Pemikiran rusak selalu mencari celah menyampaikan idenya</t>
  </si>
  <si>
    <t>i-2068-ti</t>
  </si>
  <si>
    <t>i-1985-ko</t>
  </si>
  <si>
    <t>Melania Geymonat(korban)***Andy Cox(Detektif)***Theresa May(PM Inggris)</t>
  </si>
  <si>
    <t>i-2096-li</t>
  </si>
  <si>
    <t>i-2070-de</t>
  </si>
  <si>
    <t>Nicholas Sparks(Penulis)</t>
  </si>
  <si>
    <t>i-1984-te</t>
  </si>
  <si>
    <t>07//06/2019</t>
  </si>
  <si>
    <t>i-2184-ti</t>
  </si>
  <si>
    <t>Elena Linari(timnas sepak bola Italia perempuan)***Milen Bertolini(pelatih timnas italia)***Rose Prealta(mantan pelatih timnas italia)***Felice Belloli(Presiden Asosiasi Sepak Bola Amatir di Italia)***Collovati(mantan anggota timnas Italia 1982)</t>
  </si>
  <si>
    <t>i-2196-ti</t>
  </si>
  <si>
    <t>Megan Rapinoe(pemain timnas perempuan Amerika Serikat)***Ali Krieger(pemain timnas perempuan Amerika Serikat)***Jill Elis(Pelatih Timnas AS)***Donald Trump(presiden AS)***Milena Bertolini(pelatih timnas Italia)***Stefano(penyedia tayangan sepak bola perempuan)</t>
  </si>
  <si>
    <t>2***0***0***0***2***0</t>
  </si>
  <si>
    <t>1***1***1***-1***1***1</t>
  </si>
  <si>
    <t>i-2245-ok</t>
  </si>
  <si>
    <t>Abash(Suami Lucinta Luna)***Lucinta Luna(Artis)***netizen</t>
  </si>
  <si>
    <t>Pria yang dituding merupakan seorang wanita itu***Penyanyi dangdut yang dituding merupakan seorang transgender itu</t>
  </si>
  <si>
    <t>Kathrin Thomas(peneliti Arab Barometer)***Amir Ashour(pendiri IraQueer)</t>
  </si>
  <si>
    <t>Bernhard(Anggota DPRD Kota Depok)***Hamzah(Fraksi Gerindra)***Sahat Farida Berlian(Wakil Ketua Komisi D)</t>
  </si>
  <si>
    <t>i-2295-ok</t>
  </si>
  <si>
    <t xml:space="preserve">i-2314-li
</t>
  </si>
  <si>
    <t>i-2409-tr</t>
  </si>
  <si>
    <t>Rafni Trikoriaty Irianta(Kepala Lapas Perempuan Bandung)***Liberti Sitinjak(Kepala Kanwil Kemenkum HAM)</t>
  </si>
  <si>
    <t>salah satu pasangan yang punya kecenderungan menyimpang</t>
  </si>
  <si>
    <t>i-2438-li</t>
  </si>
  <si>
    <t>Rusli Nasution(Direskrim Polda Jatim)***Roni Subagio(Psikiater Polda Jatim)***Nyoman Rae&amp;Partners(tim pengacara)</t>
  </si>
  <si>
    <t>Bambang Wiyono( Kepala Biro Hubungan Masyarakat, Hukum dan Kerja Sama Kemenkumham)*** Dede Oetomo(Gay Nusantara)</t>
  </si>
  <si>
    <t>disorientasi seksual***fenomena disorientasi seksual***fenomena disorientasi seksual</t>
  </si>
  <si>
    <t>Ade Kusmanto(Kepala Bagian Humas Ditjen PAS Kemenkumham)***Anggara(Institute for Criminal Justice Reform)***Asfinawati(Direktur YLBHI)</t>
  </si>
  <si>
    <t>i-2547-te</t>
  </si>
  <si>
    <t>Roy Pangharapan(Ketua Dewan Kesehatan Rakyat Kota Depok)</t>
  </si>
  <si>
    <t>i-2560-ti</t>
  </si>
  <si>
    <t>Shinta Ratri(Pemimpin Pesantren Alfatah)***Arif Nuh Safri(Ustad Pesantren Al Fatah)</t>
  </si>
  <si>
    <t>i-2622-ko</t>
  </si>
  <si>
    <t>Nining Rodiyah(Komisi KPI Pusat)</t>
  </si>
  <si>
    <t>seorang pria yang memakai busana dan riasan layaknya seorang wanita</t>
  </si>
  <si>
    <t>i-2707-cn</t>
  </si>
  <si>
    <t>twitter Puspen TNI***Komik</t>
  </si>
  <si>
    <t>i-2744-cn</t>
  </si>
  <si>
    <t>Valentina Sampaio(model Victoria Secret)***Ribeirio(model dari Brazil)***Ed Razek(CMO Victoria's Secret)</t>
  </si>
  <si>
    <t>i-2789-te</t>
  </si>
  <si>
    <t>Andreas Harsono(Peneliti Human Rights Watch)***Mohammad Choirul Anam(Komisioner Pengkajian dan Penelitian Komnas HAM)</t>
  </si>
  <si>
    <t>Ery Syahrial(Komisi Perlindungan dan Pengawasan Anak Daerah)***AKP Efendri Ali(Kasat Reskrim Polres Tanjungpinang)***Ucok Lasdin(Kapolres Tanjungpinang)</t>
  </si>
  <si>
    <t>melayani kebutuhan seks menyimpang guru tersebut</t>
  </si>
  <si>
    <t>i-2831-de</t>
  </si>
  <si>
    <t>i-2882-te</t>
  </si>
  <si>
    <t>Lucinta Luna(artis)***Ria Ricis(yotuber)</t>
  </si>
  <si>
    <t>kerap sebagai wanita "jadi-jadian" alias transgender.</t>
  </si>
  <si>
    <t>i-2919-cn</t>
  </si>
  <si>
    <t>i-2927-ok</t>
  </si>
  <si>
    <t>i-2992-ok</t>
  </si>
  <si>
    <t>Joni Darmawan(Kapolsek Koto Tangah)</t>
  </si>
  <si>
    <t>i-2994-cn</t>
  </si>
  <si>
    <t>Greg Neely(ilmuwan)*** Brendan Zietsch(peneliti)</t>
  </si>
  <si>
    <t>i-3035-tr</t>
  </si>
  <si>
    <t>Gebby Vesta(DJ)</t>
  </si>
  <si>
    <t>i-3075-ok</t>
  </si>
  <si>
    <t>p-305-cn</t>
  </si>
  <si>
    <t>p-571-tr</t>
  </si>
  <si>
    <t>p-711-ko</t>
  </si>
  <si>
    <t>p-1209-de</t>
  </si>
  <si>
    <t>Panut Mulyono(rektor UGM)</t>
  </si>
  <si>
    <t>p-50-li</t>
  </si>
  <si>
    <t>Heribertus Hartono(Pengacara Korban)</t>
  </si>
  <si>
    <t>p-1834-li</t>
  </si>
  <si>
    <t>p-2245-ti</t>
  </si>
  <si>
    <t>Sarah Aziza(jurnalis)***Rahaf(aktivis)</t>
  </si>
  <si>
    <t>p-2482-ti</t>
  </si>
  <si>
    <t>Frangky Desima Waruwu(kuasa hukum ES)***Luki Hermawan(Kapolda Jatim)</t>
  </si>
  <si>
    <t>p-3465-tr</t>
  </si>
  <si>
    <t>Frans Barung Mangera(Humas Polda Jatim)***Anwar Fuady(ketua PARSI)</t>
  </si>
  <si>
    <t>p-3528-tr</t>
  </si>
  <si>
    <t>Baca selengkapnya di artikel "Diminta Datangkan Artis VA, Tersangka Muncikari Mengaku Jadi Korban", https://tirto.id/debG</t>
  </si>
  <si>
    <t>p-3918-cn</t>
  </si>
  <si>
    <t>p-1885-ok</t>
  </si>
  <si>
    <t>ES(mucikari)</t>
  </si>
  <si>
    <t>p-145-li</t>
  </si>
  <si>
    <t>Roni Faisal(Kapolres Kediri)</t>
  </si>
  <si>
    <t>Puas melepas hasrat seksualnya</t>
  </si>
  <si>
    <t>p-4113-de</t>
  </si>
  <si>
    <t>Asri(pelaku)</t>
  </si>
  <si>
    <t>p-1363-su</t>
  </si>
  <si>
    <t>Frans Barung Mangera(Kabid Humas Polda Jatim)</t>
  </si>
  <si>
    <t>p-4821-ko</t>
  </si>
  <si>
    <t>p-4890-de</t>
  </si>
  <si>
    <t>Edi Sitepu(Kasat Reksrim Polres Jakarta Barat)</t>
  </si>
  <si>
    <t>p-5734-te</t>
  </si>
  <si>
    <t>Bambang Soesatyo(ketua DPR)***Jazuli Juwaini(fraksi PKS)</t>
  </si>
  <si>
    <t>p-5581-su</t>
  </si>
  <si>
    <t>Maulia Lestari(artis)</t>
  </si>
  <si>
    <t>p-5619-tr</t>
  </si>
  <si>
    <t>Kang Cucun(Fraksi PKB di DPR RI)</t>
  </si>
  <si>
    <t>RA(korban pelecehan seksual)</t>
  </si>
  <si>
    <t>Ade Armando(Kelompok Pembela Korban Kekerasan Seksual)***Haris Azhar(kuasa hukum RA)</t>
  </si>
  <si>
    <t xml:space="preserve">p-6550-cn
</t>
  </si>
  <si>
    <t>Steven Greenberg(kuasa hukum R Kelly)</t>
  </si>
  <si>
    <t>p-6633-ok</t>
  </si>
  <si>
    <t>Teguh Susilo Hadi(Humas Polres Semarang)</t>
  </si>
  <si>
    <t>memaksa korban melakukan persetubuhan</t>
  </si>
  <si>
    <t>p-6990-ti</t>
  </si>
  <si>
    <t>HBO***Jackson Estate</t>
  </si>
  <si>
    <t>p-7208-re</t>
  </si>
  <si>
    <t>Emma Watson(artis)***Abril Vilatrollol(mahasiswa)</t>
  </si>
  <si>
    <t>p-7365-tr</t>
  </si>
  <si>
    <t>Mukhlis(warga)***Muhammad Kadarislam Kasim(Kapolres Bone)</t>
  </si>
  <si>
    <t>p-8256-tr</t>
  </si>
  <si>
    <t>Iptu Slamet(Humas Polres Tegal)</t>
  </si>
  <si>
    <t>p-8409-cn</t>
  </si>
  <si>
    <t>Rahmat Santoso(pengacara Vanessa Angel)***Sigit Sutriono(PN Surabaya)</t>
  </si>
  <si>
    <t>p-6952-te</t>
  </si>
  <si>
    <t>p-8685-su</t>
  </si>
  <si>
    <t>p-8687-ti</t>
  </si>
  <si>
    <t>Heribertus Hartojo(Pengacara RA)</t>
  </si>
  <si>
    <t>netizen***Cupi Cupita(artis)</t>
  </si>
  <si>
    <t>p-8810-de</t>
  </si>
  <si>
    <t>Murti Jasmani(Direktur Edelweis)</t>
  </si>
  <si>
    <t>p-8858-cn</t>
  </si>
  <si>
    <t>p-9346-ok</t>
  </si>
  <si>
    <t>Saur Timiur Situmorang(Komisioner Komnas Perempuan)</t>
  </si>
  <si>
    <t>p-8894-su</t>
  </si>
  <si>
    <t>Sandiaga Uno(Calon Wakil Presiden)</t>
  </si>
  <si>
    <t>p-9796-te</t>
  </si>
  <si>
    <t>Edy Kuswoyo(VP Public Relations PT KAI)***Sri Ulina Pinem(Juru Bicara Layanan Umum Transjakarta)***Feri Prasetyo(Komandan Regu Polisi Khusus Kereta Api Stasiun Manggarai)***Eva Chairunnisa(PT KAI Commuter Jabodetabek)***Bambang Edi( Kepala Unit Reserse Kriminal Kepolisian Sektor Jatinegara)***Fitri(Saksi)</t>
  </si>
  <si>
    <t>0***0***0***0***0***2</t>
  </si>
  <si>
    <t>p-9359-cn</t>
  </si>
  <si>
    <t>Perwakilan HBO</t>
  </si>
  <si>
    <t>p-9371-ti</t>
  </si>
  <si>
    <t>Katie Bouman(ilmuwan)***Lee Shetterly(penulis buku)</t>
  </si>
  <si>
    <t>p-9378-tr</t>
  </si>
  <si>
    <t>Siti Viona Aidila(Kasubsi Kerja Rutan Perempuan Kelas II A Surabaya)***Bibi Ardiansyah(famili Vanessa Angela)***Nicky Tirta(artis)</t>
  </si>
  <si>
    <t>p-9577-te</t>
  </si>
  <si>
    <t>Alfianto Domy Aji(Regional Head Gojek Wilayah Jateng, Jatim, Bali dan Nusa Tenggara)***Wiwik Wigati(driver gojek)</t>
  </si>
  <si>
    <t>p-9654-su</t>
  </si>
  <si>
    <t>p-9709-su</t>
  </si>
  <si>
    <t>korban***Sule(komedian)***Olga(komedian)***Muhammad Nuh(Mantan Mendikbud)***Erna Marina Kusuma(psikolog anak dan remaja)***Prijadi Santosa(Kemen PPPA)</t>
  </si>
  <si>
    <t>2***0***0***0***0***0</t>
  </si>
  <si>
    <t>1***0***-1***-1***1***1</t>
  </si>
  <si>
    <t>p-9798-ti</t>
  </si>
  <si>
    <t>Timothy Dolan(kardinal)***Terry McKiernan(kelompok pengawas)***SNAP</t>
  </si>
  <si>
    <t>p-9872-tr</t>
  </si>
  <si>
    <t>Makhfud Hidayat(Kasat Reskrim Polres Balikpapan)</t>
  </si>
  <si>
    <t>Ratman(kakak kandung korban)</t>
  </si>
  <si>
    <t>p-10340-li</t>
  </si>
  <si>
    <t>Marko Simic(striker Persija)</t>
  </si>
  <si>
    <t>p-10136-li</t>
  </si>
  <si>
    <t>p-10779-re</t>
  </si>
  <si>
    <t>Edwin Partogi Pasaribu(wakil ketua LPSK)</t>
  </si>
  <si>
    <t>p-10407-ko</t>
  </si>
  <si>
    <t>Roni Wowor(Kapolsek Pancoran Mas)</t>
  </si>
  <si>
    <t>p-10653-li</t>
  </si>
  <si>
    <t>Yoon Hee-soon(Korea Future Initiative)</t>
  </si>
  <si>
    <t>p-10858-ok</t>
  </si>
  <si>
    <t>Kompol Iskandar(Kapolsek Limo)</t>
  </si>
  <si>
    <t>p-10890-re</t>
  </si>
  <si>
    <t>Ellen DeGeneres(presenter)</t>
  </si>
  <si>
    <t>p-10913-cn</t>
  </si>
  <si>
    <t>Mohammad Iqbal(Biro Investigasi Kepolisian Bangladesh)***Mahmudul Hasan Noman(saudara laki-laki Rafi)</t>
  </si>
  <si>
    <t>p-11498-tr</t>
  </si>
  <si>
    <t>korban***Deddy Wahyudi(Kapolsek Sukoharjo)***Pancarudin(Kapolsek Metro Utara)</t>
  </si>
  <si>
    <t>menyetubuhi***dicabuli</t>
  </si>
  <si>
    <t>p-11253-tr</t>
  </si>
  <si>
    <t>Doddy Sudarajat(Ayah Vanessa Angel)***Abdul Malik(Kuasa hukum Vanessa Angel)***Vanessa Angel(artis)</t>
  </si>
  <si>
    <t>p-11382-de</t>
  </si>
  <si>
    <t>Ferry Fadli(Paus Humas Polres Rohul)</t>
  </si>
  <si>
    <t>p-11388-li</t>
  </si>
  <si>
    <t>Letjen Shams el-Din Kabashi(juru bicara Dewan Militer Transisi)***'khalid'(saksi mata)</t>
  </si>
  <si>
    <t>p-11847-ti</t>
  </si>
  <si>
    <t>Muhammad Misrad(komikus)</t>
  </si>
  <si>
    <t>Milano Lubis(kuasa hukum Vanessa Angel)***Novan Arianto(Jaksa Penuntut umum)</t>
  </si>
  <si>
    <t>p-11697-tr</t>
  </si>
  <si>
    <t>Alexander Yurikho(Kasat Reskrim Polres Tangerang Selatan)</t>
  </si>
  <si>
    <t>p-11713-ko</t>
  </si>
  <si>
    <t>Madam Jung***Yang Hyun Suk(pendiri YG Entertainment)</t>
  </si>
  <si>
    <t>p-11719-li</t>
  </si>
  <si>
    <t>Nang Mwe San(dokter)***David Matheson(analis politik independen)</t>
  </si>
  <si>
    <t>p-11436-ok</t>
  </si>
  <si>
    <t>Sri Rahayu(JPU)</t>
  </si>
  <si>
    <t>p-11793-cn</t>
  </si>
  <si>
    <t>Nova Nur Rafadila(atlit sirkuit jalanan)***Inuk Hestiningrum(Sekretaris Olahraga Sepeda Motor IMI Pusat)***Silvia Ubey(pembalap wanita)</t>
  </si>
  <si>
    <t>p-11811-ko</t>
  </si>
  <si>
    <t>Milano Lubis(kuasa hukum VA)</t>
  </si>
  <si>
    <t>Nia Ramadhani(artis)***Saipul Jamil(artis)</t>
  </si>
  <si>
    <t>p-12182-te</t>
  </si>
  <si>
    <t>p-12197-cn</t>
  </si>
  <si>
    <t>Joko Widodo(Presiden RI)***Andi Samsan Nganro(Juru Bicara MA)</t>
  </si>
  <si>
    <t>Abdul Hajar Fickar(pakar hukum pidana Universitas Trisakti)</t>
  </si>
  <si>
    <t>p-13740-tr</t>
  </si>
  <si>
    <t>p-12785-ok</t>
  </si>
  <si>
    <t>Huayi Brothers Korea</t>
  </si>
  <si>
    <t>p-12877-ko</t>
  </si>
  <si>
    <t>Budi Wahyuni(Wakil Ketua Komisi Nasional Perempuan)</t>
  </si>
  <si>
    <t>p-12929-te</t>
  </si>
  <si>
    <t>Bambang Soesatyo(Ketua DPR)***Yasonna Laoly(Menkumham)</t>
  </si>
  <si>
    <t>p-14539-su</t>
  </si>
  <si>
    <t>AKP Ruth Yuni(Kanit PPA Polrestabes Surabaya)</t>
  </si>
  <si>
    <t>sang suami menyetubuhi darah dagingnya</t>
  </si>
  <si>
    <t>p-13990-ok</t>
  </si>
  <si>
    <t>Arya Sinulingga(jubir TKN)</t>
  </si>
  <si>
    <t>p-12660-li</t>
  </si>
  <si>
    <t>Jusuf Kalla(wakil presiden)</t>
  </si>
  <si>
    <t>Edward Dewaruci(Ketua SCCC)</t>
  </si>
  <si>
    <t>p-14095-de</t>
  </si>
  <si>
    <t xml:space="preserve"> Prasetya Devano(Pelaku)</t>
  </si>
  <si>
    <t>p-14785-su</t>
  </si>
  <si>
    <t>Sara Wijayanto(istri Demian)</t>
  </si>
  <si>
    <t>p-14766-ko</t>
  </si>
  <si>
    <t>Muharam Wibisono(Kasat Reskrim Polres Tangerang Selatan)***Kabar Bintaro***Richie(kerabat korban)</t>
  </si>
  <si>
    <t>p-15440-cn</t>
  </si>
  <si>
    <t>dr Poernomo Boedi(ketua IDI Jatim)***Marwan Dasopang(Wakil ketua Komisi VIII)***Mochammad Choirul Anam(Komisioner Komnas HAM)</t>
  </si>
  <si>
    <t>p-15136-re</t>
  </si>
  <si>
    <t>p-15698-su</t>
  </si>
  <si>
    <t>Choirul Anam(Komnas HAM RI)</t>
  </si>
  <si>
    <t>p-15426-li</t>
  </si>
  <si>
    <t>Kepala Kejari Kabupaten Mojokerto Rudy Hartono***Juru Bicara MA Abdullah***Deputi Perlindungan Anak Kementerian PPPA Nahar***Komisioner KPAI Bidang Anak Berhadapan dengan Hukum Putu Elvina***Ketua Perhimpunan Dokter Spesialis Andrologi Prof dr Wimpie Pangkahila***Androlog dr Aminuddin Aziz</t>
  </si>
  <si>
    <t>0***0***0***0***-1***1</t>
  </si>
  <si>
    <t>p-15431-re</t>
  </si>
  <si>
    <t>p-15435-te</t>
  </si>
  <si>
    <t>Ngeh Koo Ham(Juru Bicara Negara Bagian Perak)</t>
  </si>
  <si>
    <t>p-15534-ti</t>
  </si>
  <si>
    <t>Marwan Dasopang(Wakil Ketua Komisi VIII DPR RI)***Yohana Yembise(Menteri PPPA)</t>
  </si>
  <si>
    <t>p-14930-ko</t>
  </si>
  <si>
    <t>Tri Sukma Anreianno(Head of Public Affairs Grab Indonesia)</t>
  </si>
  <si>
    <t>p-15716-tr</t>
  </si>
  <si>
    <t>Karni Ilyas(pembawa acara ILC)***Sobirin(kakak pelaku pemerkosaan)</t>
  </si>
  <si>
    <t>p-15901-cn</t>
  </si>
  <si>
    <t>Dicky Ario Yustisianto(Kasat Reskrim Polres Metro Tangerang)</t>
  </si>
  <si>
    <t>Retno Listyarti(Komisioner KPAI)</t>
  </si>
  <si>
    <t>p-15931-su</t>
  </si>
  <si>
    <t>Nikita Mirzani(artis)</t>
  </si>
  <si>
    <t>p-15973-ko</t>
  </si>
  <si>
    <t>Rukhmanizar(Kapolsek Kotabumi Utara)</t>
  </si>
  <si>
    <t>p-15986-ok</t>
  </si>
  <si>
    <t>Chia(korban)</t>
  </si>
  <si>
    <t>p-15989-re</t>
  </si>
  <si>
    <t>Edy Sumardi(Humas Polda Banten)</t>
  </si>
  <si>
    <t>p-15997-te</t>
  </si>
  <si>
    <t>Fahmi Bachmid(kuasa hukum Nikita Mirzani)</t>
  </si>
  <si>
    <t>p-16006-tr</t>
  </si>
  <si>
    <t>AKBP AM Dicky(Kapolres Bogor)***M Rifai(Kasatreskrim Polrestabes Bandung)***YS(pelaku)</t>
  </si>
  <si>
    <t>Kondisi Bunga (bukan nama sebenarnya) saat ini</t>
  </si>
  <si>
    <t>p-16045-ok</t>
  </si>
  <si>
    <t>Doddy Sudrajat(ayah Vanessa Angel)</t>
  </si>
  <si>
    <t>p-16072-tr</t>
  </si>
  <si>
    <t>p-16081-cn</t>
  </si>
  <si>
    <t>p-16139-ti</t>
  </si>
  <si>
    <t>Profesor Koentjoro(Psikolog dari UGM)</t>
  </si>
  <si>
    <t>p-16169-ok</t>
  </si>
  <si>
    <t>p-16266-ok</t>
  </si>
  <si>
    <t>Bebby Fey(DJ)***Atta Halilintar(youtuber)</t>
  </si>
  <si>
    <t>Edwan Hadnansyah(Ketua IJTI Sangkuriang)***Sisilia(mahasiswa)***Rini Martini(Wakil Ketua DPRD Cimahi)</t>
  </si>
  <si>
    <t>p-16338-cn</t>
  </si>
  <si>
    <t>a-10-cn</t>
  </si>
  <si>
    <t>Moqtada Sadr(ulama Irak)***Ali Sistani(pemimpin spiritual Syiah)</t>
  </si>
  <si>
    <t>a-13-li</t>
  </si>
  <si>
    <t>a-27-te</t>
  </si>
  <si>
    <t>a-36-tr</t>
  </si>
  <si>
    <t>a-43-tr</t>
  </si>
  <si>
    <t>a-57-cn</t>
  </si>
  <si>
    <t>a-61-tr</t>
  </si>
  <si>
    <t>a-92-cn</t>
  </si>
  <si>
    <t>Helmy Faishal Zeiny (Sekjen Pengurus Besar Nahdlatul Ulama (PBNU))***Muannas Alaidid(Kuasa Hukum Hadad Alwi)</t>
  </si>
  <si>
    <t>a-101-su</t>
  </si>
  <si>
    <t>Luthfi bin Jindan(Ketua FPI Sukabumi)</t>
  </si>
  <si>
    <t>Basim bin Hussein Alhabsyi( sepertinya FPI)***Haddad Alwi(artis)</t>
  </si>
  <si>
    <t>Yusri Yunus(Humas Polda Metro Jaya)***Febi Yonesta(advokat YLBHI)</t>
  </si>
  <si>
    <t>a-115-li</t>
  </si>
  <si>
    <t>Sapri Sale(koordinator kegiatan kunjungan)***Yudhi Widdiantoro(Komunitas Yoga Gembira)***Prem Singh(penghayat Sikh)***Haryanto(Romo)</t>
  </si>
  <si>
    <t>a-124-tr</t>
  </si>
  <si>
    <t>d-52-ok</t>
  </si>
  <si>
    <t>Rosevania(Ibu Korban)***Eduardo Marturano(polisi)</t>
  </si>
  <si>
    <t>d-191-de</t>
  </si>
  <si>
    <t>Dani Hendarto(Sutradara)</t>
  </si>
  <si>
    <t>d-227-tr</t>
  </si>
  <si>
    <t>d-281-cn</t>
  </si>
  <si>
    <t>Agung Frijanto(dokter spesialis kejiwaan dan psikiater)</t>
  </si>
  <si>
    <t>d-354-tr</t>
  </si>
  <si>
    <t>d-363-cn</t>
  </si>
  <si>
    <t>d-367-de</t>
  </si>
  <si>
    <t>National Institute of Health</t>
  </si>
  <si>
    <t>d-416-tr</t>
  </si>
  <si>
    <t>Asturi atau Astuti atau Astusi (teman korban)***Darmanto(Intel Polsek Dukun)***Rozak(tetangga korban)***Tiksnarto Andaru Rahutomo (Kasat Reskrim Polres Gresik)***Kusworo Wibowo(Kapolres Gresik)</t>
  </si>
  <si>
    <t>0***-1***-1***1***0</t>
  </si>
  <si>
    <t>d-500-su</t>
  </si>
  <si>
    <t>pengidap PBA</t>
  </si>
  <si>
    <t>d-555-ko</t>
  </si>
  <si>
    <t>M Iqbal Anas Maruf(humas BPJS kesehatan)***Meidy(perwakilan SEJIWA)</t>
  </si>
  <si>
    <t>d-615-cn</t>
  </si>
  <si>
    <t>Ketua Dwi Purwadi(hakim)***Sabetania Paembonan(JPU)</t>
  </si>
  <si>
    <t>d-726-tr</t>
  </si>
  <si>
    <t>d-834-te</t>
  </si>
  <si>
    <t>d-950-ti</t>
  </si>
  <si>
    <t>Ninik Rahayu(Ombudsman RI)</t>
  </si>
  <si>
    <t>d-952-tr</t>
  </si>
  <si>
    <t>Dian Sastrowardoyo(Artis)</t>
  </si>
  <si>
    <t>d-1045-ok</t>
  </si>
  <si>
    <t>Alvina(Dokter Spesialis Kesehatan Jiwa RS Awal Bros Bekasi Barat)</t>
  </si>
  <si>
    <t>d-1187-li</t>
  </si>
  <si>
    <t>d-1310-li</t>
  </si>
  <si>
    <t>d-1370-cn</t>
  </si>
  <si>
    <t>Ivan Octa Putra(mitra pengemudi GrabCar penyandang tunarungu)</t>
  </si>
  <si>
    <t>d-1411-su</t>
  </si>
  <si>
    <t>Ahmad Juni Toha (Dandim 0823 Situbondo)</t>
  </si>
  <si>
    <t>d-1383-ko</t>
  </si>
  <si>
    <t>Solen Dalsgaard(Psikolog Anak)</t>
  </si>
  <si>
    <t>d-691-ok</t>
  </si>
  <si>
    <t>netizen***netizen***netizen***netizen</t>
  </si>
  <si>
    <t xml:space="preserve"> mengalami keterbatasan fisik</t>
  </si>
  <si>
    <t>d-1553-li</t>
  </si>
  <si>
    <t>26/11/2019</t>
  </si>
  <si>
    <t>d-1563-ok</t>
  </si>
  <si>
    <t>d-1655-ko</t>
  </si>
  <si>
    <t>d-1940-ko</t>
  </si>
  <si>
    <t>Muthohar(Dinsos Kota Semarang)***Abriyani Muharomah(Manager Grab Kota Semarang)***Billy Wensen(driver)</t>
  </si>
  <si>
    <t>d-1969-te</t>
  </si>
  <si>
    <t>Arif Setyo Budi(disabilitas)</t>
  </si>
  <si>
    <t>d-2041-ok</t>
  </si>
  <si>
    <t>d-2160-tr</t>
  </si>
  <si>
    <t>Kapolsek Metro Penjaringan AKBP Imam Rifai</t>
  </si>
  <si>
    <t>d-2187-ko</t>
  </si>
  <si>
    <t>Dian (pegawai disabilitas)***Direktur SDM dan Umum PGN Desima Siahaan</t>
  </si>
  <si>
    <t>d-2256-ko</t>
  </si>
  <si>
    <t>Plt Kepala BKPP Kabupaten Sleman, Suyono</t>
  </si>
  <si>
    <t>d-2462-tr</t>
  </si>
  <si>
    <t>Kepala Desa Pamolaan Kecamatan Camplong, Masfur</t>
  </si>
  <si>
    <t>d-2518-de</t>
  </si>
  <si>
    <t>d-2584-tr</t>
  </si>
  <si>
    <t>d-2597-de</t>
  </si>
  <si>
    <t>i-10-te</t>
  </si>
  <si>
    <t>Stella McCartney(perancang busana)</t>
  </si>
  <si>
    <t>i-33-tr</t>
  </si>
  <si>
    <t>i-172-su</t>
  </si>
  <si>
    <t>23/10/2019</t>
  </si>
  <si>
    <t>Genderspectrum.org</t>
  </si>
  <si>
    <t>i-38-ok</t>
  </si>
  <si>
    <t>Lucinta Luna(artis)***Nafa Urbach(artis)***Feni Rose(artis)</t>
  </si>
  <si>
    <t>i-42-cn</t>
  </si>
  <si>
    <t>Zoe Williams( manajer pengembangan dan pemasaran)***The Eve Appeal(badan amal penelitian kanker)***Florence Schechter(pendiri museum)</t>
  </si>
  <si>
    <t>Juang Andi(Kapolres Cianjur)</t>
  </si>
  <si>
    <t>i-77-ko</t>
  </si>
  <si>
    <t>Panut Mulyono(rektor UGM)***Gama Triono(aktivis perempuan)</t>
  </si>
  <si>
    <t>i-117-de</t>
  </si>
  <si>
    <t>Kania(artis)</t>
  </si>
  <si>
    <t>i-153-ok</t>
  </si>
  <si>
    <t>Tjahjo Kumolo(Menpan RB)</t>
  </si>
  <si>
    <t>i-158-ti</t>
  </si>
  <si>
    <t>Usman Hamid(Direktur Eksekutif Amnesty Internasional)</t>
  </si>
  <si>
    <t>i-161-tr</t>
  </si>
  <si>
    <t>Ahmad Taufan Damanik(Ketua Komnas Ham)***Mukri(Kepala Pusat Penerangan Hukum Kejaksaan Agung)</t>
  </si>
  <si>
    <t>i-175-ti</t>
  </si>
  <si>
    <t>i-201-cn</t>
  </si>
  <si>
    <t>Pengumuman BKN</t>
  </si>
  <si>
    <t>i-244-li</t>
  </si>
  <si>
    <t>13/12/2019</t>
  </si>
  <si>
    <t>i-258-te</t>
  </si>
  <si>
    <t>Andres Manuel Lopez Obrador(Presiden Meksiko)***Emiliano Zapata(pelukis)</t>
  </si>
  <si>
    <t>i-266-ok</t>
  </si>
  <si>
    <t>16/12/2019</t>
  </si>
  <si>
    <t>Karen(yang buat pornografi gay)***Rachel(jurnalis BBC)***Josh(anaknya Karen)</t>
  </si>
  <si>
    <t>i-280-ok</t>
  </si>
  <si>
    <t>Tanqueray(mantan stripper)</t>
  </si>
  <si>
    <t>i-284-de</t>
  </si>
  <si>
    <t>i-288-ko</t>
  </si>
  <si>
    <t>Anung Sugihantoro(Dirjen P2P Kemenkes)</t>
  </si>
  <si>
    <t>i-291-te</t>
  </si>
  <si>
    <t>i-307-de</t>
  </si>
  <si>
    <t>JK Rowling(penulis)***netizen</t>
  </si>
  <si>
    <t>i-326-li</t>
  </si>
  <si>
    <t>Paus Fransiskus(Paus)</t>
  </si>
  <si>
    <t>i-359-ko</t>
  </si>
  <si>
    <t>Niki Ramadani (kasatreskrim polres cianjur)</t>
  </si>
  <si>
    <t>p-66-ok</t>
  </si>
  <si>
    <t>Suradi Warso(Wakapolsek Banyumanik)</t>
  </si>
  <si>
    <t>melampiaskan nafsu bejatnya</t>
  </si>
  <si>
    <t>p-72-ti</t>
  </si>
  <si>
    <t>Ratna Bantara Munti(Koordinator Jaringan Kerja Program Legalisasi Pro Perempuan)***Rieke Diah Pitaloka(anggota badan legislasi)***Marwan Dasopang(Ketua Panitia Kerja RUU PKS)***Mariana Amiruddin(Komnas Anti Kekerasan Terhadap Perempuan)</t>
  </si>
  <si>
    <t>1***0***0***1</t>
  </si>
  <si>
    <t>p-84-te</t>
  </si>
  <si>
    <t>Budi Wahyuni(Wakil Ketua Komnas Perempuan)***Wido Supraha(Komisi Ukhuwah MUI)</t>
  </si>
  <si>
    <t>p-97-li</t>
  </si>
  <si>
    <t>KBRI Kuwait***Tri Thariyat(dubes)</t>
  </si>
  <si>
    <t>Baryono(Paur Subag Humas)***Husni Ramli(Kasat Reskrim Polresta Pontianak)</t>
  </si>
  <si>
    <t>aksi cabul***tindakan asusila</t>
  </si>
  <si>
    <t>p-131-ok</t>
  </si>
  <si>
    <t>wanita yang mengaku diperkosa***Krishna Bahadur Mahara(mantan ketua parlemen Nepal)</t>
  </si>
  <si>
    <t>Tri Haryati(dubes Indonesia untuk Kuwait)</t>
  </si>
  <si>
    <t>p-169-ok</t>
  </si>
  <si>
    <t>Samuel Little(pembunuh berantai)</t>
  </si>
  <si>
    <t>p-248-te</t>
  </si>
  <si>
    <t>Kahar Cahyono(Ketua Departemen Komunikasi dan Media KSPI)***Yohana Yembise(Menteri PPPA)</t>
  </si>
  <si>
    <t>p-276-tr</t>
  </si>
  <si>
    <t>p-728-cn</t>
  </si>
  <si>
    <t>p-518-tr</t>
  </si>
  <si>
    <t>Panji Prastisha(Kasatreskrim Polres Gresik)</t>
  </si>
  <si>
    <t>tiga orang janda</t>
  </si>
  <si>
    <t>p-567-tr</t>
  </si>
  <si>
    <t>Ghufron Falfeli(Kepala Bidang Trantibum Satpol PP)</t>
  </si>
  <si>
    <t>brondong</t>
  </si>
  <si>
    <t>p-571-cn</t>
  </si>
  <si>
    <t>Rateb Jneid(ketua AFIC)***Luke Sywenkyj(inspektur polisi setempat)</t>
  </si>
  <si>
    <t>Ariel Heryanto(Profesor di Monash University)</t>
  </si>
  <si>
    <t>p-79-tr</t>
  </si>
  <si>
    <t>Isa</t>
  </si>
  <si>
    <t>p-605-cn</t>
  </si>
  <si>
    <t>ayah Davin</t>
  </si>
  <si>
    <t>p-625-re</t>
  </si>
  <si>
    <t>Anom Karibianto(Kapolres Tasikmalaya)</t>
  </si>
  <si>
    <t>p-655-tr</t>
  </si>
  <si>
    <t>Barbie Kumlasari(artis)</t>
  </si>
  <si>
    <t>p-769-de</t>
  </si>
  <si>
    <t>Raihaanun(artis)</t>
  </si>
  <si>
    <t>p-790-su</t>
  </si>
  <si>
    <t>Kamboja(nama samaran mantan pramugari)***Roni Eka Mirsa(Vice President Cabin Crew PT Garuda Indonesia)</t>
  </si>
  <si>
    <t>sebut saja Kamboja</t>
  </si>
  <si>
    <t>p-1162-ok</t>
  </si>
  <si>
    <t>AKP Sugeng(Kapolsek VII Koto)</t>
  </si>
  <si>
    <t>hubungan selayaknya suami isteri</t>
  </si>
  <si>
    <t>p-1282-tr</t>
  </si>
  <si>
    <t>Kim Yong Ho(Garo Sero Institute)***Yo Jae Suk(Pembawa acara Garo Sero Institute)</t>
  </si>
  <si>
    <t>p-920-cn</t>
  </si>
  <si>
    <t>Fahri Hamzah(waketum Partai Gelora)</t>
  </si>
  <si>
    <t>p-1011-cn</t>
  </si>
  <si>
    <t>Gevorg(beauty vlogger Rusia)***Sergey Naumov(beauty vlogger Rusia)***Sergey Ostrikov(beauty vlogger Rusia)</t>
  </si>
  <si>
    <t>p-1063-cn</t>
  </si>
  <si>
    <t>Sus Talibur(Kabidpenum Puspen TNI)</t>
  </si>
  <si>
    <t>p-1104-su</t>
  </si>
  <si>
    <t>Turno(humas aliansi mahasiswa UGM)***Panut Mulyono(Rektor UGM)</t>
  </si>
  <si>
    <t>p-1244-ok</t>
  </si>
  <si>
    <t>Yuni Shara(artis)</t>
  </si>
  <si>
    <t>p-1250-re</t>
  </si>
  <si>
    <t>Mayjen Sisriadi(Kapuspen TNI)***Eko Daryanto(Kependam XVII/Cendrawasih)</t>
  </si>
  <si>
    <t>p-1326-ko</t>
  </si>
  <si>
    <t>p-1078-ko</t>
  </si>
  <si>
    <t>Lienda Ratnanurdianny(Kepala Satpol PP Depok)</t>
  </si>
  <si>
    <t>p-1561-ti</t>
  </si>
  <si>
    <t>p-1590-tr</t>
  </si>
  <si>
    <t>p-1619-ti</t>
  </si>
  <si>
    <t>United Voice Bandung(lembaga advokasi)***Bahrul Bangsawan(koordinator hukum dan ham united voice bandung)</t>
  </si>
  <si>
    <t>p-1635-ko</t>
  </si>
  <si>
    <t>a-5-su</t>
  </si>
  <si>
    <t>Komari(Kepala Dusun Jegles)</t>
  </si>
  <si>
    <t>29/11/2019</t>
  </si>
  <si>
    <t>Halili (Direktur Riset Setara Institute)</t>
  </si>
  <si>
    <t>a-12-de</t>
  </si>
  <si>
    <t>07/01//2019</t>
  </si>
  <si>
    <t>a-27-li</t>
  </si>
  <si>
    <t>a-44-li</t>
  </si>
  <si>
    <t>Yusril Ihza Mahendra(Pakar Hukum Tata Negara)***Abu Bakar Baasyir***Dahnil Anzar Simanjuntak(Juru Bicara Badan Pemenangan Nasional)***Joko Widodo(Presiden)</t>
  </si>
  <si>
    <t>Yati (Kordinator KontraS)</t>
  </si>
  <si>
    <t>a-49-de</t>
  </si>
  <si>
    <t xml:space="preserve"> Imam besar Masjid Istiqlal Nasaruddin Umar***calon hakim agung Imron Rosyadi</t>
  </si>
  <si>
    <t>a-56-ok</t>
  </si>
  <si>
    <t>a-88-li</t>
  </si>
  <si>
    <t>Deni Ahmad Haidar (Ketua GP Ansor Jawa Barat)***Yendra Budiana (Jubir Jemaah Ahmadiyah Indonesia)</t>
  </si>
  <si>
    <t>0***3</t>
  </si>
  <si>
    <t>a-130-tr</t>
  </si>
  <si>
    <t>Sumardy(Ketua DPP PSI)</t>
  </si>
  <si>
    <t>a-168-ok</t>
  </si>
  <si>
    <t>Prof. Dr. Zudan Arif Fakrullah( Dirjen Kependudukan dan Pencatatan Sipil Kemendagri)</t>
  </si>
  <si>
    <t>a-175-ko</t>
  </si>
  <si>
    <t>Popong(Kepala Disdukcapil Kota Bandung)</t>
  </si>
  <si>
    <t>a-183-ti</t>
  </si>
  <si>
    <t>Abdul Muqsith Ghozali(Wakil Ketua Bahtsul Masail LBM PBNU)***Gomar Gultom(Sekretaris Umum Persekutuan Gereja-Gereja  di Indonesia PGI)</t>
  </si>
  <si>
    <t>a-205-tr</t>
  </si>
  <si>
    <t>a-217-re</t>
  </si>
  <si>
    <t>Addy Imansyah(Anggota KPU Sampang)</t>
  </si>
  <si>
    <t>a-219-ti</t>
  </si>
  <si>
    <t>a-223-li</t>
  </si>
  <si>
    <t>a-241-te</t>
  </si>
  <si>
    <t>Dewi Kanti(Pendamping Komunitas Adat Karuhun Sunda Wiwiwtan Jawa Barat)***Zudan</t>
  </si>
  <si>
    <t>3***-1</t>
  </si>
  <si>
    <t>a-320-cn</t>
  </si>
  <si>
    <t>a-337-ko</t>
  </si>
  <si>
    <t xml:space="preserve"> Ketua Umum Partai Solidaritas Indonesia (PSI)
</t>
  </si>
  <si>
    <t>a-355-li</t>
  </si>
  <si>
    <t>a-378-tr</t>
  </si>
  <si>
    <t>a-380-ok</t>
  </si>
  <si>
    <t>anon(korban diskriminasi)***Tuti Wakil Ketua Puan Hayati***Indriastuti Chandra Disdukcapil Jawa Barat</t>
  </si>
  <si>
    <t>2***1***1</t>
  </si>
  <si>
    <t>a-410-tr</t>
  </si>
  <si>
    <t>a-428-su</t>
  </si>
  <si>
    <t>Elisheva Dinar Prasasti Wiriaadmadja(Seorang Yahudi)***Monique(Seorang Keturunan Yahudi)</t>
  </si>
  <si>
    <t>a-429-te</t>
  </si>
  <si>
    <t>a-438-li</t>
  </si>
  <si>
    <t>a-446-ti</t>
  </si>
  <si>
    <t>Selamet Jumiarto(Seorang Katolik)***Agnes***Ahmad Edi(Manajer Pemasaran Islam Terpadu Green Tasneem)***Sudargo(Pengiklan Perumahan Darussalam)***Mohamad Iqba Ahnaf(Dosen UGM)***Rama Adyaksa Pradipta(Ketua Dewan REI)</t>
  </si>
  <si>
    <t>2***2***0***0***0***0</t>
  </si>
  <si>
    <t>1***1***0***0***1***0</t>
  </si>
  <si>
    <t>a-454-ti</t>
  </si>
  <si>
    <t>a-476-de</t>
  </si>
  <si>
    <t>Budi Santoso (tokoh komunitas Sedulur Sikep)***Ahmad Sofyan(Plt Kepala DIskukcapil Kudus)</t>
  </si>
  <si>
    <t>a-503-re</t>
  </si>
  <si>
    <t>a-509-ok</t>
  </si>
  <si>
    <t>a-537-ko</t>
  </si>
  <si>
    <t>a-541-su</t>
  </si>
  <si>
    <t>Agus Zainal Mubarok(mewakili muslim Sunni)***Ridwan Buton(Jemaat Ahamadiyah Indonesia)***Miftah Rahmat(Ikatan Jamaah Ahlulbait Indonesia)</t>
  </si>
  <si>
    <t>0***2***2</t>
  </si>
  <si>
    <t>a-552-su</t>
  </si>
  <si>
    <t xml:space="preserve">Najib Burhani(Pengurus Pusat Muhammadiyah sekaligus Peneliti Senior Lembaga Ilmu Pengetahuan Indonesia)***Ruhmadi Ahmad(Ketua Lakpesdam PBNU) </t>
  </si>
  <si>
    <t>a-566-re</t>
  </si>
  <si>
    <t>a-582-te</t>
  </si>
  <si>
    <t>a-597-ti</t>
  </si>
  <si>
    <t>a-612-ko</t>
  </si>
  <si>
    <t>a-621-li</t>
  </si>
  <si>
    <t>a-631-li</t>
  </si>
  <si>
    <t>a-648-ok</t>
  </si>
  <si>
    <t>a-653-ti</t>
  </si>
  <si>
    <t>a-662-li</t>
  </si>
  <si>
    <t>a-664-tr</t>
  </si>
  <si>
    <t>a-695-re</t>
  </si>
  <si>
    <t>a-711-de</t>
  </si>
  <si>
    <t>juru bicara Kementerian Luar Negeri Iran, Abbas Mousavi</t>
  </si>
  <si>
    <t>a-716-li</t>
  </si>
  <si>
    <t>a-729-te</t>
  </si>
  <si>
    <t>a-761-ko</t>
  </si>
  <si>
    <t>Hakim Agung Andrew Tinney</t>
  </si>
  <si>
    <t>a-774-li</t>
  </si>
  <si>
    <t>a-775-su</t>
  </si>
  <si>
    <t>Brigjen Polisi Dedi Prasetyo(Divisi Humas Polri)***Engkus Ruswana(Tokoh Penghayat Kepercayaan di Indonesia)</t>
  </si>
  <si>
    <t>a-786-cn</t>
  </si>
  <si>
    <t>a-798-re</t>
  </si>
  <si>
    <t>a-805-ko</t>
  </si>
  <si>
    <t>a-820-su</t>
  </si>
  <si>
    <t xml:space="preserve">Kapolsek Syiah Kuala Ajun Komisaris Edi Saputra
</t>
  </si>
  <si>
    <t>a-822-cn</t>
  </si>
  <si>
    <t>a-826-su</t>
  </si>
  <si>
    <t>5 (Pengajian tanpa nama kelompok yang dianggap menyimpang)</t>
  </si>
  <si>
    <t>Damanhuri Basyir(Ketua MPU Banda Aceh)***Kapolsek Syiah Kuala, AKP Edi Saputra.</t>
  </si>
  <si>
    <t>Penyimpangan Tauhid</t>
  </si>
  <si>
    <t>a-839-te</t>
  </si>
  <si>
    <t>a-852-li</t>
  </si>
  <si>
    <t>a-856-de</t>
  </si>
  <si>
    <t>Kepala Pusat Penerangan (Kapuspen) Kemendagri, Bahtiar Baharuddin</t>
  </si>
  <si>
    <t>a-884-su</t>
  </si>
  <si>
    <t>a-891-cn</t>
  </si>
  <si>
    <t>d-117-cn</t>
  </si>
  <si>
    <t>d-158-cn</t>
  </si>
  <si>
    <t>d-273-te</t>
  </si>
  <si>
    <t>d-563-ti</t>
  </si>
  <si>
    <t>d-876-li</t>
  </si>
  <si>
    <t xml:space="preserve">Triyono
</t>
  </si>
  <si>
    <t>d-1061-tr</t>
  </si>
  <si>
    <t>d-1247-tr</t>
  </si>
  <si>
    <t>d-1298-li</t>
  </si>
  <si>
    <t>d-1319-te</t>
  </si>
  <si>
    <t>Nur Syarif Ramadhan(Sekretaris PERDIK)***Endah Tri Wayuningsih(Pustakawati Mitra Netra)***Edy Aryawan(Penggagas Smart Netra Library)</t>
  </si>
  <si>
    <t>d-1374-ko</t>
  </si>
  <si>
    <t>Joko Widodo(calon presiden)</t>
  </si>
  <si>
    <t>d-1517-ti</t>
  </si>
  <si>
    <t>d-2132-te</t>
  </si>
  <si>
    <t>29/01/2019</t>
  </si>
  <si>
    <t>Tri Winarsih, Kepala Bagian Umum Yayasan Mitra***ujar Fahri Rosa, penyandang disabilitas lulusan Sastra Jerman Universitas Indonesia***Juwita Maulida(penyandang disabilitas)</t>
  </si>
  <si>
    <t xml:space="preserve">1***2***2
</t>
  </si>
  <si>
    <t>05//02/2019</t>
  </si>
  <si>
    <t>d-2618-cn</t>
  </si>
  <si>
    <t>majelis hakim***Julisman(penasehat hukum)</t>
  </si>
  <si>
    <t>d-2797-su</t>
  </si>
  <si>
    <t>d-2858-ko</t>
  </si>
  <si>
    <t xml:space="preserve">Oskar Riandi
</t>
  </si>
  <si>
    <t>d-3063-de</t>
  </si>
  <si>
    <t>Direktur Pencegahan dan Pengendalian Penyakit Menular Langsung Kementerian Kesehatan, dr Wiendra Waworuntu, MKes</t>
  </si>
  <si>
    <t>d-3298-ti</t>
  </si>
  <si>
    <t xml:space="preserve">Pelaksana Harian PPUA Penyandang Disabilitas, April Syar
</t>
  </si>
  <si>
    <t>d-3399-ok</t>
  </si>
  <si>
    <t>d-3640-cn</t>
  </si>
  <si>
    <t>Vennetia R Danies(Deputi Bidang Hak Perempuan)</t>
  </si>
  <si>
    <t>d-3642-de</t>
  </si>
  <si>
    <t>d-4007-ok</t>
  </si>
  <si>
    <t>Kasat Reskrim Iptu Dian Pornomo</t>
  </si>
  <si>
    <t>d-4304-tr</t>
  </si>
  <si>
    <t xml:space="preserve">
Paula Verhoeven(model)
</t>
  </si>
  <si>
    <t>d-4377-su</t>
  </si>
  <si>
    <t>Anders Peter Hviid, peneliti</t>
  </si>
  <si>
    <t>d-4386-ti</t>
  </si>
  <si>
    <t xml:space="preserve">BUMN***Kepala Biro Umum dan Humas Kementerian BUMN Wahyu Wibowo
</t>
  </si>
  <si>
    <t>d-5136-su</t>
  </si>
  <si>
    <t>ZL(pelaku pembunuhan)</t>
  </si>
  <si>
    <t>d-5197-tr</t>
  </si>
  <si>
    <t>d-5424-su</t>
  </si>
  <si>
    <t xml:space="preserve">Asfan(korban)***Kapolsek Panceng AKP Lukman
</t>
  </si>
  <si>
    <t>d-5905-su</t>
  </si>
  <si>
    <t>d-5941-cn</t>
  </si>
  <si>
    <t>Madeline Stuart(Model)***Rosanne(Pendamping)</t>
  </si>
  <si>
    <t>d-6252-ko</t>
  </si>
  <si>
    <t xml:space="preserve">Direktur Pencegahan dan Pengendalian Penyakit Tular Vektor dan Zoonotik Kementerian Kesehatan ( Kemenkes) Siti Nadia Tarmizi
</t>
  </si>
  <si>
    <t>d-6467-ok</t>
  </si>
  <si>
    <t>d-6511-de</t>
  </si>
  <si>
    <t>Ketua Pengurus Pusat Perhimpunan Dokter Spesialis Telinga Hidung Tenggorok Bedah Kepala Leher (PP Perhati-KL) Indonesia dr Soekirman Soekin Sp THT-KL (K)</t>
  </si>
  <si>
    <t>d-6518-li</t>
  </si>
  <si>
    <t>Dr Erham Wilda MPD(Ketua Prodi PG Paud Unisba)</t>
  </si>
  <si>
    <t>d-6550-te</t>
  </si>
  <si>
    <t>Corporate Secretary Division Head PT MRT Jakarta, Muhammad Kamaluddin</t>
  </si>
  <si>
    <t>d-6795-re</t>
  </si>
  <si>
    <t>d-6809-te</t>
  </si>
  <si>
    <t>Ariani Sukamwo(Ketua Gerakan Aksesibilitas Umum Nasional)***Muslih(Seorang Tunanetra)</t>
  </si>
  <si>
    <t>d-7562-li</t>
  </si>
  <si>
    <t>d-7798-tr</t>
  </si>
  <si>
    <t>d-7869-te</t>
  </si>
  <si>
    <t>Mahreta Maha(akrtis)***Anggia Kharisma(produser)</t>
  </si>
  <si>
    <t>d-8076-ok</t>
  </si>
  <si>
    <t>Sara Hinesley</t>
  </si>
  <si>
    <t>d-8353-cn</t>
  </si>
  <si>
    <t>d-8821-su</t>
  </si>
  <si>
    <t>d-8900-de</t>
  </si>
  <si>
    <t>Website DPR</t>
  </si>
  <si>
    <t>d-9054-tr</t>
  </si>
  <si>
    <t>Selvi Rita(Penari)</t>
  </si>
  <si>
    <t>d-9095-ko</t>
  </si>
  <si>
    <t>Putri Sampaghita Trisnawinny Santoso
(pendiri kopi tuli)</t>
  </si>
  <si>
    <t>d-9285-de</t>
  </si>
  <si>
    <t>d-9430-te</t>
  </si>
  <si>
    <t>Emma Boswel(Penyandang Disabiltas)</t>
  </si>
  <si>
    <t>d-9431-ti</t>
  </si>
  <si>
    <t>Adi(pasien)*** Jiemi Ardian, residen psikiatri di RSUD Dr. Moewardi</t>
  </si>
  <si>
    <t>d-9534-ok</t>
  </si>
  <si>
    <t>d-9723-li</t>
  </si>
  <si>
    <t>d-9775-cn</t>
  </si>
  <si>
    <t>d-10058-ko</t>
  </si>
  <si>
    <t>d-10176-de</t>
  </si>
  <si>
    <t>d-10185-ko</t>
  </si>
  <si>
    <t>dr Lila Nurmayanti, (dokter)
***Herlin Ferliana, direktur Rumah Sakit Jiwa Menur Surabaya</t>
  </si>
  <si>
    <t>d-10220-ti</t>
  </si>
  <si>
    <t>d-10412-ko</t>
  </si>
  <si>
    <t>d-10913-li</t>
  </si>
  <si>
    <t xml:space="preserve">Kapolres Metro Jakarta Selatan Komisaris Besar Indra Jafar
</t>
  </si>
  <si>
    <t>d-11594-re</t>
  </si>
  <si>
    <t>Kasatreskrim Polres Garut AKP Maradona Armin Mappaseng</t>
  </si>
  <si>
    <t>d-11875-re</t>
  </si>
  <si>
    <t>d-11986-cn</t>
  </si>
  <si>
    <t>Kapolres Pandelang AKBP Indra Lutrianto Amstono</t>
  </si>
  <si>
    <t xml:space="preserve"> Erlina(istri korban)***Reskrim Iptu Jhon Digul Manra</t>
  </si>
  <si>
    <t>d-12081-cn</t>
  </si>
  <si>
    <t>d-12231-te</t>
  </si>
  <si>
    <t>25//06/2019</t>
  </si>
  <si>
    <t>Tika(Seorang Tuna Daksa)***Wahyu Mulad Widodo(Seorang Tuna Daksa)</t>
  </si>
  <si>
    <t>d-12397-ti</t>
  </si>
  <si>
    <t>d-12481-te</t>
  </si>
  <si>
    <t>d-12517-ok</t>
  </si>
  <si>
    <t>d-12854-te</t>
  </si>
  <si>
    <t>Zainut Tauhid Sa'adi, Wakil Ketua Umum MUI***Kasubbag Humas Polres Bogor, Ajun Komisaris Ita Puspita Lena</t>
  </si>
  <si>
    <t>d-13224-tr</t>
  </si>
  <si>
    <t xml:space="preserve">Kapolsek Sukanagara, AKP Cahyadi
</t>
  </si>
  <si>
    <t>d-13231-de</t>
  </si>
  <si>
    <t>d-13352-re</t>
  </si>
  <si>
    <t>Yayat Rukhiyat(Penyandang Disabilitas)***Mukhlis Hanafi(Kepala LPMQ)</t>
  </si>
  <si>
    <t>d-13534-te</t>
  </si>
  <si>
    <t>d-13764-li</t>
  </si>
  <si>
    <t>Wakil Ketua Umum DMI Syfruddin***Menteri Pendayagunaan Aparatur Negara dan Reformasi Birokrasi (PAN-RB)</t>
  </si>
  <si>
    <t>d-13807-tr</t>
  </si>
  <si>
    <t xml:space="preserve">Kasatpol PP Kota Denpasar, Dewa Gede Anom Sayoga ngedumel
</t>
  </si>
  <si>
    <t>d-14362-cn</t>
  </si>
  <si>
    <t>Kepala RS Polri Brigadir Jenderal Musyafak</t>
  </si>
  <si>
    <t>d-14490-de</t>
  </si>
  <si>
    <t>d-14862-su</t>
  </si>
  <si>
    <t>Asisten Deputi Pemberdayaan Perempuan dan Anak, Nyimas Aliah***Dokter Romi Sopfya Ismael</t>
  </si>
  <si>
    <t xml:space="preserve">1***1
</t>
  </si>
  <si>
    <t>d-15291-ko</t>
  </si>
  <si>
    <t>d-15339-te</t>
  </si>
  <si>
    <t>Menteri Dalam Negeri (Mendagri) Tjahjo Kumolo***Menteri Pendayagunaan Aparatur Negara dan Reformasi Birokrasi Syafruddin</t>
  </si>
  <si>
    <t>d-15595-re</t>
  </si>
  <si>
    <t>d-15612-te</t>
  </si>
  <si>
    <t>Kepala Dinas Sosial DKI Jakarta Irmansyah</t>
  </si>
  <si>
    <t>d-15892-te</t>
  </si>
  <si>
    <t xml:space="preserve"> Ketua Umum INAF, Yudi Yahya***Tomo(pelatih)</t>
  </si>
  <si>
    <t>d-15988-tr</t>
  </si>
  <si>
    <t>Nancy Boroc(Penyandang Disabilitas)</t>
  </si>
  <si>
    <t>d-16046-te</t>
  </si>
  <si>
    <t>Lee Duck-hee(petenis)</t>
  </si>
  <si>
    <t>d-16101-ok</t>
  </si>
  <si>
    <t>d-16482-cn</t>
  </si>
  <si>
    <t>21/08/2019</t>
  </si>
  <si>
    <t>d-16839-re</t>
  </si>
  <si>
    <t>Kordinator untuk disabilitas, Bahrul Fuad di Masjid Istiqlal Jakarta</t>
  </si>
  <si>
    <t>d-16928-ok</t>
  </si>
  <si>
    <t xml:space="preserve"> Fitri Utaminingrum, dosen Fakultas Ilmu Komputer, Universitas Brawijaya </t>
  </si>
  <si>
    <t>d-16948-te</t>
  </si>
  <si>
    <t>d-17321-cn</t>
  </si>
  <si>
    <t>d-17342-re</t>
  </si>
  <si>
    <t>dr Caessar Pronocitro. S.Pa, M.Sc(Ahli/Dokter)</t>
  </si>
  <si>
    <t>d-17362-tr</t>
  </si>
  <si>
    <t xml:space="preserve">
</t>
  </si>
  <si>
    <t>d-17371-de</t>
  </si>
  <si>
    <t>d-17439-tr</t>
  </si>
  <si>
    <t>d-17490-re</t>
  </si>
  <si>
    <t>d-17530-ok</t>
  </si>
  <si>
    <t>d-17536-re</t>
  </si>
  <si>
    <t>Syafrin Liputo( Kepala Dinas Perhubungan DKI Jakarta)</t>
  </si>
  <si>
    <t>d-17542-te</t>
  </si>
  <si>
    <t xml:space="preserve"> Kepala Dinas Perhubungan DKI Jakarta Syafrin Liputo</t>
  </si>
  <si>
    <t>d-17544-ti</t>
  </si>
  <si>
    <t xml:space="preserve">Laras(Lesbian)***Andros(Homo)***Andreas Harsono(Penulis)***Mahyeldi Ansharullah(Wali Kota Padang)***Tim Jones(Sejarawan Budaya)***Ustaz Abu Albani(Ahli Ruqyah)***Shinta Ratri(Muslim Transpuan, pemimpin Pondok Pesantren Al Fatah)***Niki(Aktivis Kesehetan Padang)***Rahardian(Pendeta Suarbudaya) </t>
  </si>
  <si>
    <t>2***2***0***0***0***0***2***0***0</t>
  </si>
  <si>
    <t>1***1***1***-1***1***-1***1***1***1</t>
  </si>
  <si>
    <t>i-48-ok</t>
  </si>
  <si>
    <t>Manajer Fret, Eduardo Rodriguez</t>
  </si>
  <si>
    <t>i-57-te</t>
  </si>
  <si>
    <t>Mohammad Idris(Wali Kota Depok)</t>
  </si>
  <si>
    <t>i-78-ok</t>
  </si>
  <si>
    <t>El Ramuza tokoh pemuda di Jalan Uka***Ruli Ramadani pemilik rumah sekaligus Pengurus Sekretariat OPSI</t>
  </si>
  <si>
    <t>i-109-su</t>
  </si>
  <si>
    <t>i-110-te</t>
  </si>
  <si>
    <t>Pete Buttigieg, wali kota dari South Bend, Indiana</t>
  </si>
  <si>
    <t>i-122-su</t>
  </si>
  <si>
    <t>Peneliti P2D sekaligus Dosen Sosiologi UNJ, Robertus Robet</t>
  </si>
  <si>
    <t>i-134-ti</t>
  </si>
  <si>
    <t>Benedict Anderson(Peneliti)***Achmad Sunjayadi(Penulis)***Ferdiansyah Thajib(Penulis)</t>
  </si>
  <si>
    <t>i-184-de</t>
  </si>
  <si>
    <t xml:space="preserve">20/01/2019
</t>
  </si>
  <si>
    <t>Noor Tagouri(Wartawan,Aktifis)***Majalah Vogue(majalah)</t>
  </si>
  <si>
    <t>i-239-cn</t>
  </si>
  <si>
    <t>Anna Wintour(Redaksi Vogue)</t>
  </si>
  <si>
    <t>i-254-ti</t>
  </si>
  <si>
    <t>i-262-de</t>
  </si>
  <si>
    <t>28/01/2019</t>
  </si>
  <si>
    <t>i-265-ok</t>
  </si>
  <si>
    <t>Rapinoe(Pesepak Bola, Lesbian)***Sanderson(Pesepak Bola, Lesbian)***Casey Stoney(Lesbian)***Nilla FIscher(Lesbian)***Nadien Angerer(Pesepak Bola, Biseksual)</t>
  </si>
  <si>
    <t>2***2***2***2***2</t>
  </si>
  <si>
    <t>i-273-de</t>
  </si>
  <si>
    <t>Imam Nakhae'ie(Komisioner Komnas Perempuan)</t>
  </si>
  <si>
    <t>i-325-su</t>
  </si>
  <si>
    <t>i-340-tr</t>
  </si>
  <si>
    <t xml:space="preserve">Kasat Reskrim Polrestabes Bandung AKBP M Rifai
</t>
  </si>
  <si>
    <t>i-344-cn</t>
  </si>
  <si>
    <t xml:space="preserve"> </t>
  </si>
  <si>
    <t>Dini Shanti Purwono (Politikus PSI)</t>
  </si>
  <si>
    <t>i-372-ti</t>
  </si>
  <si>
    <t>i-398-ko</t>
  </si>
  <si>
    <t>i-418-cn</t>
  </si>
  <si>
    <t>i-505-ok</t>
  </si>
  <si>
    <t>mami_jemmy(netizen)***johanhikmat(netizen)***shanaz_vani(netizen)</t>
  </si>
  <si>
    <t>i-516-su</t>
  </si>
  <si>
    <t>Lukman Hakim Saifuddin(Menteri Agama)</t>
  </si>
  <si>
    <t>i-520-cn</t>
  </si>
  <si>
    <t>Rami Malek(aktor)***sepupu Rami Malek, Fady Essam</t>
  </si>
  <si>
    <t>i-550-ok</t>
  </si>
  <si>
    <t>Ferdinandus Setu(Plt . Kepala Biro Humas Kementerian Kominfo)</t>
  </si>
  <si>
    <t>i-645-su</t>
  </si>
  <si>
    <t>Lucinta Luna(selebriti)***@bunda_maharafly(netizen)***@amaro3amaro(netizen)***@vairuzvarrin(netizen)</t>
  </si>
  <si>
    <t>i-659-te</t>
  </si>
  <si>
    <t>pengasuh Ponpes Al-Fatah Shinta Ratri</t>
  </si>
  <si>
    <t>i-713-su</t>
  </si>
  <si>
    <t>Kabid Humas Polda Metro Jaya Kombes Argo Yuwono</t>
  </si>
  <si>
    <t>i-802-ok</t>
  </si>
  <si>
    <t>i-840-ko</t>
  </si>
  <si>
    <t xml:space="preserve"> Sultan Brunei Darussalam Hassanal Bolkiah
</t>
  </si>
  <si>
    <t>i-851-re</t>
  </si>
  <si>
    <t>i-890-cn</t>
  </si>
  <si>
    <t>Grace Natalie(Ketua Umum Partai Solidaritas Indonesia)</t>
  </si>
  <si>
    <t>i-900-ti</t>
  </si>
  <si>
    <t>Yohan Misero(Advokat LBH Masyarakat)***Lini Zurlia(Advokat ASEAN SOGIE Caucus)</t>
  </si>
  <si>
    <t>i-913-ok</t>
  </si>
  <si>
    <t>Menteri Riset, Teknologi, dan Pendidikan Tinggi (Menristekdikti) Muhammad Nasir</t>
  </si>
  <si>
    <t>i-928-su</t>
  </si>
  <si>
    <t>i-936-ko</t>
  </si>
  <si>
    <t>Sri Nurherwati(Komisioner Komisi Nasional Antikekerasan Terhadap Perempuan, Komnas Perempuan)</t>
  </si>
  <si>
    <t>i-952-de</t>
  </si>
  <si>
    <t>Karo Penmas Divisi Humas Polri Brigjen Dedi Prasetyo</t>
  </si>
  <si>
    <t>i-963-ok</t>
  </si>
  <si>
    <t>Solena Chaniago</t>
  </si>
  <si>
    <t>i-1001-te</t>
  </si>
  <si>
    <t>Runtung Sitepu(Rektor Universitas Sumatera Utara)***Yael Stefany(Penulis Cerpen)</t>
  </si>
  <si>
    <t>i-1058-su</t>
  </si>
  <si>
    <t>Matthew Woolfe(Pendiri HAM The Brunei Project)***Dede Oetomo(Aktivis LGBT)</t>
  </si>
  <si>
    <t>Matthew Woolfe(Pendiri HAM The Brunei Project)</t>
  </si>
  <si>
    <t>i-1085-ti</t>
  </si>
  <si>
    <t>Lea(biseksual)***Yuli, Ketua Forum Komunikasi Waria Indonesia***Roni(gay)***Hanif(gay)</t>
  </si>
  <si>
    <t>i-1147-de</t>
  </si>
  <si>
    <t>Reuters(media)***George Clooney(Aktor)***Joe Biden(Mantan Wakil Presiden AS)***Ted Cruz(wakil Partai Republik dari Texas)***Penny Mourdaunt(Menteri Pembangunan Inggris)</t>
  </si>
  <si>
    <t>i-1148-ko</t>
  </si>
  <si>
    <t xml:space="preserve">kepala hak asasi PBB, Michelle Bachelet
</t>
  </si>
  <si>
    <t>i-1217-re</t>
  </si>
  <si>
    <t>i-1259-re</t>
  </si>
  <si>
    <t>Ellen Degeneres(Host)</t>
  </si>
  <si>
    <t>i-1362-su</t>
  </si>
  <si>
    <t>Borneo Bulletin(Media)***Faris(Netizen fb)</t>
  </si>
  <si>
    <t>i-1443-re</t>
  </si>
  <si>
    <t>i-1447-te</t>
  </si>
  <si>
    <t>Dato Erywan Pehin Yusof(Menteri Luar Negeri Brunei)</t>
  </si>
  <si>
    <t>i-1477-cn</t>
  </si>
  <si>
    <t xml:space="preserve">
 Khairul(gay)***zain(gay)***Shahiran S. Shahrani(gay)</t>
  </si>
  <si>
    <t>i-1490-te</t>
  </si>
  <si>
    <t>Garin Nugroho(Sutradara)</t>
  </si>
  <si>
    <t>i-1563-su</t>
  </si>
  <si>
    <t xml:space="preserve">23/04/2019
</t>
  </si>
  <si>
    <t>Dinar Candy(Selebriti)</t>
  </si>
  <si>
    <t>i-1581-te</t>
  </si>
  <si>
    <t>24/04/209</t>
  </si>
  <si>
    <t>Sultan Hassanal Bolkiah(raja)***Phil Robertson, wakil direktur Asia di Human Rights Watch</t>
  </si>
  <si>
    <t>Yusuf Supriatman(Ketua RW 014)***Deni Andrean(ketua Karangtaruna)</t>
  </si>
  <si>
    <t>i-1707-ko</t>
  </si>
  <si>
    <t>BBC(media)</t>
  </si>
  <si>
    <t>i-1720-ko</t>
  </si>
  <si>
    <t xml:space="preserve">Walikota Padang Mahyeldi
</t>
  </si>
  <si>
    <t>i-1751-ko</t>
  </si>
  <si>
    <t xml:space="preserve"> Lee Hsien
(ayah Harry lee)</t>
  </si>
  <si>
    <t>i-1826-li</t>
  </si>
  <si>
    <t>ABC Indonesia(media)***Tsai Ing Wen(Presiden Taiwan)***John Wu(Legislator)</t>
  </si>
  <si>
    <t>i-1843-de</t>
  </si>
  <si>
    <t>Pieter (Kabid Trantibum Satpol PP Surabaya)</t>
  </si>
  <si>
    <t>i-1856-li</t>
  </si>
  <si>
    <t>i-1861-cn</t>
  </si>
  <si>
    <t xml:space="preserve">23/05/2019
</t>
  </si>
  <si>
    <t>Ifa Isfansyah(produser)***Garin Nugroho(sutradara)</t>
  </si>
  <si>
    <t>i-2027-ok</t>
  </si>
  <si>
    <t>i-2053-ti</t>
  </si>
  <si>
    <t xml:space="preserve">Kuasa hukum TTP, polisi gay di Kota Semarang, M Afif Abdul Qoim
***Komisioner Komnas HAM Sandrayati Moniaga
</t>
  </si>
  <si>
    <t>i-2091-cn</t>
  </si>
  <si>
    <t>i-2111-te</t>
  </si>
  <si>
    <t>i-2124-ko</t>
  </si>
  <si>
    <t xml:space="preserve">Hein Aung Thu(netizen)***Hla Myat Tun, (wakil direktur organisasi LGBT Colors Rainbow)
</t>
  </si>
  <si>
    <t>i-2126-te</t>
  </si>
  <si>
    <t>Tika(transpuan penyadang disabilitas)***Wahyu***Aska Wijaya Hutapea***Project Officer Program Peduli Yakkun, Rosana Yuditia Ripi***Manajer Program Festival Benang Merah, Noviana</t>
  </si>
  <si>
    <t xml:space="preserve">2***2***2***0***0
</t>
  </si>
  <si>
    <t xml:space="preserve">1***1***1***1***1
</t>
  </si>
  <si>
    <t>i-2180-re</t>
  </si>
  <si>
    <t>i-2190-cn</t>
  </si>
  <si>
    <t>Vladirimir Putin(presiden Rusia)***Elton John(penyanyi)</t>
  </si>
  <si>
    <t>AKP Aldy Sulaiman (Kepala Unit V Subdit 3 Ditreskrimum Polda Jawa Timur)</t>
  </si>
  <si>
    <t>i-2237-de</t>
  </si>
  <si>
    <t xml:space="preserve">Ben Carson (kandidat capres AS)***profesor peradilan pidana dari Universitas Tennessee***Profesor Christopher Hensley dari Universitas Tennesee di Chattanooga***Gregory T Angleo </t>
  </si>
  <si>
    <t>i-2260-re</t>
  </si>
  <si>
    <t>ali Kota Depok, Mohammad Idris***akil Wali Kota Depok, Pradi Supriatna</t>
  </si>
  <si>
    <t>i-2273-li</t>
  </si>
  <si>
    <t>@denarachman(Instagram)</t>
  </si>
  <si>
    <t>i-2316-ok</t>
  </si>
  <si>
    <t>Uskup Gereja Siprus Neophytos Masouras</t>
  </si>
  <si>
    <t>i-2453-ti</t>
  </si>
  <si>
    <t>Tempo(media)***Nico Pelamonia(sutradara)</t>
  </si>
  <si>
    <t>i-2459-tr</t>
  </si>
  <si>
    <t xml:space="preserve">AKP Ardy Yusuf(Kepala Satuan Reserse Kriminal Polres Palopo)
</t>
  </si>
  <si>
    <t>i-2522-cn</t>
  </si>
  <si>
    <t>i-2545-su</t>
  </si>
  <si>
    <t>Rembulan(pekerja seks)***Anggur(waria)</t>
  </si>
  <si>
    <t xml:space="preserve">
Roy Pangharapan(Ketua Dewan Kesehatan Rakyat Kota Depok)</t>
  </si>
  <si>
    <t>i-2647-ko</t>
  </si>
  <si>
    <t>i-2656-te</t>
  </si>
  <si>
    <t>i-2672-ti</t>
  </si>
  <si>
    <t xml:space="preserve">Megan Rapinoe
(pesepak bola)***Donald Trump(presiden Amerika)*** Jill Ellis, pelatih Amerika Serikat
</t>
  </si>
  <si>
    <t>i-2699-su</t>
  </si>
  <si>
    <t xml:space="preserve">Millendaru(artis)
</t>
  </si>
  <si>
    <t>i-2797-ko</t>
  </si>
  <si>
    <t>Kepri Ery Syahrial(Ketua Komisi Perlindungan dan Pengawasan Anak Daerah)***Ucok Lasdin(Kapolres Tanjungpinang)</t>
  </si>
  <si>
    <t>i-2806-tr</t>
  </si>
  <si>
    <t>i-2819-tr</t>
  </si>
  <si>
    <t>i-2915-de</t>
  </si>
  <si>
    <t>Adriana Venny(Komnas Perempuan)***Sobri Lubis(Ketum FPI)</t>
  </si>
  <si>
    <t>i-2922-ok</t>
  </si>
  <si>
    <t>i-2925-li</t>
  </si>
  <si>
    <t>The British Library, bl.uk</t>
  </si>
  <si>
    <t>i-2930-ti</t>
  </si>
  <si>
    <t>i-2948-ko</t>
  </si>
  <si>
    <t>Dwi Hartono(Kapolres Lubuklinggau AKBP)</t>
  </si>
  <si>
    <t>i-2965-te</t>
  </si>
  <si>
    <t>Science Magazine(media)***Profesor Greg Neely(University of Sydney)***(Penulis studi genetika)</t>
  </si>
  <si>
    <t>i-2999-ok</t>
  </si>
  <si>
    <t>i-3008-su</t>
  </si>
  <si>
    <t>Riki Saputra(Rektor UMSB)</t>
  </si>
  <si>
    <t>i-3009-ti</t>
  </si>
  <si>
    <t>Laras(Lesbian)***Andreas Harsono (peneliti Human Right Watch)***Mahyeldi Ansharullah(Wali Kota Padang)***Genius Umar(Wali Kota Pariaman)***Tim Jones(sejarawan budaya di La Trobe University)***Abu Albani(Ustaz)***Ratri(seorang transpuan)***Niki(aktivis kesehatan di Padang)</t>
  </si>
  <si>
    <t>2***0***0***0***0***2***0***1</t>
  </si>
  <si>
    <t>1***1***-1***-1***1***-1***1***1</t>
  </si>
  <si>
    <t>i-3018-su</t>
  </si>
  <si>
    <t>23/09/2019</t>
  </si>
  <si>
    <t>Iptu Marjoni Usman</t>
  </si>
  <si>
    <t>Lucinta Luna(selebritis)***Iweddw(netizen)***Sriandini Sriandinilah(netizen)***Marvil Dwi Saputra(netizen)</t>
  </si>
  <si>
    <t>1***-1***-1***-1</t>
  </si>
  <si>
    <t>p-371-ok</t>
  </si>
  <si>
    <t>p-906-su</t>
  </si>
  <si>
    <t>p-1493-tr</t>
  </si>
  <si>
    <t>RA(korban perkosaan)</t>
  </si>
  <si>
    <t>p-2014-tr</t>
  </si>
  <si>
    <t>p-2904-ok</t>
  </si>
  <si>
    <t>15/01/2091</t>
  </si>
  <si>
    <t>Kiko Mizuhara(korban pelecehan seksual)</t>
  </si>
  <si>
    <t>p-2946-te</t>
  </si>
  <si>
    <t>p-3375-cn</t>
  </si>
  <si>
    <t>p-4014-de</t>
  </si>
  <si>
    <t>*Ketua Dewan Pengawas (Dewas) BPJS Ketenagakerjaan Guntur Witjaksono***Syafri Adnan Baharuddin(terduga pelaku pelecehan seksual)</t>
  </si>
  <si>
    <t xml:space="preserve">0***0
</t>
  </si>
  <si>
    <t>p-4198-cn</t>
  </si>
  <si>
    <t>p-4502-tr</t>
  </si>
  <si>
    <t>p-4591-te</t>
  </si>
  <si>
    <t>p-4769-de</t>
  </si>
  <si>
    <t>AFP(meida)***Thierry Moser(pengacara sang pastor)</t>
  </si>
  <si>
    <t>p-5184-de</t>
  </si>
  <si>
    <t xml:space="preserve">Ivan Colev(pelatih sepak bola)
</t>
  </si>
  <si>
    <t>p-5261-su</t>
  </si>
  <si>
    <t>p-5933-ok</t>
  </si>
  <si>
    <t xml:space="preserve">Welhelmus Poek(Ketua Himpunan Pelajar Indonesia di Canberra)***kepolisian ACT(kepolisian)***Universitas Canberra***Universitas Nasional Australia </t>
  </si>
  <si>
    <t>p-6201-ti</t>
  </si>
  <si>
    <t>16/02/1029</t>
  </si>
  <si>
    <t>p-6412-tr</t>
  </si>
  <si>
    <t xml:space="preserve">21/02/2019
</t>
  </si>
  <si>
    <t xml:space="preserve">Jasson Berry(jurnalis)***atasan pastor***BBC(media)***Uskup Agung Mark Coleridge***Ampleforth(gereja/sekolah)***Downside(gereja/sekolah)***Paus Fransiskus
</t>
  </si>
  <si>
    <t>1***1***1***1***1***1***1</t>
  </si>
  <si>
    <t>p-6526-su</t>
  </si>
  <si>
    <t>p-6561-de</t>
  </si>
  <si>
    <t xml:space="preserve">AKP Edi Qorinas(Kasat Reskrim Polres Tanggamus)***Tanggamus Ipda Primadona Laila(Kanit Perlindungan Perempuan dan Anak (PPA) Satreskrim Polres) </t>
  </si>
  <si>
    <t>p-6723-ti</t>
  </si>
  <si>
    <t>BBC(media)***Avenatti(pengacara)***Steve Greenberg(pengacara)</t>
  </si>
  <si>
    <t xml:space="preserve"> Iptu Fathur Rohman(Kapolsek Semboro)</t>
  </si>
  <si>
    <t>p-6842-te</t>
  </si>
  <si>
    <t>p-6942-ti</t>
  </si>
  <si>
    <t xml:space="preserve">Saras Dewi(Dosen)***Ace Hasan Syadzily(Wakil Ketua Komisi VIII DPR RI)***Ratna Batara Munti(Pengacara Publik dari LBH APIK)
</t>
  </si>
  <si>
    <t>p-7030-re</t>
  </si>
  <si>
    <t>Hakim Li J(Konsulat Jenderal RI di Hong Kong)***Tri Tharyat (Konsul Jenderal RI untuk Hong Kong)</t>
  </si>
  <si>
    <t>The Wall Streets Journal***Google</t>
  </si>
  <si>
    <t>p-7727-te</t>
  </si>
  <si>
    <t>Sarkawi Datuak Mongguang Kayo(Dinas Pemberdayaan Perempuan dan Perlindungan Anak Kota Pekanbaru)</t>
  </si>
  <si>
    <t>p-7797-ti</t>
  </si>
  <si>
    <t xml:space="preserve"> Inquirer, MBC News Desk (media)***Jang Yun-mi(juru bicara Asosiasi Pengacara Wanita Korea)***Han Sol( aktivis Flaming Feminist Action)*** KBS News(media)</t>
  </si>
  <si>
    <t>0***
0***1***0</t>
  </si>
  <si>
    <t>p-7853-cn</t>
  </si>
  <si>
    <t>p-8002-te</t>
  </si>
  <si>
    <t>Mayorga(karywan klub)</t>
  </si>
  <si>
    <t>p-8062-de</t>
  </si>
  <si>
    <t>Bamsoet(ketua DPR RI)</t>
  </si>
  <si>
    <t>p-8220-su</t>
  </si>
  <si>
    <t>p-8467-su</t>
  </si>
  <si>
    <t>Ketua Himpunan Wanita Disabilitas Indonesia (HWDI), Maulani Rotinsulu
***Rahayu Saraswati
(pimpinan sidang)</t>
  </si>
  <si>
    <t>p-8869-de</t>
  </si>
  <si>
    <t>DeGeneres(host tv)***Billie Jean King(atlet)***George Clooney(selebriti)</t>
  </si>
  <si>
    <t>p-8892-re</t>
  </si>
  <si>
    <t>Kasubag Humas Polres p.Ambon dan PP Lease Ipda Julkisno Kaisupy</t>
  </si>
  <si>
    <t>p-8919-ko</t>
  </si>
  <si>
    <t>p-9028-de</t>
  </si>
  <si>
    <t>pengacara Stephen Kamlish QC</t>
  </si>
  <si>
    <t>p-9317-ti</t>
  </si>
  <si>
    <t>p-9341-li</t>
  </si>
  <si>
    <t>p-9395-li</t>
  </si>
  <si>
    <t xml:space="preserve">15/04/2019
</t>
  </si>
  <si>
    <t>p-9430-cn</t>
  </si>
  <si>
    <t>p-9510-ko</t>
  </si>
  <si>
    <t>Simone Pound(Kepala Kesetaraan di PFA)***Smalling(pesepak bola)</t>
  </si>
  <si>
    <t>p-9602-te</t>
  </si>
  <si>
    <t>p-9698-li</t>
  </si>
  <si>
    <t xml:space="preserve">Kapolres Musirawas AKBP Suhendro***Iptu Denhar (ahmad farozi)
</t>
  </si>
  <si>
    <t>p-10243-su</t>
  </si>
  <si>
    <t>p-10310-te</t>
  </si>
  <si>
    <t>p-10378-su</t>
  </si>
  <si>
    <t>p-10591-cn</t>
  </si>
  <si>
    <t>Usman Hamid(Direktur Amnesty Internasional Indonesia)***Dedi Prasetyo(Karo Penmas Polri Brigjen)***Ma'ruh Bajammal(Kuasa hukum Brigadir TT)</t>
  </si>
  <si>
    <t>p-10681-de</t>
  </si>
  <si>
    <t>Benny(Polisi)</t>
  </si>
  <si>
    <t>p-10810-cn</t>
  </si>
  <si>
    <t>p-10951-li</t>
  </si>
  <si>
    <t>The Verge(media)</t>
  </si>
  <si>
    <t>p-10991-te</t>
  </si>
  <si>
    <t>Fox Sports(media)</t>
  </si>
  <si>
    <t>p-11227-li</t>
  </si>
  <si>
    <t>p-11250-te</t>
  </si>
  <si>
    <t>p-11292-su</t>
  </si>
  <si>
    <t>p-11411-cn</t>
  </si>
  <si>
    <t>Kasat Reskrim Polres Pinrang, AKP Dharma Negara***Wakapolres Pinrang, Kompol Nugraha Pamungkas</t>
  </si>
  <si>
    <t xml:space="preserve">0***1
</t>
  </si>
  <si>
    <t>p-11579-ok</t>
  </si>
  <si>
    <t>LBH Manado(lsm)***Kabid Humas Polda Sulut Kombes Pol Ibrahim Tompo(Polisi)</t>
  </si>
  <si>
    <t>p-11667-ko</t>
  </si>
  <si>
    <t>p-11737-tr</t>
  </si>
  <si>
    <t xml:space="preserve">Seorang backpacker Inggris, Frances Fairs***Chelsey(korban)***Eleanor Juby(korban)***Emily(backpaker)***Rosie Ayliffe(orang tua korban)***agen migrasi Mark Glazbrook
</t>
  </si>
  <si>
    <t>2***2***2***0***0***0</t>
  </si>
  <si>
    <t>p-11750-de</t>
  </si>
  <si>
    <t>Trump (presiden Amerika Serikat)</t>
  </si>
  <si>
    <t>p-11763-ok</t>
  </si>
  <si>
    <t>p-11801-de</t>
  </si>
  <si>
    <t>Kapolsekta Tulangan AKP Gatot Setyo Budi kepada wartawan</t>
  </si>
  <si>
    <t>p-11892-te</t>
  </si>
  <si>
    <t>Reza Parastesh</t>
  </si>
  <si>
    <t>p-11949-de</t>
  </si>
  <si>
    <t>p-11964-re</t>
  </si>
  <si>
    <t>p-12011-su</t>
  </si>
  <si>
    <t>p-12153-ko</t>
  </si>
  <si>
    <t xml:space="preserve">Hidayat (pelaku)***Kasubdit III Jatanras Direskrimum Polda Jatim AKBP Leonard Sinambela
</t>
  </si>
  <si>
    <t>p-12366-su</t>
  </si>
  <si>
    <t xml:space="preserve">S (orang tua korban)***Kanit Reskrim Polsek Kresek Ipda Maskuri
</t>
  </si>
  <si>
    <t>p-12475-te</t>
  </si>
  <si>
    <t>Wakil Ketua Komnas Perempuan Budi Wahyuni***Jokowi (presiden RI)</t>
  </si>
  <si>
    <t>p-13016-li</t>
  </si>
  <si>
    <t>Wakil Perdana Menteri Datuk Seri Dr Wan Azizah Wan Ismail</t>
  </si>
  <si>
    <t>p-13106-su</t>
  </si>
  <si>
    <t xml:space="preserve"> Uya Kuya(artis)</t>
  </si>
  <si>
    <t>p-13199-ok</t>
  </si>
  <si>
    <t>Daily Mail (media)</t>
  </si>
  <si>
    <t>p-13345-cn</t>
  </si>
  <si>
    <t>Kepolisian Metro Seoul</t>
  </si>
  <si>
    <t>p-13523-re</t>
  </si>
  <si>
    <t>Komisioner Perlindungan Anak Indonesia (KPAI) Retno Listyarti***Kabag Humas Direktorat Jenderal Permasyarakatan Ade Kusmato</t>
  </si>
  <si>
    <t>p-13936-tr</t>
  </si>
  <si>
    <t xml:space="preserve">Kapolres Lampung Selatan, AKBP M Syarhan
***tersangka***Direskrimum Polda Lampung Kombes M Barly Ramadhany
***Kasubdit III Jatanras Dit Reskrimum Polda Lampung, Kompol Yustam Dwi Heno
</t>
  </si>
  <si>
    <t xml:space="preserve">0***0***0***0
</t>
  </si>
  <si>
    <t>1***-1***0***1</t>
  </si>
  <si>
    <t>p-14079-te</t>
  </si>
  <si>
    <t>The Daily Record(media)***Catherine(korban kekerasan)</t>
  </si>
  <si>
    <t>p-14530-re</t>
  </si>
  <si>
    <t>p-14593-re</t>
  </si>
  <si>
    <t>Wakil Ketua LPSK Antonius PS Wibowo*** Ketua LPSK Hasto Atmojo Suroyo</t>
  </si>
  <si>
    <t>p-14704-ok</t>
  </si>
  <si>
    <r>
      <t xml:space="preserve">Inri(korban </t>
    </r>
    <r>
      <rPr>
        <i/>
      </rPr>
      <t>body shaming)</t>
    </r>
  </si>
  <si>
    <t>p-14890-tr</t>
  </si>
  <si>
    <t xml:space="preserve">Kanit Jatanras Satreskrim Polrestabes Surabaya, Iptu Giadi Nugraha
***Kanit Reskrim Polrestabes Surabaya, AKBP Sudamiran***Fatchul(pelaku pelecehan)
</t>
  </si>
  <si>
    <t>p-15027-de</t>
  </si>
  <si>
    <t>Gunala(paman korban)***Polwan</t>
  </si>
  <si>
    <t>p-15223-ok</t>
  </si>
  <si>
    <t>Phil Neville(mantan atlet sepak bola)</t>
  </si>
  <si>
    <t>p-15300-ok</t>
  </si>
  <si>
    <t xml:space="preserve">
29/08/2019</t>
  </si>
  <si>
    <t>Sekda Jeneponto, Syafruddin***Kasat Reskrim Polres Jeneponto, AKP Boby Rachman</t>
  </si>
  <si>
    <t>p-15530-te</t>
  </si>
  <si>
    <t>Yonhap (media)</t>
  </si>
  <si>
    <t xml:space="preserve">Kasi Intel Kejaksaan Negeri (Kejari) Kabupaten Mojokerto, Nugroho Wisnu
</t>
  </si>
  <si>
    <t>p-15667-de</t>
  </si>
  <si>
    <t>Syafruddin(Sekretaris Daerah (Sekda) Jeneponto, Sulsel)***Kapolres Jeneponto, Sulsel, AKBP Hery Susanto</t>
  </si>
  <si>
    <t>p-15738-de</t>
  </si>
  <si>
    <t>Kapolsek Gunung Putri AKP Andriyanto</t>
  </si>
  <si>
    <t>p-15836-ko</t>
  </si>
  <si>
    <t xml:space="preserve">Ketua Komnas Perempuan Azriana Manalu
</t>
  </si>
  <si>
    <t>USA Today(media)</t>
  </si>
  <si>
    <t>p-16041-li</t>
  </si>
  <si>
    <t>Elza Syarief(pengacara)</t>
  </si>
  <si>
    <t>p-16150-tr</t>
  </si>
  <si>
    <t>Neneng Goenadi(Managing Director Grab Indonesia)
***Hasto(LPSK)</t>
  </si>
  <si>
    <t>Kasatreskrim Polres Serang Kota, AKP Ivan Adhittira</t>
  </si>
  <si>
    <t>p-16301-ti</t>
  </si>
  <si>
    <t>p-16330-su</t>
  </si>
  <si>
    <t>p-16344-li</t>
  </si>
  <si>
    <t>p-16348-ok</t>
  </si>
  <si>
    <t>p-16350-re</t>
  </si>
  <si>
    <t>Ibnu(pelaku pelecehan seksual)*** AKP Ruth Yeni(Kanit PPA Polrestabes Surabaya</t>
  </si>
  <si>
    <t>p-16370-tr</t>
  </si>
  <si>
    <t>SR(pelaku)***Kapolres Sukabumi AKBP Nasriadi
***R(pelaku)***RG(pelaku)</t>
  </si>
  <si>
    <t>-1***1***-1***-1</t>
  </si>
  <si>
    <t>p-16373-li</t>
  </si>
  <si>
    <t>a-6-de</t>
  </si>
  <si>
    <t xml:space="preserve">Ulama Syiah terkemuka di Irak, Ayatollah Ali Sistani </t>
  </si>
  <si>
    <t>a-9-te</t>
  </si>
  <si>
    <t>a-21-su</t>
  </si>
  <si>
    <t>14/11/2019</t>
  </si>
  <si>
    <t>Aris Eko Nugroho(Kepala Dinas Kebudayaan DIY)</t>
  </si>
  <si>
    <t>a-28-de</t>
  </si>
  <si>
    <t xml:space="preserve">
Sivana Khamdi Syukria alumnus Fakultas Dakwah dan Komunikasi UIN Sunan Kalijaga Yogyakarta</t>
  </si>
  <si>
    <t>a-30-ok</t>
  </si>
  <si>
    <t>a-32-re</t>
  </si>
  <si>
    <t>a-35-te</t>
  </si>
  <si>
    <t>a-38-re</t>
  </si>
  <si>
    <t xml:space="preserve"> Ikhwanul Kiram Mashuri(penulis)</t>
  </si>
  <si>
    <t>a-45-de</t>
  </si>
  <si>
    <t>Profesor Ariel Heryanto***Duta Besar Australia untuk Indonesia, Gary Quinlan</t>
  </si>
  <si>
    <t>a-52-re</t>
  </si>
  <si>
    <t xml:space="preserve">Kementerian Luar Negeri di Islamabad
</t>
  </si>
  <si>
    <t>a-116-su</t>
  </si>
  <si>
    <t>a-120-su</t>
  </si>
  <si>
    <t>26/12/2019</t>
  </si>
  <si>
    <t>Ma'ruf di Kantor Wakil Presiden</t>
  </si>
  <si>
    <t>a-127-li</t>
  </si>
  <si>
    <t>Ketua Panitia Acara Haul Gus Dur Ke-10, Inaya Wahid</t>
  </si>
  <si>
    <t>Jonathan Hoffman, kepala juru bicara Pentagon</t>
  </si>
  <si>
    <t>a-143-su</t>
  </si>
  <si>
    <t>Romo Hariyanto***Sudarto (Badan Pengawas Pusat Studi Antar Komunitas, PUSAKA)***Parindrati W Ardhini(umat kristiani)</t>
  </si>
  <si>
    <t>d-12-cn</t>
  </si>
  <si>
    <t>d-120-de</t>
  </si>
  <si>
    <t>d-133-li</t>
  </si>
  <si>
    <t>Kepala Program Kesehatan Jiwa Puskesmas Gitik, Eko Budi Cahyono menerangkan</t>
  </si>
  <si>
    <t>d-139-ok</t>
  </si>
  <si>
    <t>Dosen ilmu politik Universitas Paramadina, Djayadi Hanan***Ketua DPP bidang Komunikasi dan informasi publik Willy Aditya</t>
  </si>
  <si>
    <t>d-216-ti</t>
  </si>
  <si>
    <t>d-251-ok</t>
  </si>
  <si>
    <t>Ajit Narayanan, Accessibility Software Engineer Google</t>
  </si>
  <si>
    <t>d-301-ko</t>
  </si>
  <si>
    <t xml:space="preserve">Kepala Humas BPJS Kesehatan M. Iqbal Anas Ma'ruf
</t>
  </si>
  <si>
    <t>penyakit</t>
  </si>
  <si>
    <t>d-464-ko</t>
  </si>
  <si>
    <t>Kapolres Brebes AKBP Aris Supriyono</t>
  </si>
  <si>
    <t>d-483-li</t>
  </si>
  <si>
    <t>Ketua PP Persatuan Dokter Spesialis Mata Indonesia Siddik</t>
  </si>
  <si>
    <t>d-515-te</t>
  </si>
  <si>
    <t xml:space="preserve">Dokter Spesialis Kejiwaan dari RS Cipto Mangunkusumo dr Sylvia Detri Elvira Sp.KJ(K) </t>
  </si>
  <si>
    <t>d-578-ti</t>
  </si>
  <si>
    <t>d-770-de</t>
  </si>
  <si>
    <t>Kabid Humas Polda Sumut Kombes Tatan Dirsan Atmaja di RS Bhayangkara Medan</t>
  </si>
  <si>
    <t>d-904-li</t>
  </si>
  <si>
    <t>Budi Karya(menteri)***Direktur Operasional dan Pemeliharaan PT MRT Jakarta Muhammad Effendi</t>
  </si>
  <si>
    <t>d-1012-ko</t>
  </si>
  <si>
    <t>Sophia(ibu dari Anindhita)</t>
  </si>
  <si>
    <t>d-1031-li</t>
  </si>
  <si>
    <t>d-1086-te</t>
  </si>
  <si>
    <t>Joko Widodo(presiden RI)***Angkie(penyandang disabilitas)</t>
  </si>
  <si>
    <t>d-1100-ti</t>
  </si>
  <si>
    <t xml:space="preserve"> Menteri Pendayagunaan Aparatur Negara dan Reformasi Birokrasi (PANRB) Tjahjo Kumolo
</t>
  </si>
  <si>
    <t>d-1206-re</t>
  </si>
  <si>
    <t>Karisma Evi(atlet)</t>
  </si>
  <si>
    <t>d-1232-te</t>
  </si>
  <si>
    <t>d-1368-tr</t>
  </si>
  <si>
    <t>d-1405-re</t>
  </si>
  <si>
    <t>d-1420-ti</t>
  </si>
  <si>
    <t>d-1641-cn</t>
  </si>
  <si>
    <t>d-1741-su</t>
  </si>
  <si>
    <t>d-1780-li</t>
  </si>
  <si>
    <t>kepala petugas sains di Autism Science Foundation di New York, Amerika Serikat, Alycia Halladay, PhD</t>
  </si>
  <si>
    <t>d-1927-de</t>
  </si>
  <si>
    <t>Ketua Nasional Paralympic Committes Indonesia (NPCI) Kabupaten Cianjur, Abes.</t>
  </si>
  <si>
    <t>d-2047-re</t>
  </si>
  <si>
    <t>Ketua RT 7 RW 4 Desa Suro, Tasrin***Koordinator Tagana Banyumas Ady Candra</t>
  </si>
  <si>
    <t>sakit***gangguan kejiwaan</t>
  </si>
  <si>
    <t>d-2169-cn</t>
  </si>
  <si>
    <t>Zozibini Tunzi(Miss Universe 2019)</t>
  </si>
  <si>
    <t>Kepala Satuan Reserse dan Kriminal (Kasat Reskrim) Polres Tasikmalaya Kota, AKP Dadang Sudiantoro***Endra Nawari (Psikolog)***Wakil Wali Kota Tasikmalaya, Muhammad Yusuf</t>
  </si>
  <si>
    <t>d-2250-cn</t>
  </si>
  <si>
    <t>Sesmenpora, Gatot S Dewa Broto***Ketua NPC Filipina, Michael Barredo</t>
  </si>
  <si>
    <t>d-2314-li</t>
  </si>
  <si>
    <t>d-2498-su</t>
  </si>
  <si>
    <t>Rosaritas Niken Widiastuti(Direktur Jenderal Informasi dan Komunikasi Publik, Kementerian Komunikasi dan Informatika)</t>
  </si>
  <si>
    <t>i-3-de</t>
  </si>
  <si>
    <t xml:space="preserve">Chris Cassidy (kekasih korban) </t>
  </si>
  <si>
    <t>i-7-ok</t>
  </si>
  <si>
    <t>Susanti(pelaku)***humas RSUD A Wahab Syahrani, Arysina Andhina</t>
  </si>
  <si>
    <t>i-11-ti</t>
  </si>
  <si>
    <t xml:space="preserve">Sastrawan Okky Madasari
</t>
  </si>
  <si>
    <t>i-34-de</t>
  </si>
  <si>
    <t>i-49-li</t>
  </si>
  <si>
    <t>i-57-li</t>
  </si>
  <si>
    <t>Samuel Little(pelaku)</t>
  </si>
  <si>
    <t>i-72-su</t>
  </si>
  <si>
    <t>i-74-tr</t>
  </si>
  <si>
    <t>(seorang PSK)***Kapolres Cianjur, AKBP Juang Andi Priyanto</t>
  </si>
  <si>
    <t>16/11/2019</t>
  </si>
  <si>
    <t>Sonja Jones(mantan ibu asuh korban)***Veronica(ibu korban)</t>
  </si>
  <si>
    <t>i-86-re</t>
  </si>
  <si>
    <t>i-121-ko</t>
  </si>
  <si>
    <t>Mondo Gascaro(penata musik)</t>
  </si>
  <si>
    <t>i-123-re</t>
  </si>
  <si>
    <t>Gianni Infantino(presiden FIFA)</t>
  </si>
  <si>
    <t>i-134-cn</t>
  </si>
  <si>
    <t>mengidap</t>
  </si>
  <si>
    <t xml:space="preserve">Sekjen PDI-P Hasto Kristiyanto
***Menteri Pemberdayaan Aparatur Negara dan Reformasi Birokrasi Tjahjo Kumolo
</t>
  </si>
  <si>
    <t>i-193-ok</t>
  </si>
  <si>
    <t xml:space="preserve">
Sekretaris Fraksi PPP DPR RI Achmad Baidowi</t>
  </si>
  <si>
    <t>i-213-te</t>
  </si>
  <si>
    <t>i-226-tr</t>
  </si>
  <si>
    <t xml:space="preserve">Kasubbag Humas Polres Binjai, Iptu Siswanto Ginting
</t>
  </si>
  <si>
    <t>i-243-ko</t>
  </si>
  <si>
    <t>Dwi Estiningsih(Kader Partai Keadilan Sejahtera (PKS)***Eugene Walls***Sadiq (peneliti)</t>
  </si>
  <si>
    <t>i-247-te</t>
  </si>
  <si>
    <t>Nora Alexandra(model)</t>
  </si>
  <si>
    <t>i-274-cn</t>
  </si>
  <si>
    <t>Uskup Pernambuco, Henrique Soares da Costa.</t>
  </si>
  <si>
    <t>i-290-ok</t>
  </si>
  <si>
    <t>i-324-te</t>
  </si>
  <si>
    <t>i-329-li</t>
  </si>
  <si>
    <t>Presiden Brasil Jair Bolsonaro</t>
  </si>
  <si>
    <t>i-330-ok</t>
  </si>
  <si>
    <t>Porta Dos Fundos(grup komedi)</t>
  </si>
  <si>
    <t>i-332-te</t>
  </si>
  <si>
    <t xml:space="preserve"> Beijing Gender(NG))</t>
  </si>
  <si>
    <t xml:space="preserve"> Sekretaris P2TP2A Kabupaten Garut, Rahmat Wibawa
***AKP Maradona(polisi)</t>
  </si>
  <si>
    <t>p-62-li</t>
  </si>
  <si>
    <t>L(korban)***ANF(korban)***Ketua KWN Fatimah Azzahra, Nuraeni***Manager CSR &amp; Communication Pertamina MOR VII, Hatim Ilwan</t>
  </si>
  <si>
    <t>p-71-te</t>
  </si>
  <si>
    <t>p-126-ko</t>
  </si>
  <si>
    <t xml:space="preserve">Kepala Satuan Reserse Kriminal Polres Aceh Utara AKP Adhitya***epala Kejaksaan Negeri Lhoksukon Rukhsal M Assegaf***Herliana, pengacara dari tersangka J
</t>
  </si>
  <si>
    <t>p-130-li</t>
  </si>
  <si>
    <t>p-142-te</t>
  </si>
  <si>
    <t>Duta Besar Tri Tharyat</t>
  </si>
  <si>
    <t>p-143-tr</t>
  </si>
  <si>
    <t xml:space="preserve">Kasubag Humas Polres Metro Tangerang Kota, Kompol Abdul Rachim
</t>
  </si>
  <si>
    <t>Aktivis perempuan dan Sekretaris PKBI DIY Gama Triono
***Dosen psikologi dari Universitas Gadjah Mada (UGM), Profesor Koentjoro</t>
  </si>
  <si>
    <t>p-391-de</t>
  </si>
  <si>
    <t>Kasmadi, pembina di Gambilangu Kendak</t>
  </si>
  <si>
    <t xml:space="preserve">Kepala Imigrasi Kelas I Khusus Bandara Soekarno-Hatta, Safar Muhammad Godam
</t>
  </si>
  <si>
    <t>p-473-cn</t>
  </si>
  <si>
    <t>jaksa penuntut umum Swedia, Eve-Marie Persson***kuasa hukum korban, Elisabeth Massi Fritz</t>
  </si>
  <si>
    <t xml:space="preserve">Kasatreskrim Polres Gresik, AKP Panji Prastistha Wijaya***Bambang dan Ana (pasutri)
</t>
  </si>
  <si>
    <t>lelaki hidung belang</t>
  </si>
  <si>
    <t>p-526-de</t>
  </si>
  <si>
    <t>p-546-li</t>
  </si>
  <si>
    <t>Sekretaris Kementrian Pemberdayaan Perempuan dan Perlindungan Anak Pribudiarta Nur Sitepu</t>
  </si>
  <si>
    <t>p-613-de</t>
  </si>
  <si>
    <t>Kasat Reskrim Polres Brebes, AKP Triagung Suryomicho</t>
  </si>
  <si>
    <t>Wanita bertato</t>
  </si>
  <si>
    <t>p-616-ko</t>
  </si>
  <si>
    <t xml:space="preserve">Kasat Reskrim Polres Tangerang Selatan AKP Muharram Wibisono
</t>
  </si>
  <si>
    <t>p-626-te</t>
  </si>
  <si>
    <t xml:space="preserve">Iptu Ismail </t>
  </si>
  <si>
    <t>p-793-su</t>
  </si>
  <si>
    <t>Dokter forensik RSUD dr Doris Sylvanus Palangka Raya Ricka***Kepala Bidang Humas Polda Kalteng Kombes Hendra Rochmawan</t>
  </si>
  <si>
    <t>p-827-li</t>
  </si>
  <si>
    <t>Erick Thohir(menteri BUMN)</t>
  </si>
  <si>
    <t>p-1015-de</t>
  </si>
  <si>
    <t>p-1093-ok</t>
  </si>
  <si>
    <t>Kepala Dinas Pariwisata dan Kebudayaan DKI Jakarta, Alberto Ali***Sekretaris Daerah (Sekda) DKI Jakarta, Saefullah</t>
  </si>
  <si>
    <t>p-1121-te</t>
  </si>
  <si>
    <t>Shiori Ito(wartawan, korban)</t>
  </si>
  <si>
    <t>p-1151-ko</t>
  </si>
  <si>
    <t xml:space="preserve"> Bripka Isyana Reni Antasari alias Reni
</t>
  </si>
  <si>
    <t>p-1237-li</t>
  </si>
  <si>
    <t>p-1292-ko</t>
  </si>
  <si>
    <t xml:space="preserve">Kanit PPA Polres Probolinggo Bripka Isyana Reni Antasari
***Nur(istri korban)***Dokter Andri, spesialis kedokteran jiwa OMNI Hospital Alam Sutera Tanggerang
</t>
  </si>
  <si>
    <t>gangguan kejwaan</t>
  </si>
  <si>
    <t>p-1429-tr</t>
  </si>
  <si>
    <t xml:space="preserve">Kapolres Ngawi, AKBP Dicky Ario Yustisianto
</t>
  </si>
  <si>
    <t>kumpul kebo</t>
  </si>
  <si>
    <t>p-1436-li</t>
  </si>
  <si>
    <t>Profesor Leah Sheppard, penulis studi pertama di WSU</t>
  </si>
  <si>
    <t>p-1462-tr</t>
  </si>
  <si>
    <t>p-1571-tr</t>
  </si>
  <si>
    <t xml:space="preserve">Kasat Reskrim Polres Ngawi, AKP Khoirul Hidayat
</t>
  </si>
  <si>
    <t>p-1583-te</t>
  </si>
  <si>
    <t>Megawati Soekarnoputri</t>
  </si>
  <si>
    <t>p-1649-ti</t>
  </si>
  <si>
    <t xml:space="preserve">Komisioner KPAI Bidang Pendidikan Retno Listyarti
</t>
  </si>
  <si>
    <t>Petunjuk Pengerjaan</t>
  </si>
  <si>
    <t>1. Data yang diwarnai kuning = tanda dari coder bahwa data tersebut invalid</t>
  </si>
  <si>
    <r>
      <t xml:space="preserve">2. Data yang diwarnai merah = tanda dari verifikator bahwa data tersebut </t>
    </r>
    <r>
      <rPr>
        <b/>
        <i/>
      </rPr>
      <t>terkonfirmasi invalid</t>
    </r>
  </si>
  <si>
    <r>
      <t xml:space="preserve">3. Data yang diwarnai hijau = tanda dari verifikator bahwa data tersebut </t>
    </r>
    <r>
      <rPr>
        <b/>
        <i/>
      </rPr>
      <t>tidak terkonfirmasi invalid</t>
    </r>
    <r>
      <rPr>
        <i/>
      </rPr>
      <t xml:space="preserve">. </t>
    </r>
    <r>
      <t>Artinya, silakan lanjut mengerjakan pakai data tersebut.</t>
    </r>
  </si>
  <si>
    <r>
      <t xml:space="preserve">4. Data yang terkonfirmasi invalid (warna merah) = verifikator akan menggantikan dengan data baru. Periksa sheet "Data Pengganti" dengan melacak lewat "Kode Id". Coder harap memberikan </t>
    </r>
    <r>
      <rPr>
        <b/>
        <i/>
      </rPr>
      <t>warna ungu</t>
    </r>
    <r>
      <t xml:space="preserve"> pada data invalid yang sudah digantikan dengan data baru. Kalau ada data yang tidak ada penggantinya, harap diwarnai </t>
    </r>
    <r>
      <rPr>
        <b/>
        <i/>
      </rPr>
      <t>biru</t>
    </r>
    <r>
      <t>.</t>
    </r>
  </si>
  <si>
    <t>taget coding untuk semua cluster dikerjakan secara bersamaan, metode pengumpulan data untuk coder eksternal, metode distribusi dan coding data untuk coder eksternal</t>
  </si>
  <si>
    <t>DATA LAMA</t>
  </si>
  <si>
    <t>DATA PENGGANTI</t>
  </si>
  <si>
    <t>Id</t>
  </si>
  <si>
    <t>Media</t>
  </si>
  <si>
    <t>Hari</t>
  </si>
  <si>
    <t>Bulan</t>
  </si>
  <si>
    <t>Cluster</t>
  </si>
  <si>
    <t>Tanggal</t>
  </si>
  <si>
    <t>Panjang berita</t>
  </si>
  <si>
    <t>Link</t>
  </si>
  <si>
    <t>a-3-li</t>
  </si>
  <si>
    <t>Liputan6.com</t>
  </si>
  <si>
    <t>Rabu</t>
  </si>
  <si>
    <t>Januari</t>
  </si>
  <si>
    <t>Agama Marjinal</t>
  </si>
  <si>
    <t>agama marjinal</t>
  </si>
  <si>
    <t>LBH Bandung Protes Pembubaran Acara Peluncuran Buku Jemaah Ahmadiyah</t>
  </si>
  <si>
    <t>https://www.liputan6.com/regional/read/3865651/lbh-bandung-protes-pembubaran-acara-peluncuran-buku-jemaah-ahmadiyah</t>
  </si>
  <si>
    <t>Okezone.com</t>
  </si>
  <si>
    <t>Kamis</t>
  </si>
  <si>
    <t>Gak ada data pengganti</t>
  </si>
  <si>
    <t>Suara.com</t>
  </si>
  <si>
    <t>Jumat</t>
  </si>
  <si>
    <t>Februari</t>
  </si>
  <si>
    <t>Detik.com</t>
  </si>
  <si>
    <t>Sabtu</t>
  </si>
  <si>
    <t>Minggu</t>
  </si>
  <si>
    <t>CNNIndonesia.com</t>
  </si>
  <si>
    <t>Tirto.id</t>
  </si>
  <si>
    <t>a-266-su</t>
  </si>
  <si>
    <t>Maret</t>
  </si>
  <si>
    <t>Istilah Kafir Dihapus, Kiai Luthfi: Liberalis Mau Amandemen Alquran</t>
  </si>
  <si>
    <t>https://www.suara.com/news/2019/03/02/162358/istilah-kafir-dihapus-kiai-luthfi-liberalis-mau-amandemen-alquran</t>
  </si>
  <si>
    <t>a-270-de</t>
  </si>
  <si>
    <t>Begini Upacara Pemakaman bagi Penghayat Sapta Darma</t>
  </si>
  <si>
    <t>https://news.detik.com/berita/d-4451395/begini-upacara-pemakaman-bagi-penghayat-sapta-darma</t>
  </si>
  <si>
    <t>Selasa</t>
  </si>
  <si>
    <t>Senin</t>
  </si>
  <si>
    <t>April</t>
  </si>
  <si>
    <t>Republika.co.id</t>
  </si>
  <si>
    <t>Setelah Batal ke Medan, Prabowo Juga tak Jadi ke Aceh</t>
  </si>
  <si>
    <t>https://nasional.republika.co.id/berita/nasional/politik/ppeazb414/setelah-batal-ke-medan-prabowo-juga-tak-jadi-ke-aceh</t>
  </si>
  <si>
    <t>a-456-su</t>
  </si>
  <si>
    <t>DPR Luncurkan Website tentang Kebebasan Beragama dan Berkeyakinan</t>
  </si>
  <si>
    <t>https://microsite.suara.com/dpr/2019/04/01/140439/dpr-luncurkan-website-tentang-kebebasan-beragama-dan-berkeyakinan</t>
  </si>
  <si>
    <t>Suara.com - DPR terus membuat gebrakan baru guna memperkuat tradisi intelektual lembaga ini sebagai pusat ilmu pengetahuan tentang keparlemenan.Bekerja sama dengan ASEAN Parlimentarians for Human Right (APHR) dan National Democratic Instituite (NDI), Ketua DPR, Bambang Soesatyo meluncurkan perangkat bantu daring (online toolkit) tentang Kebebasan Beragama dan Berkeyakinan (KBB) yang bisa diakses di situs��www.forb-asia.org. Website tersebut juga akan ditautkan dalam situs resmi DPR di www.dpr.go.id."Dalam website tersebut terdapat berbagai materi yang berhubungan dengan hak asasi manusia, khususnya yang berhubungan dengan Kebebasan beragama dan berkeyakinan. Setiap anggota DPR dapat memanfaatkan perangkat bantu daring tersebut untuk membagikan berbagai pengalaman mereka tentang Indonesia. Meskipun majemuk dan plural dari sisi agama dan keyakinan, tapi rakyat Indonesia bisa hidup berdampingan secara damai dan harmonis," ujarnya, saat meluncurkan perangkat bantu daring KBB, di Gedung DPR RI, Jakarta, Senin (1/4/2019).Wakil Ketua Umum Pemuda Pancasila ini menjelaskan, semangat DPR mengkampanyekan kebebasan beragama dan berkeyakinan sejalan dengan semangat bangsa Indonesia dalam melindungi dan menjamin kebebasan rakyatnya memeluk agama dan beribadat sesuai ajaran agama yang diyakininya.Sebagaimana telah ditegaskan dalam konstitusi negara, Pasal 29 ayat 2 UUD 1945, bahwa negara menjamin kemerdekaan tiap-tiap penduduk untuk memeluk agama dan beribadah menurut agama dan kepercayaan mereka masing-masing."Jaminan konstitusi tersebut diperkuat lagi dengan UU No. 39/1999 tentang Hak Asasi Manusia, UU Nomor 13/2003 tentang Ketenagakerjaan, Pasal 175 Kitab Undang-Undang Hukum Pidana (KUHP), UU No. 12/2005 tentang Pengesahan Konvensi Internasional Hak Sipil dan Politik, maupun UU No. 40/2008 tentang penghapusan Diskriminasi Ras dan Etnis. Ini menunjukan, dari segi legal konstitusional, negara telah hadir mengayomi seluruh rakyat Indonesia untuk beragama dan berkeyakinan sesuai kepercayaan yang dianutnya," jelas Bamsoet.Legislator Dapil VII Jawa Tengah yang meliputi Kabupaten Purbalingga, Banjarnegara dan Kebumen ini menambahkan, selain dimanfaatkan untuk memberikan pengetahuan dan wawasan tentang kebebasan beragama dan berkeyakinan, daring tersebut juga bisa memberikan informasi sekaligus memperkuat jaringan setiap anggota DPR, sehingga antar anggota parlemen, khususnya dari kawasan Asia Tenggara, bisa saling membagikan pengalaman keberhasilan (best practise) di tingkat regional maupun internasional."Sejak dahulu, penganut agama dan aliran kepercayaan di Indonesia bisa hidup damai berdampingan, yang menjadikan Indonesia sebagai contoh bagi negara dunia betapa perbedaan agama dan keyakinan justru menguatkan pondasi kebangsaan. Bukan malah menjadi sumber pemicu perpecahan," papar Bamsoet.Berdasarkan Penetapan Presiden Nomor 1 Tahun 1965 dan Undang-Undang (UU) Nomor 5 tahun 1969, Kepala Badan Bela Negara FKPPI ini menerangkan, negara mengakui enam agama yang dianut oleh bangsa Indonesia, yakni Islam, Protestan, Katolik, Hindu, Buddha dan Khonghucu. Bahkan pada November 2017, Mahkamah Konstitusi telah mengakui keberadaan penganut aliran kepercayaan."Indonesia punya Pancasila yang mengayomi semua suku, agama, ras maupun golongan. Dalam kurun waktu lima tahun kepemimpinan Presiden Joko Widodo, hampir tidak ada gesekan antar pemeluk agama yang mengarah kepada disintegrasi bangsa. Memang harus diakui, masih ada beberapa insiden yang ditemukan di masyarakat lantaran adanya miskomunikasi dan kesalahpahaman, namun dengan dialog yang terbuka, semua bisa dikembalikan kepada semangat kebangsaan," pungkas Bamsoet.</t>
  </si>
  <si>
    <t>Tribunnews.com</t>
  </si>
  <si>
    <t>Mei</t>
  </si>
  <si>
    <t>a-533-li</t>
  </si>
  <si>
    <t>Muhamadiyah: Pembelaan pada Muslim Ahmadiyah Adalah Sikap Adil Umat Beragama</t>
  </si>
  <si>
    <t>https://www.liputan6.com/news/read/3969771/muhamadiyah-pembelaan-pada-muslim-ahmadiyah-adalah-sikap-adil-umat-beragama</t>
  </si>
  <si>
    <t>a-539-ok</t>
  </si>
  <si>
    <t>7 Aliran dalam Islam, Mayoritas Masih Eksis hingga Kini</t>
  </si>
  <si>
    <t>https://index.okezone.com/read/2019/05/15/614/2055778/7-aliran-dalam-islam-mayoritas-masih-eksis-hingga-kini</t>
  </si>
  <si>
    <t>Tempo.co</t>
  </si>
  <si>
    <t>gak ada data pengganti</t>
  </si>
  <si>
    <t>detik.com</t>
  </si>
  <si>
    <t>a-607-tr</t>
  </si>
  <si>
    <t>Demi Bhineka Tunggal Ika, Sudah 20 Tahun Istri Gus Dur Ny Sinta Gelar Sahur Bareng Umat Lintas Agama</t>
  </si>
  <si>
    <t>http://www.tribunnews.com/regional/2019/05/31/demi-bhineka-tunggal-ika-sudah-20-tahun-istri-gus-dur-ny-sinta-gelar-sahur-bareng-umat-lintas-agama</t>
  </si>
  <si>
    <t>Juni</t>
  </si>
  <si>
    <t>a-675-te</t>
  </si>
  <si>
    <t>agama Marjinal</t>
  </si>
  <si>
    <t>Tak Jadi Dieksekusi Mati, Remaja Arab Saudi Divonis 12 Tahun</t>
  </si>
  <si>
    <t>https://dunia.tempo.co/read/1215458/tak-jadi-dieksekusi-mati-remaja-arab-saudi-divonis-12-tahun</t>
  </si>
  <si>
    <t>a-680-de</t>
  </si>
  <si>
    <t>Wednesday</t>
  </si>
  <si>
    <t>berita</t>
  </si>
  <si>
    <t>Tradisi Azan Magrib Dua Kali di Lebanon</t>
  </si>
  <si>
    <t>https://news.detik.com/berita/d-4576804/tradisi-azan-magrib-dua-kali-di-lebanon</t>
  </si>
  <si>
    <t>republika.co.id</t>
  </si>
  <si>
    <t>Juli</t>
  </si>
  <si>
    <t>Kompas.com</t>
  </si>
  <si>
    <t>juli</t>
  </si>
  <si>
    <t>Agustus</t>
  </si>
  <si>
    <t>a-846-cn</t>
  </si>
  <si>
    <t>Monday</t>
  </si>
  <si>
    <t>nasional</t>
  </si>
  <si>
    <t>Lintas Agama Semarang Ingin Mbah Moen Jadi Pahlawan Nasional</t>
  </si>
  <si>
    <t>https://www.cnnindonesia.com/nasional/20190812203902-20-420708/lintas-agama-semarang-ingin-mbah-moen-jadi-pahlawan-nasional</t>
  </si>
  <si>
    <t>September</t>
  </si>
  <si>
    <t>d-425-te</t>
  </si>
  <si>
    <t>Disabilitas</t>
  </si>
  <si>
    <t>disabilitas</t>
  </si>
  <si>
    <t>Sunday</t>
  </si>
  <si>
    <t>metro sudut</t>
  </si>
  <si>
    <t>Siap Digunakan, JPO Senayan Jadi Incaran Netizen Berselfie</t>
  </si>
  <si>
    <t>https://metro.tempo.co/read/1164503/siap-digunakan-jpo-senayan-jadi-incaran-netizen-berselfie</t>
  </si>
  <si>
    <t>d-799-ok</t>
  </si>
  <si>
    <t>Friday</t>
  </si>
  <si>
    <t>family</t>
  </si>
  <si>
    <t>Nyanyikan Langsung untuk Ganjar, Carisa Si Bocah Tunanetra Dapat Pujian</t>
  </si>
  <si>
    <t>https://lifestyle.okezone.com/read/2019/01/11/196/2003285/nyanyikan-langsung-untuk-ganjar-carisa-si-bocah-tunanetra-dapat-pujian</t>
  </si>
  <si>
    <t>d-1351-cn</t>
  </si>
  <si>
    <t>Diduga Gangguan Jiwa, Oknum TNI AL Tusuk Tetangga di Koja</t>
  </si>
  <si>
    <t>https://www.cnnindonesia.com/nasional/20190111125340-12-360141/diduga-gangguan-jiwa-oknum-tni-al-tusuk-tetangga-di-koja</t>
  </si>
  <si>
    <t>a-50-te</t>
  </si>
  <si>
    <t>kabar pemilu</t>
  </si>
  <si>
    <t>Kontras Sebut Debat Capres Mirip Pemilihan Ketua OSIS</t>
  </si>
  <si>
    <t>https://pemilu.tempo.co/read/1164057/kontras-sebut-debat-capres-mirip-pemilihan-ketua-osis</t>
  </si>
  <si>
    <t>a-315-de</t>
  </si>
  <si>
    <t>abc-australia</t>
  </si>
  <si>
    <t>Mengapa Selalu Saja Ada Orang yang Mengaku Nabi di Indonesia?</t>
  </si>
  <si>
    <t>https://news.detik.com/abc-australia/d-4465345/mengapa-selalu-saja-ada-orang-yang-mengaku-nabi-di-indonesia</t>
  </si>
  <si>
    <t>tribunnews.com</t>
  </si>
  <si>
    <t>Tuesday</t>
  </si>
  <si>
    <t>Partai-partai Seharusnya Juga Diberi Kesempatan Debat untuk Adu Gagasan</t>
  </si>
  <si>
    <t>https://nasional.kompas.com/read/2019/03/12/09305941/partai-partai-seharusnya-juga-diberi-kesempatan-debat-untuk-adu-gagasan</t>
  </si>
  <si>
    <t>a-482-de</t>
  </si>
  <si>
    <t>Thursday</t>
  </si>
  <si>
    <t>bbc-world</t>
  </si>
  <si>
    <t>PBB Desak Arab Saudi Tunda Semua Rencana Eksekusi Hukuman Mati</t>
  </si>
  <si>
    <t>https://news.detik.com/bbc-world/d-4523945/pbb-desak-arab-saudi-tunda-semua-rencana-eksekusi-hukuman-mati</t>
  </si>
  <si>
    <t>a-632-ok</t>
  </si>
  <si>
    <t>serba-serbi</t>
  </si>
  <si>
    <t>Kontroversi Zakir Naik, Penceramah Kondang yang Bikin Malaysia dan India 'Memanas'</t>
  </si>
  <si>
    <t>https://index.okezone.com/read/2019/06/13/614/2065994/kontroversi-zakir-naik-penceramah-kondang-yang-bikin-malaysia-dan-india-memanas</t>
  </si>
  <si>
    <t>a-700-su</t>
  </si>
  <si>
    <t>news</t>
  </si>
  <si>
    <t>Indonesia Akhirnya Akui dan Atur Pernikahan Umat Penghayat Kepercayaan</t>
  </si>
  <si>
    <t>https://www.suara.com/news/2019/07/23/181552/indonesia-akhirnya-akui-dan-atur-pernikahan-umat-penghayat-kepercayaan</t>
  </si>
  <si>
    <t>a-63-ko</t>
  </si>
  <si>
    <t>Debat Capres Diharapkan Angkat Isu Perlindungan Hak Kelompok Minoritas</t>
  </si>
  <si>
    <t>https://nasional.kompas.com/read/2019/01/10/06114071/debat-capres-diharapkan-angkat-isu-perlindungan-hak-kelompok-minoritas</t>
  </si>
  <si>
    <t>a-255-su</t>
  </si>
  <si>
    <t>Rasa Toleransi di Upacara Tawur Kasanga Jelang Nyepi di Blitar</t>
  </si>
  <si>
    <t>https://www.suara.com/news/2019/03/06/151826/rasa-toleransi-di-upacara-tawur-kasanga-jelang-nyepi-di-blitar</t>
  </si>
  <si>
    <t xml:space="preserve">a-109-tr
</t>
  </si>
  <si>
    <t>umum</t>
  </si>
  <si>
    <t>Dirjen Dukcapil Bantah Isu Kolom Agama pada KTP-el Dihapus</t>
  </si>
  <si>
    <t>http://www.tribunnews.com/nasional/2019/02/28/dirjen-dukcapil-bantah-isu-kolom-agama-pada-ktp-el-dihapus</t>
  </si>
  <si>
    <t>d-2387-cn</t>
  </si>
  <si>
    <t>gaya-hidup</t>
  </si>
  <si>
    <t>Menguji Fasilitas Kursi Roda di Jakarta</t>
  </si>
  <si>
    <t>https://www.cnnindonesia.com/gaya-hidup/20190224112311-269-372163/menguji-fasilitas-kursi-roda-di-jakarta</t>
  </si>
  <si>
    <t>d-2452-li</t>
  </si>
  <si>
    <t>citizen6</t>
  </si>
  <si>
    <t>Alih-Alih Sembuh, Bayi Malang Buta Permanen Setelah Operasi</t>
  </si>
  <si>
    <t>https://www.liputan6.com/citizen6/read/3889513/alih-alih-sembuh-bayi-malang-buta-permanen-setelah-operasi</t>
  </si>
  <si>
    <t>d-853-de</t>
  </si>
  <si>
    <t>2019-01-19</t>
  </si>
  <si>
    <t>Saturday</t>
  </si>
  <si>
    <t>Sudah Lama Mati, Hotline Cegah Bunuh Diri Akan Dihidupkan Lagi</t>
  </si>
  <si>
    <t xml:space="preserve">https://news.detik.com/berita/d-4391652/sudah-lama-mati-hotline-cegah-bunuh-diri-akan-dihidupkan-lagi </t>
  </si>
  <si>
    <t>d-1152-su</t>
  </si>
  <si>
    <t>lifestyle</t>
  </si>
  <si>
    <t>Pengguna Kursi Roda Dilarang Naik Pesawat !</t>
  </si>
  <si>
    <t>https://www.suara.com/lifestyle/2019/01/29/100500/pengguna-kursi-roda-dilarang-naik-pesawat</t>
  </si>
  <si>
    <t>d-1174-tr</t>
  </si>
  <si>
    <t>jawa &amp; bali</t>
  </si>
  <si>
    <t>Seorang Kakek Tak Beridentitas Tiba-tiba Ambruk lalu Meninggal di Jalan Raya Babat-Bojonegoro</t>
  </si>
  <si>
    <t>http://www.tribunnews.com/regional/2019/01/15/seorang-kakek-tak-beridentitas-tiba-tiba-ambruk-lalu-meninggal-di-jalan-raya-babat-bojonegoro</t>
  </si>
  <si>
    <t>d-1821-tr</t>
  </si>
  <si>
    <t>kriminal</t>
  </si>
  <si>
    <t>Pria Diduga Mengidap Gangguan Jiwa Aniaya Bayi 2 Tahun Hingga Tewas di Pasar Rebo</t>
  </si>
  <si>
    <t>http://www.tribunnews.com/metropolitan/2019/01/03/pria-diduga-mengidap-gangguan-jiwa-aniaya-bayi-2-tahun-hingga-tewas-di-pasar-rebo</t>
  </si>
  <si>
    <t>a-85-te</t>
  </si>
  <si>
    <t>tempo.co</t>
  </si>
  <si>
    <t>kesra</t>
  </si>
  <si>
    <t>Pemerintah Bandung Terbitkan KTP Pertama untuk Penghayat</t>
  </si>
  <si>
    <t>https://nasional.tempo.co/read/1178219/pemerintah-bandung-terbitkan-ktp-pertama-untuk-penghayat</t>
  </si>
  <si>
    <t>a-96-ok</t>
  </si>
  <si>
    <t>Soal Kolom Penghayat Kepercayaan di E-KTP, JK: Mereka Juga Orang Indonesia</t>
  </si>
  <si>
    <t>https://news.okezone.com/read/2019/02/26/337/2023119/soal-kolom-penghayat-kepercayaan-di-e-ktp-jk-mereka-juga-orang-indonesia</t>
  </si>
  <si>
    <t>a-117-ko</t>
  </si>
  <si>
    <t>Wapres Kalla Ingatkan agar Hak Kependudukan Penghayat Kepercayaan Tak Dihalangi</t>
  </si>
  <si>
    <t>https://nasional.kompas.com/read/2019/02/27/09234291/wapres-kalla-ingatkan-agar-hak-kependudukan-penghayat-kepercayaan-tak</t>
  </si>
  <si>
    <t>a-342-cn</t>
  </si>
  <si>
    <t>Kolom Agama KTP Warga Baduy Diisi Penganut Kepercayaan</t>
  </si>
  <si>
    <t>https://www.cnnindonesia.com/nasional/20190313140835-32-376888/kolom-agama-ktp-warga-baduy-diisi-penganut-kepercayaan</t>
  </si>
  <si>
    <t>a-391-re</t>
  </si>
  <si>
    <t>news-analysis</t>
  </si>
  <si>
    <t>Muslim Sri Lanka Berjuang Tepis Tudingan</t>
  </si>
  <si>
    <t>https://nasional.republika.co.id/berita/nasional/news-analysis/pqjkrd415/muslim-sri-lanka-berjuang-tepis-tudingan</t>
  </si>
  <si>
    <t xml:space="preserve">Minggu </t>
  </si>
  <si>
    <t>d-2329-su</t>
  </si>
  <si>
    <t>Kabar Baik, Machu Piccu Bisa Diakses Pengunjung Berkursi Roda</t>
  </si>
  <si>
    <t>https://www.suara.com/lifestyle/2019/02/01/133702/kabar-baik-machu-piccu-bisa-diakses-pengunjung-berkursi-roda</t>
  </si>
  <si>
    <t>d-2351-li</t>
  </si>
  <si>
    <t>health</t>
  </si>
  <si>
    <t>Kusta Bukan Penyakit Kutukan dari Dewa, Juga Bukan karena Keturunan</t>
  </si>
  <si>
    <t>https://www.liputan6.com/health/read/3890746/kusta-bukan-penyakit-kutukan-dari-dewa-juga-bukan-karena-keturunan</t>
  </si>
  <si>
    <t>d-2554-ko</t>
  </si>
  <si>
    <t>regional</t>
  </si>
  <si>
    <t>Pengidap Gangguang Jiwa Mengamuk, Kades dan Warganya Dibacok</t>
  </si>
  <si>
    <t>https://regional.kompas.com/read/2019/02/13/15354131/pengidap-gangguang-jiwa-mengamuk-kades-dan-warganya-dibacok</t>
  </si>
  <si>
    <t>olahraga lain</t>
  </si>
  <si>
    <t>Ada Penghargaan Atlet Disabilitas dI Anugerah Olahraga SIWO PWI</t>
  </si>
  <si>
    <t>https://sport.tempo.co/read/1172315/ada-penghargaan-atlet-disabilitas-di-anugerah-olahraga-siwo-pwi</t>
  </si>
  <si>
    <t>d-3126-te</t>
  </si>
  <si>
    <t>rehabilitasi</t>
  </si>
  <si>
    <t>Ternyata Anak Jenius Masuk Anak Berkebutuhan Khusus</t>
  </si>
  <si>
    <t>https://difabel.tempo.co/read/1180487/ternyata-anak-jenius-masuk-anak-berkebutuhan-khusus</t>
  </si>
  <si>
    <t>d-3570-ti</t>
  </si>
  <si>
    <t>politik</t>
  </si>
  <si>
    <t>KPU Diminta Lebih Perhatian ke Pemilih Penyandang Disabilitas</t>
  </si>
  <si>
    <t>https://tirto.id/kpu-diminta-lebih-perhatian-ke-pemilih-penyandang-disabilitas-dg2s</t>
  </si>
  <si>
    <t>d-5432-tr</t>
  </si>
  <si>
    <t>Dibuka hingga 17 Maret, Simak Alur Pendaftaran Rekrutmen Bersama BUMN 2019!</t>
  </si>
  <si>
    <t>http://www.tribunnews.com/section/2019/03/10/dibuka-hingga-17-maret-simak-alur-pendaftaran-rekrutmen-bersama-bumn-2019</t>
  </si>
  <si>
    <t>d-5540-de</t>
  </si>
  <si>
    <t>berita-jawa-timur</t>
  </si>
  <si>
    <t>Kaget, Pria Berbaju Lusuh Ini Bawa Satu Karung Uang Koin</t>
  </si>
  <si>
    <t>https://news.detik.com/berita-jawa-timur/d-4464399/kaget-pria-berbaju-lusuh-ini-bawa-satu-karung-uang-koin</t>
  </si>
  <si>
    <t>d-6104-ok</t>
  </si>
  <si>
    <t>kampus</t>
  </si>
  <si>
    <t>13 Anak Didik Disabilitas Ikuti USBN</t>
  </si>
  <si>
    <t>https://news.okezone.com/read/2019/03/18/65/2031561/13-anak-didik-disabilitas-ikuti-usbn</t>
  </si>
  <si>
    <t>d-6123-su</t>
  </si>
  <si>
    <t>read</t>
  </si>
  <si>
    <t>Kisah Keluarga Bocah Terpasung: Ibunya Penyakitan, Sang Ayah Doyan Ngutang</t>
  </si>
  <si>
    <t>https://banten.suara.com/read/2019/03/15/135237/kisah-keluarga-bocah-terpasung-ibunya-penyakitan-sang-ayah-doyan-ngutang</t>
  </si>
  <si>
    <t>d-7402-li</t>
  </si>
  <si>
    <t>Kisah Pilu Bayi Hasil Sewa Rahim, Dibuang Karena Alami Kondisi Ini</t>
  </si>
  <si>
    <t>https://hot.liputan6.com/read/3937756/kisah-pilu-bayi-hasil-sewa-rahim-dibuang-karena-alami-kondisi-ini</t>
  </si>
  <si>
    <t>d-8297-li</t>
  </si>
  <si>
    <t>HEADLINE: Kisah Caleg Gagal di Pemilu 2019, Siap Menang tapi Tak Siap Kalah</t>
  </si>
  <si>
    <t>https://www.liputan6.com/news/read/3951152/headline-kisah-caleg-gagal-di-pemilu-2019-siap-menang-tapi-tak-siap-kalah</t>
  </si>
  <si>
    <t>d-8419-cn</t>
  </si>
  <si>
    <t>Dokter Jiwa: Hak Pilih Bagi Gangguan Jiwa Sudah Sejak '95</t>
  </si>
  <si>
    <t>https://www.cnnindonesia.com/nasional/20190408090548-32-384176/dokter-jiwa-hak-pilih-bagi-gangguan-jiwa-sudah-sejak-95</t>
  </si>
  <si>
    <t>d-419-su</t>
  </si>
  <si>
    <t>Perkosa Perempuan Difabel, Guru Honerer Ini Berakhir Dibui</t>
  </si>
  <si>
    <t>https://www.suara.com/news/2019/01/27/153338/perkosa-perempuan-difabel-guru-honerer-ini-berakhir-dibui</t>
  </si>
  <si>
    <t>d-514-de</t>
  </si>
  <si>
    <t>Balita di Aceh Tinggal Serumah dengan Ayah yang Gangguan Jiwa</t>
  </si>
  <si>
    <t>https://news.detik.com/berita/d-4395568/balita-di-aceh-tinggal-serumah-dengan-ayah-yang-gangguan-jiwa</t>
  </si>
  <si>
    <t>d-1477-cn</t>
  </si>
  <si>
    <t>GK Pengusaha Deklarasi Dukungan untuk Jokowi-Ma'ruf</t>
  </si>
  <si>
    <t>https://www.cnnindonesia.com/nasional/20190113162842-32-360472/gk-pengusaha-deklarasi-dukungan-untuk-jokowi-maruf</t>
  </si>
  <si>
    <t>d-1893-ko</t>
  </si>
  <si>
    <t>Harapan Terwujud, Bocah Dinda yang Lumpuh Layu sejak Kecil Bisa Sekolah</t>
  </si>
  <si>
    <t>https://regional.kompas.com/read/2019/01/19/11183911/harapan-terwujud-bocah-dinda-yang-lumpuh-layu-sejak-kecil-bisa-sekolah</t>
  </si>
  <si>
    <t>d-2228-ko</t>
  </si>
  <si>
    <t>internasional</t>
  </si>
  <si>
    <t>Perawat di AS yang Hamili Pasien Vegetatif Ditangkap</t>
  </si>
  <si>
    <t>https://internasional.kompas.com/read/2019/01/24/14365571/perawat-di-as-yang-hamili-pasien-vegetatif-ditangkap</t>
  </si>
  <si>
    <t>d-2835-te</t>
  </si>
  <si>
    <t>Ganjar Pranowo Duga Pelaku Teror Terima Pesan dari Seseorang</t>
  </si>
  <si>
    <t>https://nasional.tempo.co/read/1177300/ganjar-pranowo-duga-pelaku-teror-terima-pesan-dari-seseorang</t>
  </si>
  <si>
    <t>d-3304-tr</t>
  </si>
  <si>
    <t>sumatera</t>
  </si>
  <si>
    <t>Gadis Difabel Ini Ternyata Pernah Dirudapaksa Ayah Bersama Kakak-Adik Kandungnya Secara Bergiliran</t>
  </si>
  <si>
    <t>http://www.tribunnews.com/regional/2019/02/24/gadis-difabel-ini-ternyata-pernah-dirudapaksa-ayah-bersama-kakak-adik-kandungnya-secara-bergiliran</t>
  </si>
  <si>
    <t>d-3436-de</t>
  </si>
  <si>
    <t>Kala Mantan Penderita Gangguan Mental Reuni</t>
  </si>
  <si>
    <t>https://news.detik.com/berita-jawa-timur/d-4436177/kala-mantan-penderita-gangguan-mental-reuni</t>
  </si>
  <si>
    <t>d-3593-ko</t>
  </si>
  <si>
    <t>megapolitan</t>
  </si>
  <si>
    <t>DKI Akan Buat Trotoar di Gatot Subroto Ramah Penyandang Disabilitas</t>
  </si>
  <si>
    <t>https://megapolitan.kompas.com/read/2019/02/08/20393731/dki-akan-buat-trotoar-di-gatot-subroto-ramah-penyandang-disabilitas</t>
  </si>
  <si>
    <t>d-3800-su</t>
  </si>
  <si>
    <t>Selain Perkosa Kakak yang Difabel, Sang Adik Pernah Cabuli Kambing Tetangga</t>
  </si>
  <si>
    <t>https://www.suara.com/news/2019/02/25/161429/selain-perkosa-kakak-yang-difabel-sang-adik-pernah-cabuli-kambing-tetangga</t>
  </si>
  <si>
    <t>d-3883-su</t>
  </si>
  <si>
    <t>Orangtua Bocah yang Ditemukan Tewas di Blitar Alami Keterbelakangan Mental</t>
  </si>
  <si>
    <t>https://www.suara.com/news/2019/02/26/181511/orangtua-bocah-yang-ditemukan-tewas-di-blitar-alami-keterbelakangan-mental</t>
  </si>
  <si>
    <t>d-4061-ko</t>
  </si>
  <si>
    <t>Status Hukum Pelaku Penusukan di Halte Transjakarta Tunggu Hasil Pemeriksaan Kejiwaan</t>
  </si>
  <si>
    <t>https://megapolitan.kompas.com/read/2019/03/15/12121511/status-hukum-pelaku-penusukan-di-halte-transjakarta-tunggu-hasil</t>
  </si>
  <si>
    <t>d-4257-li</t>
  </si>
  <si>
    <t>Sosok Inspiratif, Dea Valencia Pengusaha Muda Pemilik Batik Kultur</t>
  </si>
  <si>
    <t>https://www.liputan6.com/lifestyle/read/3924460/sosok-inspiratif-dea-valencia-pengusaha-muda-pemilik-batik-kultur</t>
  </si>
  <si>
    <t>d-4445-ok</t>
  </si>
  <si>
    <t>nusantara</t>
  </si>
  <si>
    <t>Audi Tewas Usai Loncat dari Jembatan di Manado</t>
  </si>
  <si>
    <t>https://news.okezone.com/read/2019/03/20/340/2032667/audi-tewas-usai-loncat-dari-jembatan-di-manado</t>
  </si>
  <si>
    <t>d-5328-ko</t>
  </si>
  <si>
    <t>Cerita Cheta, Penyandang Disabilitas, Jajal MRT</t>
  </si>
  <si>
    <t>https://megapolitan.kompas.com/read/2019/03/16/20555471/cerita-cheta-penyandang-disabilitas-jajal-mrt</t>
  </si>
  <si>
    <t>d-5430-ti</t>
  </si>
  <si>
    <t>kesehatan</t>
  </si>
  <si>
    <t>Bagaimana Mendeteksi dan Mencegah Gangguan Pendengaran</t>
  </si>
  <si>
    <t>https://tirto.id/bagaimana-mendeteksi-dan-mencegah-gangguan-pendengaran-difi</t>
  </si>
  <si>
    <t>d-6054-te</t>
  </si>
  <si>
    <t>Prabowo: Kita Lebaran di TPS, Jangan Sampai Tuyul Nyoblos</t>
  </si>
  <si>
    <t>https://nasional.tempo.co/read/1186291/prabowo-kita-lebaran-di-tps-jangan-sampai-tuyul-nyoblos</t>
  </si>
  <si>
    <t>d-6316-tr</t>
  </si>
  <si>
    <t>2019-03-20</t>
  </si>
  <si>
    <t>Antisipasi Ada Caleg Gangguan Jiwa Pasca-Pemilu, RSUD Purwakarta Siapkan 2 Dokter Spesialis</t>
  </si>
  <si>
    <t xml:space="preserve">http://www.tribunnews.com/nasional/2019/03/20/antisipasi-ada-caleg-gangguan-jiwa-pasca-pemilu-rsud-purwakarta-siapkan-2-dokter-spesialis </t>
  </si>
  <si>
    <t>a-12-we</t>
  </si>
  <si>
    <t>a-7-de</t>
  </si>
  <si>
    <t>2019-01-04</t>
  </si>
  <si>
    <t>Imam Istiqlal Tanya Calon Hakim Agung soal Pernikahan Pemeluk Ahmadiyah</t>
  </si>
  <si>
    <t xml:space="preserve">https://news.detik.com/berita/d-4371398/imam-istiqlal-tanya-calon-hakim-agung-soal-pernikahan-pemeluk-ahmadiyah </t>
  </si>
  <si>
    <t>okezone.com</t>
  </si>
  <si>
    <t>-</t>
  </si>
  <si>
    <t>Artikel hilang</t>
  </si>
  <si>
    <t>a-379-ok</t>
  </si>
  <si>
    <t>2019-04-03</t>
  </si>
  <si>
    <t>Penghayat Kepercayaan Masih Sulit Revisi Kolom Agama di KTP</t>
  </si>
  <si>
    <t xml:space="preserve">https://news.okezone.com/read/2019/04/03/337/2038539/penghayat-kepercayaan-masih-sulit-revisi-kolom-agama-di-ktp </t>
  </si>
  <si>
    <t>a-240-su</t>
  </si>
  <si>
    <t>2019-03-18</t>
  </si>
  <si>
    <t>Penghayat Kepercayaan di Klaten Bisa Ubah Kolom Agama</t>
  </si>
  <si>
    <t xml:space="preserve">https://jateng.suara.com/read/2019/03/18/132745/penghayat-kepercayaan-di-klaten-bisa-ubah-kolom-agama </t>
  </si>
  <si>
    <t>a-319-te</t>
  </si>
  <si>
    <t>2019-03-14</t>
  </si>
  <si>
    <t>Di Jawa Barat Baru 6 Orang Kantungi KTP Berkolom Penghayat</t>
  </si>
  <si>
    <t xml:space="preserve">https://nasional.tempo.co/read/1185272/di-jawa-barat-baru-6-orang-kantungi-ktp-berkolom-penghayat </t>
  </si>
  <si>
    <t>kompas.com</t>
  </si>
  <si>
    <t>a-170-su</t>
  </si>
  <si>
    <t>2019-02-27</t>
  </si>
  <si>
    <t>Ini Cara Urus e-KTP Bagi Penghayat Kepercayaan</t>
  </si>
  <si>
    <t xml:space="preserve">https://www.suara.com/news/2019/02/27/164729/ini-cara-urus-e-ktp-bagi-penghayat-kepercayaan </t>
  </si>
  <si>
    <t>gak ada pengganti</t>
  </si>
  <si>
    <t>a-589-de</t>
  </si>
  <si>
    <t>2019-05-11</t>
  </si>
  <si>
    <t>dw</t>
  </si>
  <si>
    <t>Azerbaijan, Tanah Toleransi Beragama</t>
  </si>
  <si>
    <t xml:space="preserve">https://news.detik.com/dw/d-4545510/azerbaijan-tanah-toleransi-beragama </t>
  </si>
  <si>
    <t>a-618-ko</t>
  </si>
  <si>
    <t>2019-06-09</t>
  </si>
  <si>
    <t>Lebaran di Pengungsian, Jemaah Ahmadiyah Rindu Kampung Halaman</t>
  </si>
  <si>
    <t xml:space="preserve">https://regional.kompas.com/read/2019/06/09/16070261/lebaran-di-pengungsian-jemaah-ahmadiyah-rindu-kampung-halaman </t>
  </si>
  <si>
    <t>a-644-re</t>
  </si>
  <si>
    <t>2019-06-15</t>
  </si>
  <si>
    <t>2 Warga Yogyakarta Ajukan Penghayat Kepercayaan di KTP</t>
  </si>
  <si>
    <t xml:space="preserve">https://nasional.republika.co.id/berita/nasional/umum/pt56gy320/2-warga-yogyakarta-ajukan-penghayat-kepercayaan-di-ktp </t>
  </si>
  <si>
    <t>a-671-de</t>
  </si>
  <si>
    <t>2019-06-01</t>
  </si>
  <si>
    <t>Transformasi Modernitas di Saudi Dalam Balutan Perseteruan dengan Iran</t>
  </si>
  <si>
    <t xml:space="preserve">https://news.detik.com/dw/d-4572783/transformasi-modernitas-di-saudi-dalam-balutan-perseteruan-dengan-iran </t>
  </si>
  <si>
    <t>2019-07-09</t>
  </si>
  <si>
    <t>global</t>
  </si>
  <si>
    <t>Hadiri Konferensi Muslim di Kanada, Justin Trudeau Tekankan Pentingnya Perdamaian</t>
  </si>
  <si>
    <t xml:space="preserve">https://www.liputan6.com/global/read/4008080/hadiri-konferensi-muslim-di-kanada-justin-trudeau-tekankan-pentingnya-perdamaian </t>
  </si>
  <si>
    <t>Gak ada penggantinya</t>
  </si>
  <si>
    <t>a-788-de</t>
  </si>
  <si>
    <t>2019-07-29</t>
  </si>
  <si>
    <t>Bahrain Eksekusi Mati 2 Warga Syiah, Iran Mengecam Keras</t>
  </si>
  <si>
    <t xml:space="preserve">https://news.detik.com/internasional/d-4643375/bahrain-eksekusi-mati-2-warga-syiah-iran-mengecam-keras </t>
  </si>
  <si>
    <t>d-7832-li</t>
  </si>
  <si>
    <t>4 Jenis Autisme Pada Anak yang Perlu Diketahui, Ada yang Punya Teman Imajinatif</t>
  </si>
  <si>
    <t xml:space="preserve">https://hot.liputan6.com/read/3952572/4-jenis-autisme-pada-anak-yang-perlu-diketahui-ada-yang-punya-teman-imajinatif </t>
  </si>
  <si>
    <t>d-8229-tr</t>
  </si>
  <si>
    <t>2019-04-25</t>
  </si>
  <si>
    <t>health &amp; concerns</t>
  </si>
  <si>
    <t>Orang yang Suka Pamerkan Organ Intimnya Alami Gangguan Jiwa</t>
  </si>
  <si>
    <t xml:space="preserve">http://www.tribunnews.com/kesehatan/2019/04/25/orang-yang-suka-pamerkan-organ-intimnya-alami-gangguan-jiwa </t>
  </si>
  <si>
    <t>d-8466-ok</t>
  </si>
  <si>
    <t>international</t>
  </si>
  <si>
    <t>Pelaut Buta Jepang Catat Rekor dengan Berlayar Lintasi Pasifik Tanpa Henti</t>
  </si>
  <si>
    <t>https://news.okezone.com/read/2019/04/22/18/2046333/pelaut-buta-jepang-catat-rekor-dengan-berlayar-lintasi-pasifik-tanpa-henti</t>
  </si>
  <si>
    <t>Jangan Salah Paham, Tak Semua Orang dengan Gangguan Jiwa Bisa Mencoblos</t>
  </si>
  <si>
    <t xml:space="preserve">https://nasional.kompas.com/read/2019/03/21/20260691/jangan-salah-paham-tak-semua-orang-dengan-gangguan-jiwa-bisa-mencoblos </t>
  </si>
  <si>
    <t>d-5722-ti</t>
  </si>
  <si>
    <t>hukum</t>
  </si>
  <si>
    <t>KUHAP Jadi Sumber Masalah di Balik Sidang Wendra Purnama</t>
  </si>
  <si>
    <t xml:space="preserve">https://tirto.id/kuhap-jadi-sumber-masalah-di-balik-sidang-wendra-purnama-dkmu </t>
  </si>
  <si>
    <t>d-6828-de</t>
  </si>
  <si>
    <t>diet</t>
  </si>
  <si>
    <t>Suara Pengidap Gangguan Jiwa Menangkan Jokowi-Ma'ruf di TPS Ini</t>
  </si>
  <si>
    <t xml:space="preserve">https://health.detik.com/diet/d-4514761/suara-pengidap-gangguan-jiwa-menangkan-jokowi-maruf-di-tps-ini </t>
  </si>
  <si>
    <t>d-7336-re</t>
  </si>
  <si>
    <t>2019-04-08</t>
  </si>
  <si>
    <t>info-sehat</t>
  </si>
  <si>
    <t>ODGJ Dipastikan Miliki Kesempatan Memilih yang Sama</t>
  </si>
  <si>
    <t xml:space="preserve">https://gayahidup.republika.co.id/berita/gaya-hidup/info-sehat/ppm9h7328/odgj-dipastikan-miliki-kesempatan-memilih-yang-sama </t>
  </si>
  <si>
    <t>d-8889-ti</t>
  </si>
  <si>
    <t>Kampanye PKS Singgung Disabilitas, Aliansi: Kok Dijadikan Lelucon?</t>
  </si>
  <si>
    <t xml:space="preserve">https://tirto.id/kampanye-pks-singgung-disabilitas-aliansi-kok-dijadikan-lelucon-dlgw </t>
  </si>
  <si>
    <t>2019-02-13</t>
  </si>
  <si>
    <t>Idap Sindrom Tetra-Amelia, Bayi Ini Lahir Tanpa Tangan dan Kaki</t>
  </si>
  <si>
    <t xml:space="preserve">https://www.suara.com/health/2019/02/13/154332/idap-sindrom-tetra-amelia-bayi-ini-lahir-tanpa-tangan-dan-kaki </t>
  </si>
  <si>
    <t>d-3693-te</t>
  </si>
  <si>
    <t>2019-02-09</t>
  </si>
  <si>
    <t>inklusivitas</t>
  </si>
  <si>
    <t>Riset: Penyandang Disabilitas Pria Lebih Rentan Bunuh Diri</t>
  </si>
  <si>
    <t xml:space="preserve">https://difabel.tempo.co/read/1173806/riset-penyandang-disabilitas-pria-lebih-rentan-bunuh-diri </t>
  </si>
  <si>
    <t>d-3722-ko</t>
  </si>
  <si>
    <t>2019-02-17</t>
  </si>
  <si>
    <t>Mayat Tanpa Identitas dan Sudah Membusuk, Ditemukan Warga di Area Persawahan</t>
  </si>
  <si>
    <t xml:space="preserve">https://regional.kompas.com/read/2019/02/17/08001341/mayat-tanpa-identitas-dan-sudah-membusuk-ditemukan-warga-di-area-persawahan </t>
  </si>
  <si>
    <t>d-4708-su</t>
  </si>
  <si>
    <t xml:space="preserve">Maret </t>
  </si>
  <si>
    <t>2019-03-09</t>
  </si>
  <si>
    <t>bisnis</t>
  </si>
  <si>
    <t>Catat! Ini Persyaratan Melamar 11.000 Lowongan Kerja BUMN</t>
  </si>
  <si>
    <t xml:space="preserve">https://www.suara.com/bisnis/2019/03/09/205240/catat-ini-persyaratan-melamar-11000-lowongan-kerja-bumn </t>
  </si>
  <si>
    <t>d-4824-te</t>
  </si>
  <si>
    <t xml:space="preserve">Senin </t>
  </si>
  <si>
    <t>2019-03-25</t>
  </si>
  <si>
    <t>layanan publik</t>
  </si>
  <si>
    <t>Akses Integrasi MRT dan Transjakarta Tak Ramah Disabilitas</t>
  </si>
  <si>
    <t xml:space="preserve">https://metro.tempo.co/read/1188943/akses-integrasi-mrt-dan-transjakarta-tak-ramah-disabilitas </t>
  </si>
  <si>
    <t>[teks kosong] tipe artikel gambar / video</t>
  </si>
  <si>
    <t>d-4938-re</t>
  </si>
  <si>
    <t>a-790-de</t>
  </si>
  <si>
    <t>2019-07-23</t>
  </si>
  <si>
    <t>Jalan Berliku Penghayat: Ikut Dirikan RI, Didiskriminasi, Kini Diakui Jokowi</t>
  </si>
  <si>
    <t xml:space="preserve">https://news.detik.com/berita/d-4636261/jalan-berliku-penghayat-ikut-dirikan-ri-didiskriminasi-kini-diakui-jokowi </t>
  </si>
  <si>
    <t>liputan6.com</t>
  </si>
  <si>
    <t>tirto.id</t>
  </si>
  <si>
    <t>d-450-ko</t>
  </si>
  <si>
    <t>2019-01-14</t>
  </si>
  <si>
    <t>Komentar Timses Jokowi soal Prabowo Akan Mundur jika Ada Kecurangan Pemilu</t>
  </si>
  <si>
    <t xml:space="preserve">https://nasional.kompas.com/read/2019/01/14/14130611/komentar-timses-jokowi-soal-prabowo-akan-mundur-jika-ada-kecurangan-pemilu </t>
  </si>
  <si>
    <t>maret</t>
  </si>
  <si>
    <t>suara.com</t>
  </si>
  <si>
    <t>d-1029-te</t>
  </si>
  <si>
    <t>sudut capres</t>
  </si>
  <si>
    <t>Pernyataan Prabowo akan Mundur, Timses Jokowi: Upaya Delegitimasi</t>
  </si>
  <si>
    <t xml:space="preserve">https://pilpres.tempo.co/read/1164817/pernyataan-prabowo-akan-mundur-timses-jokowi-upaya-delegitimasi </t>
  </si>
  <si>
    <t>d-486-su</t>
  </si>
  <si>
    <t>2019-01-07</t>
  </si>
  <si>
    <t>wawancara</t>
  </si>
  <si>
    <t>Triyono: Pencetus Ojek Online Difabel Pertama di Dunia - Bagian 1</t>
  </si>
  <si>
    <t xml:space="preserve">https://www.suara.com/wawancara/2019/01/07/172614/triyono-pencetus-ojek-online-difabel-pertama-di-dunia </t>
  </si>
  <si>
    <t>d-560-te</t>
  </si>
  <si>
    <t>2019-01-08</t>
  </si>
  <si>
    <t>aksesibilitas</t>
  </si>
  <si>
    <t>Mesin Ketik Perkins, Alat Pembuat Huruf Braille</t>
  </si>
  <si>
    <t xml:space="preserve">https://difabel.tempo.co/read/1162584/mesin-ketik-perkins-alat-pembuat-huruf-braille </t>
  </si>
  <si>
    <t>d-3689-su</t>
  </si>
  <si>
    <t>2019-02-23</t>
  </si>
  <si>
    <t>Bera Ivanishvili, Model Albino Paling Ganteng Sejagat Raya</t>
  </si>
  <si>
    <t xml:space="preserve">https://www.suara.com/lifestyle/2019/02/23/132623/bera-ivanishvili-model-albino-paling-ganteng-sejagat-raya </t>
  </si>
  <si>
    <t>d-3319-ko</t>
  </si>
  <si>
    <t>2019-02-18</t>
  </si>
  <si>
    <t>Mesin Notula, Mentranskrip Semua Dialog dalam Debat Pilpres 2019</t>
  </si>
  <si>
    <t xml:space="preserve">https://nasional.kompas.com/read/2019/02/18/15314681/mesin-notula-mentranskrip-semua-dialog-dalam-debat-pilpres-2019 </t>
  </si>
  <si>
    <t>d-2619-de</t>
  </si>
  <si>
    <t>2019-02-07</t>
  </si>
  <si>
    <t>berita-detikhealth</t>
  </si>
  <si>
    <t>Ada Bercak di Kulit dan Tak Terasa, Curigai Kusta</t>
  </si>
  <si>
    <t xml:space="preserve">https://health.detik.com/berita-detikhealth/d-4417444/ada-bercak-di-kulit-dan-tak-terasa-curigai-kusta </t>
  </si>
  <si>
    <t>2019-02-03</t>
  </si>
  <si>
    <t>PPUA: Caleg Disabilitas Perlu Menyuarakan Hak yang Belum Terwujud</t>
  </si>
  <si>
    <t xml:space="preserve">https://tirto.id/ppua-caleg-disabilitas-perlu-menyuarakan-hak-yang-belum-terwujud-dfPb </t>
  </si>
  <si>
    <t>d-3648-de</t>
  </si>
  <si>
    <t>Hubungan Incest Hasilkan Keturunan Cacat, Benarkah?</t>
  </si>
  <si>
    <t xml:space="preserve">https://health.detik.com/berita-detikhealth/d-4440480/hubungan-incest-hasilkan-keturunan-cacat-benarkah </t>
  </si>
  <si>
    <t>d-6151-tr</t>
  </si>
  <si>
    <t>gosipi</t>
  </si>
  <si>
    <t>Paula Verhoeven Senang Saat Baim Wong Ngeprank Hingga Kelewatan Batas</t>
  </si>
  <si>
    <t xml:space="preserve">http://www.tribunnews.com/seleb/2019/03/25/paula-verhoeven-senang-saat-baim-wong-ngeprank-hingga-kelewatan-batas </t>
  </si>
  <si>
    <t>d-4376-su</t>
  </si>
  <si>
    <t>2019-03-05</t>
  </si>
  <si>
    <t>Studi Pastikan Vaksin Campak Rubella Tidak Picu Autisme, Ini Alasannya</t>
  </si>
  <si>
    <t xml:space="preserve">https://www.suara.com/health/2019/03/05/103030/studi-pastikan-vaksin-campak-rubella-tidak-picu-autisme-ini-alasannya </t>
  </si>
  <si>
    <t>d-5423-su</t>
  </si>
  <si>
    <t>2019-03-17</t>
  </si>
  <si>
    <t>Pria Diduga Alami Gangguan Jiwa, Bawa Kabur Motor Guru</t>
  </si>
  <si>
    <t xml:space="preserve">https://jatim.suara.com/read/2019/03/17/174554/pria-diduga-alami-gangguan-jiwa-bawa-kabur-motor-guru </t>
  </si>
  <si>
    <t>d-5644-ko</t>
  </si>
  <si>
    <t>oh begitu</t>
  </si>
  <si>
    <t>236 Daerah di Indonesia Endemis Penyakit Kaki Gajah, Kenali Gejalanya</t>
  </si>
  <si>
    <t xml:space="preserve">https://sains.kompas.com/read/2019/03/20/175355523/236-daerah-di-indonesia-endemis-penyakit-kaki-gajah-kenali-gejalanya </t>
  </si>
  <si>
    <t>d-9597-ok</t>
  </si>
  <si>
    <t>Okezone</t>
  </si>
  <si>
    <t>jatim</t>
  </si>
  <si>
    <t>Pelaku Mutilasi Malang Diduga Alami Gangguan Jiwa, Polisi Sulit Ungkap Identitas Korban</t>
  </si>
  <si>
    <t xml:space="preserve">https://news.okezone.com/read/2019/05/16/519/2056327/pelaku-mutilasi-malang-diduga-alami-gangguan-jiwa-polisi-sulit-ungkap-identitas-korban </t>
  </si>
  <si>
    <t>d-9826-tr</t>
  </si>
  <si>
    <t>tribun</t>
  </si>
  <si>
    <t>Mayat Gelandangan yang Diduga Gila Ditemukan Tergeletak di Jalan Gus Dur Jombang</t>
  </si>
  <si>
    <t xml:space="preserve">http://www.tribunnews.com/regional/2019/05/06/mayat-gelandangan-yang-diduga-gila-ditemukan-tergeletak-di-jalan-gus-dur-jombang </t>
  </si>
  <si>
    <t>d-10111-de</t>
  </si>
  <si>
    <t>detik</t>
  </si>
  <si>
    <t>berita-jawa-barat</t>
  </si>
  <si>
    <t>Pria Diduga ODGJ Alami Koma Setelah Jadi Korban Tabrak Lari</t>
  </si>
  <si>
    <t xml:space="preserve">https://news.detik.com/berita-jawa-barat/d-4547181/pria-diduga-odgj-alami-koma-setelah-jadi-korban-tabrak-lari </t>
  </si>
  <si>
    <t>CNN</t>
  </si>
  <si>
    <t>Suara</t>
  </si>
  <si>
    <t>d-11292-re</t>
  </si>
  <si>
    <t>Republika</t>
  </si>
  <si>
    <t>daerah</t>
  </si>
  <si>
    <t>Pertamina RU VI Latih Kemandirian Siswa Disabilitas</t>
  </si>
  <si>
    <t xml:space="preserve">https://nasional.republika.co.id/berita/nasional/daerah/ptchht396/pertamina-ru-vi-latih-kemandirian-siswa-disabilitas </t>
  </si>
  <si>
    <t>Liputan6</t>
  </si>
  <si>
    <t>d-11455-ko</t>
  </si>
  <si>
    <t>seleb</t>
  </si>
  <si>
    <t>Ini yang Akan Dilakukan Baim Wong Bila Bertemu dengan Warganet yang Terima Orang Gila sebagai Tamu</t>
  </si>
  <si>
    <t xml:space="preserve">https://entertainment.kompas.com/read/2019/06/17/133544610/ini-yang-akan-dilakukan-baim-wong-bila-bertemu-warganet-yang-terima </t>
  </si>
  <si>
    <t>d-12093-de</t>
  </si>
  <si>
    <t>Di Tempat Ini, Disabilitas Diajari Kerajinan yang Asah Kreativitas</t>
  </si>
  <si>
    <t xml:space="preserve">https://news.detik.com/berita/d-4598497/di-tempat-ini-disabilitas-diajari-kerajinan-yang-asah-kreativitas </t>
  </si>
  <si>
    <t>d-12646-su</t>
  </si>
  <si>
    <t>Pentingnya Ikut Kelas Zumba bagi Anak dengan Gangguan Spektrum Autisme</t>
  </si>
  <si>
    <t xml:space="preserve">https://www.suara.com/health/2019/07/01/180000/pentingnya-ikut-kelas-zumba-bagi-anak-dengan-gangguan-spektrum-autisme </t>
  </si>
  <si>
    <t>d-11371-te</t>
  </si>
  <si>
    <t>sulit-konsentrasi-bisa-jadi-tanda-disabilitas-psikososial</t>
  </si>
  <si>
    <t>Sulit Konsentrasi Bisa Jadi Tanda Disabilitas Psikososial</t>
  </si>
  <si>
    <t xml:space="preserve">https://gayahidup.republika.co.id/berita/pv7b71459/sulit-konsentrasi-bisa-jadi-tanda-disabilitas-psikososial </t>
  </si>
  <si>
    <t>d-14179-su</t>
  </si>
  <si>
    <t>Jomblo Akut, Terapis Perkosa Gadis Penyandang Disabilitas</t>
  </si>
  <si>
    <t xml:space="preserve">https://jatim.suara.com/read/2019/07/27/162418/jomblo-akut-terapis-perkosa-gadis-penyandang-disabilitas </t>
  </si>
  <si>
    <t>d-14195-cn</t>
  </si>
  <si>
    <t>2019-07-14</t>
  </si>
  <si>
    <t>Oknum Anggota TNI Diduga Curi Kotak Amal Masjid di Palembang</t>
  </si>
  <si>
    <t xml:space="preserve">https://www.cnnindonesia.com/nasional/20190714135854-12-411964/oknum-anggota-tni-diduga-curi-kotak-amal-masjid-di-palembang </t>
  </si>
  <si>
    <t>d-15515-ko</t>
  </si>
  <si>
    <t>2019-08-06</t>
  </si>
  <si>
    <t>Hak Dikembalikan, Pemprov Sumbar Sebut Kasus Dokter Romi Ditutup</t>
  </si>
  <si>
    <t xml:space="preserve">https://regional.kompas.com/read/2019/08/06/14400361/hak-dikembalikan-pemprov-sumbar-sebut-kasus-dokter-romi-ditutup </t>
  </si>
  <si>
    <t>d-16479-tr</t>
  </si>
  <si>
    <t>Pelatihan Kepemimpinan Bagi Siswa Disabilitas</t>
  </si>
  <si>
    <t xml:space="preserve">https://www.tribunnews.com/regional/2019/08/22/pelatihan-kepemimpinan-bagi-siswa-disabilitas </t>
  </si>
  <si>
    <t>gak ada penggantinya</t>
  </si>
  <si>
    <t>d-17331-li</t>
  </si>
  <si>
    <t>2019-09-01</t>
  </si>
  <si>
    <t>Terganggu Dengkuran, Seorang Anak di Bekasi Bunuh Ayah</t>
  </si>
  <si>
    <t xml:space="preserve">https://www.liputan6.com/news/read/4052161/terganggu-dengkuran-seorang-anak-di-bekasi-bunuh-ayah </t>
  </si>
  <si>
    <t>d-17469-ko</t>
  </si>
  <si>
    <t>edukasi</t>
  </si>
  <si>
    <t>Penyandang Disabilitas Punya Kesempatan Raih Pendidikan Tinggi</t>
  </si>
  <si>
    <t xml:space="preserve">https://edukasi.kompas.com/read/2019/08/07/16435791/penyandang-disabilitas-punya-kesempatan-raih-pendidikan-tinggi </t>
  </si>
  <si>
    <t>d-17669-su</t>
  </si>
  <si>
    <t>2019-09-28</t>
  </si>
  <si>
    <t>Kekurangan Oksigen pada Bayi Baru Lahir Berisiko Alami Cacat Jangka Panjang</t>
  </si>
  <si>
    <t xml:space="preserve">https://www.suara.com/health/2019/09/28/202123/kekurangan-oksigen-pada-bayi-baru-lahir-berisiko-alami-cacat-jangka-panjang </t>
  </si>
  <si>
    <t>d-17695-ok</t>
  </si>
  <si>
    <t>fashion</t>
  </si>
  <si>
    <t xml:space="preserve">Daisy May, Model Disabilitas Cilik Pertama yang Tampil di New York Fashion Week   </t>
  </si>
  <si>
    <t xml:space="preserve">https://lifestyle.okezone.com/read/2019/09/01/194/2099263/daisy-may-model-disabilitas-cilik-pertama-yang-tampil-di-new-york-fashion-week </t>
  </si>
  <si>
    <t>d-5947-de</t>
  </si>
  <si>
    <t>2019-03-23</t>
  </si>
  <si>
    <t>Tiap Ngobrol Selalu Minta Diulang? Waspadai Gejala Tuli Ringan</t>
  </si>
  <si>
    <t xml:space="preserve">https://health.detik.com/berita-detikhealth/d-4480219/tiap-ngobrol-selalu-minta-diulang-waspadai-gejala-tuli-ringan </t>
  </si>
  <si>
    <t>d-7352-te</t>
  </si>
  <si>
    <t>Ketika Tunanetra Turut Mengulas Film Mantan Manten</t>
  </si>
  <si>
    <t xml:space="preserve">https://difabel.tempo.co/read/1193480/ketika-tunanetra-turut-mengulas-film-mantan-manten </t>
  </si>
  <si>
    <t>d-8675-ok</t>
  </si>
  <si>
    <t>2019-04-24</t>
  </si>
  <si>
    <t>life</t>
  </si>
  <si>
    <t>Terlahir Tanpa Jari Tangan, Bocah 10 Tahun Ini Jadi Juara Menulis di Amerika Serikat</t>
  </si>
  <si>
    <t xml:space="preserve">https://index.okezone.com/read/2019/04/24/612/2047496/terlahir-tanpa-jari-tangan-bocah-10-tahun-ini-jadi-juara-menulis-di-amerika-serikat </t>
  </si>
  <si>
    <t>d-9515-ko</t>
  </si>
  <si>
    <t>2019-05-08</t>
  </si>
  <si>
    <t>Koptul, Racikan Kopi Teman Tuli untuk Perjuangkan Kesetaraan</t>
  </si>
  <si>
    <t xml:space="preserve">https://megapolitan.kompas.com/read/2019/05/08/11262521/koptul-racikan-kopi-teman-tuli-untuk-perjuangkan-kesetaraan </t>
  </si>
  <si>
    <t>d-9446-ko</t>
  </si>
  <si>
    <t>2019-05-07</t>
  </si>
  <si>
    <t>Kerap Makan Jarinya Sendiri, Perempuan Ini Dibawa ke RS Jiwa Surabaya</t>
  </si>
  <si>
    <t xml:space="preserve">https://regional.kompas.com/read/2019/05/07/23553171/kerap-makan-jarinya-sendiri-perempuan-ini-dibawa-ke-rs-jiwa-surabaya </t>
  </si>
  <si>
    <t>2019-06-08</t>
  </si>
  <si>
    <t>Polisi Bekuk Pelaku Penusukan Personel Pengamanan Lebaran</t>
  </si>
  <si>
    <t xml:space="preserve">https://nasional.republika.co.id/berita/nasional/daerah/psr76r383/polisi-bekuk-pelaku-penusukan-personel-pengamanan-lebaran </t>
  </si>
  <si>
    <t>d-12085-cn</t>
  </si>
  <si>
    <t>Pentingnya Deteksi Kelainan Kromosom Sejak Awal Hamil</t>
  </si>
  <si>
    <t xml:space="preserve">https://www.cnnindonesia.com/gaya-hidup/20190624175746-255-405955/pentingnya-deteksi-kelainan-kromosom-sejak-awal-hamil </t>
  </si>
  <si>
    <t>d-14193-tr</t>
  </si>
  <si>
    <t>2019-07-20</t>
  </si>
  <si>
    <t>Seorang Anak di Cianjur Gali Kuburan Ayahnya Lalu Jasadnya Dibawa Pulang ke Rumah</t>
  </si>
  <si>
    <t xml:space="preserve">https://www.tribunnews.com/regional/2019/07/20/seorang-anak-di-cianjur-gali-kuburan-ayahnya-lalu-jasadnya-dibawa-pulang-ke-rumah </t>
  </si>
  <si>
    <t>d-14200-de</t>
  </si>
  <si>
    <t>2019-07-21</t>
  </si>
  <si>
    <t>Anak Bongkar Makam dan Bopong Jasad Ayah, Polisi: Dia Gangguan Jiwa</t>
  </si>
  <si>
    <t xml:space="preserve">https://news.detik.com/berita-jawa-barat/d-4633210/anak-bongkar-makam-dan-bopong-jasad-ayah-polisi-dia-gangguan-jiwa </t>
  </si>
  <si>
    <t>Dewan Masjid Minta Umat Tak Terpancing Insiden Perempuan Bawa Anjing</t>
  </si>
  <si>
    <t xml:space="preserve">https://www.liputan6.com/news/read/4002169/dewan-masjid-minta-umat-tak-terpancing-insiden-perempuan-bawa-anjing </t>
  </si>
  <si>
    <t>d-13815-tr</t>
  </si>
  <si>
    <t>2019-07-15</t>
  </si>
  <si>
    <t>Perempuan Penderita Gangguan Jiwa Mengamuk, Sel Satpol PP Denpasar Dirusak</t>
  </si>
  <si>
    <t xml:space="preserve">https://www.tribunnews.com/regional/2019/07/15/perempuan-penderita-gangguan-jiwa-mengamuk-sel-satpol-pp-denpasar-dirusak </t>
  </si>
  <si>
    <t>d-12683-cn</t>
  </si>
  <si>
    <t>2019-07-02</t>
  </si>
  <si>
    <t>Idap Skizofrenia, Perempuan Bawa Anjing Dirujuk ke RS Jiwa</t>
  </si>
  <si>
    <t xml:space="preserve">https://www.cnnindonesia.com/nasional/20190702171503-12-408364/idap-skizofrenia-perempuan-bawa-anjing-dirujuk-ke-rs-jiwa </t>
  </si>
  <si>
    <t>d-17106-te</t>
  </si>
  <si>
    <t>2019-08-28</t>
  </si>
  <si>
    <t>DKI Salurkan 7.137 Kartu Penyandang Disabilitas</t>
  </si>
  <si>
    <t xml:space="preserve">https://metro.tempo.co/read/1241106/dki-salurkan-7-137-kartu-penyandang-disabilitas </t>
  </si>
  <si>
    <t>d-15478-te</t>
  </si>
  <si>
    <t>2019-08-04</t>
  </si>
  <si>
    <t>Garuda INAF, Organisasi Sepak Bola Penyandang Disabilitas Daksa</t>
  </si>
  <si>
    <t xml:space="preserve">https://difabel.tempo.co/read/1231973/garuda-inaf-organisasi-sepak-bola-penyandang-disabilitas-daksa </t>
  </si>
  <si>
    <t>d-16467-te</t>
  </si>
  <si>
    <t>2019-08-20</t>
  </si>
  <si>
    <t>Tenis Dunia: Lee Duck-hee, Torehan Bersejarah Atlet Tuna Rungu</t>
  </si>
  <si>
    <t xml:space="preserve">https://sport.tempo.co/read/1238204/tenis-dunia-lee-duck-hee-torehan-bersejarah-atlet-tuna-rungu </t>
  </si>
  <si>
    <t>d-15882-re</t>
  </si>
  <si>
    <t>2019-08-11</t>
  </si>
  <si>
    <t>600-disabilitas-ikuti-shalat-idul-adha-di-istiqlal</t>
  </si>
  <si>
    <t>600 Disabilitas Ikuti Shalat Idul Adha di Istiqlal</t>
  </si>
  <si>
    <t xml:space="preserve">https://nasional.republika.co.id/berita/pw27gk384/600-disabilitas-ikuti-shalat-idul-adha-di-istiqlal </t>
  </si>
  <si>
    <t>2019-08-12</t>
  </si>
  <si>
    <t xml:space="preserve">   Tak Lagi Pakai Tongkat, Aplikasi Ini Mudahkan Tuna Netra Berjalan   </t>
  </si>
  <si>
    <t xml:space="preserve">https://news.okezone.com/read/2019/08/12/65/2090893/tak-lagi-pakai-tongkat-aplikasi-ini-mudahkan-tuna-netra-berjalan </t>
  </si>
  <si>
    <t>cnn.com</t>
  </si>
  <si>
    <t>d-2391-li</t>
  </si>
  <si>
    <t>2019-02-24</t>
  </si>
  <si>
    <t>Heboh Wanita Telanjang Bermotor Keliling Kediri</t>
  </si>
  <si>
    <t xml:space="preserve">https://www.liputan6.com/regional/read/3902680/heboh-wanita-telanjang-bermotor-keliling-kediri </t>
  </si>
  <si>
    <t xml:space="preserve">Liputan6.com, Kediri - Satuan Polisi (Satpol) Pamong Praja (PP) Kota Kediri, Jawa Timur, mendapat laporan dari masyarakat perihal seorang perempuan dalam kondisi telanjang bulat berkeliaran membawa sepeda motor di Jalan Raya Simpang Tiga, Kelurahan Ngeronggo, Sabtu malam (23/5/2019).
Temuan ini pertama kali diketahui oleh seorang anggota polisi lalu lintas. Sebelum dibawa ke kantor Satpol PP, perempuan tanpa identitas diperkirakan berusia 40 tahun tersebut disuruh petugas untuk memakai baju.
"Setelah memakai baju, perempuan yang diindikasi menderita gangguan jiwa ini kemudian diangkut ke mobil Satpol PP Kota Kediri untuk dibawa ke kantor," kata Kasi Trantib Satpol PP Kota Kediri, Agus Dwi Ratmoko.
Petugas kesulitan untuk mengetahui identitas bersangkutan lantaran setiap kali ditanya, selalu memberikan jawaban yang tidak benar alias tidak nyambung.
Selain mengamankan perempuan tersebut, petugas Satpol PP Juga membawa sepeda motor milik bersangkutan. Petugas sempat memeriksa isi barang yang tersimpan di dalam jok sepeda motor merk Kymco nopol AG 4992 Hz itu.
"Ketika diperika ditemukan tas berisi dua botol air mineral serta sebuah Hp yang tidak bisa dinyalakan," katanya.
Karena terbentur hari libur, perempuan penderita gangguan jiwa ini tidak bisa dibawa langsung ke Kantor Dinas Sosial.
"Sementara ini, dia saya tempatkan dulu di ruang aula pertemuan Kantor Satpol PP sambil menunggu hari Senin lusa dibawa ke kantor Dinas Sosial. Identitasnya masih terus kita gali untuk mengetahui tempat tinggalnya," ucapnya.
Bagi warga yang menderita gangguan jiwa, nantinya akan diberi rekomendasi oleh Dinsos untuk diobati dirujuk ke RSJ Lawang Malang. "Kita kordinasi dengan dinsos Kota Kediri untuk langkah pengobatan," ujarnya.
Saat ditempatkan di ruang aula kantor Satpol PP, perempuan tanpa identitas ini acap kali memperlihatkan perilaku nyeleneh.
"Sudah kita suruh untuk pakai baju, eh enggak lama dilepas telanjang lagi. Tadi kita lihat, dia suka memainkan lampu di ruang aula dan menghidupkan keran air di kamar mandi sampai airnya penuh," ucapnya.
Saksikan video pilihan berikut ini:
</t>
  </si>
  <si>
    <t>d-2750-ti</t>
  </si>
  <si>
    <t>2019-02-01</t>
  </si>
  <si>
    <t>indepth</t>
  </si>
  <si>
    <t>Malaikat itu Bernama Oma Ros</t>
  </si>
  <si>
    <t xml:space="preserve">https://tirto.id/malaikat-itu-bernama-oma-ros-dfFq </t>
  </si>
  <si>
    <t>d-17541-te</t>
  </si>
  <si>
    <t>2019-09-04</t>
  </si>
  <si>
    <t>DKI Bagikan Stiker Penyandang Disabilitas untuk Ganjil Genap</t>
  </si>
  <si>
    <t xml:space="preserve">https://metro.tempo.co/read/1243588/dki-bagikan-stiker-penyandang-disabilitas-untuk-ganjil-genap </t>
  </si>
  <si>
    <t>LGBT</t>
  </si>
  <si>
    <t>i-116-ok</t>
  </si>
  <si>
    <t>identitas gender dan orientasi seksual</t>
  </si>
  <si>
    <t>2019-01-12</t>
  </si>
  <si>
    <t>Penyanyi Rap Gay Ditembak Mati di Puerto Rico</t>
  </si>
  <si>
    <t xml:space="preserve">https://news.okezone.com/read/2019/01/12/18/2003420/penyanyi-rap-gay-ditembak-mati-di-puerto-rico </t>
  </si>
  <si>
    <t>i-142-ok</t>
  </si>
  <si>
    <t>2019-01-15</t>
  </si>
  <si>
    <t xml:space="preserve"> Warga Geruduk Rumah yang Dijadikan Tempat Kumpul LGBT   </t>
  </si>
  <si>
    <t xml:space="preserve">https://news.okezone.com/read/2019/01/15/340/2004904/warga-geruduk-rumah-yang-dijadikan-tempat-kumpul-lgbt </t>
  </si>
  <si>
    <t>i-171-su</t>
  </si>
  <si>
    <t>2019-01-18</t>
  </si>
  <si>
    <t>9 Model Dunia yang Mendobrak Standar Kecantikan</t>
  </si>
  <si>
    <t xml:space="preserve">https://www.suara.com/lifestyle/2019/01/18/190000/9-model-dunia-yang-mendobrak-standar-kecantikan </t>
  </si>
  <si>
    <t>i-249-te</t>
  </si>
  <si>
    <t>2019-01-25</t>
  </si>
  <si>
    <t>amerika</t>
  </si>
  <si>
    <t>Wali Kota Gay dari Demokrat Maju untuk Pilpres AS 2020</t>
  </si>
  <si>
    <t xml:space="preserve">https://dunia.tempo.co/read/1168530/wali-kota-gay-dari-demokrat-maju-untuk-pilpres-as-2020 </t>
  </si>
  <si>
    <t>i-187-su</t>
  </si>
  <si>
    <t>2019-01-20</t>
  </si>
  <si>
    <t>Publik Indonesia Paham HAM, Tapi Tak Setuju karena Terkesan Membela LGBT</t>
  </si>
  <si>
    <t xml:space="preserve">https://www.suara.com/news/2019/01/20/174310/publik-indonesia-paham-ham-tapi-tak-setuju-karena-terkesan-membela-lgbt </t>
  </si>
  <si>
    <t>i-192-de</t>
  </si>
  <si>
    <t>2019-01-21</t>
  </si>
  <si>
    <t>Wawancara Pria Gay, Pembawa Acara TV Mesir Dibui 1 Tahun</t>
  </si>
  <si>
    <t xml:space="preserve">https://news.detik.com/internasional/d-4393926/wawancara-pria-gay-pembawa-acara-tv-mesir-dibui-1-tahun </t>
  </si>
  <si>
    <t>i-742-cn</t>
  </si>
  <si>
    <t>2019-02-28</t>
  </si>
  <si>
    <t>hiburan</t>
  </si>
  <si>
    <t>Konten Homoseksual 'Bohemian Rhapsody' Dipotong di China</t>
  </si>
  <si>
    <t xml:space="preserve">https://www.cnnindonesia.com/hiburan/20190228125556-220-373424/konten-homoseksual-bohemian-rhapsody-dipotong-di-china </t>
  </si>
  <si>
    <t>2019-02-10</t>
  </si>
  <si>
    <t>Heboh, Akun IG Komik Gay Bertema Muslim Banjir Sumpah Serapah Netizen</t>
  </si>
  <si>
    <t xml:space="preserve">https://news.okezone.com/read/2019/02/10/337/2015946/heboh-akun-ig-komik-gay-bertema-muslim-banjir-sumpah-serapah-netizen </t>
  </si>
  <si>
    <t>i-694-cn</t>
  </si>
  <si>
    <t>2019-02-26</t>
  </si>
  <si>
    <t>Menang Oscar, Rami Malek Disebut 'Firaun'</t>
  </si>
  <si>
    <t xml:space="preserve">https://www.cnnindonesia.com/hiburan/20190226105921-234-372642/menang-oscar-rami-malek-disebut-firaun </t>
  </si>
  <si>
    <t>i-237-tr</t>
  </si>
  <si>
    <t>2019-01-24</t>
  </si>
  <si>
    <t>Ternyata Pencabul  34 Anak di Bandung Pernah Jadi Korban Kejahatan Seksual Saat SMP</t>
  </si>
  <si>
    <t xml:space="preserve">http://www.tribunnews.com/regional/2019/01/24/ternyata-pencabul-34-anak-di-bandung-pernah-jadi-korban-kejahatan-seksual-saat-smp </t>
  </si>
  <si>
    <t>d-4504-ok</t>
  </si>
  <si>
    <t>2019-03-07</t>
  </si>
  <si>
    <t xml:space="preserve"> Pelaku Pembongkaran Kuburan Bayi Ditangkap, Motifnya Tali Pocong untuk Jimat   </t>
  </si>
  <si>
    <t xml:space="preserve">https://news.okezone.com/read/2019/03/07/340/2026953/pelaku-pembongkaran-kuburan-bayi-ditangkap-motifnya-tali-pocong-untuk-jimat </t>
  </si>
  <si>
    <t>d-9127-tr</t>
  </si>
  <si>
    <t xml:space="preserve"> Mei</t>
  </si>
  <si>
    <t>Seorang Pria di Tangerang Nyaris Akhiri Hidupnya dengan Melompat dari JPO di Tangerang</t>
  </si>
  <si>
    <t xml:space="preserve">http://www.tribunnews.com/metropolitan/2019/05/08/seorang-pria-di-tangerang-nyaris-akhiri-hidupnya-dengan-melompat-dari-jpo-di-tangerang </t>
  </si>
  <si>
    <t>d-9618-su</t>
  </si>
  <si>
    <t>2019-05-30</t>
  </si>
  <si>
    <t>Lahir Tanpa Lengan, Desainer Ini Justru Raih Kesuksesan dengan Kakinya</t>
  </si>
  <si>
    <t xml:space="preserve">https://www.suara.com/lifestyle/2019/05/30/103000/lahir-tanpa-lengan-desainer-ini-justru-raih-kesuksesan-dengan-kakinya </t>
  </si>
  <si>
    <t>d-10708-ko</t>
  </si>
  <si>
    <t>2019-05-31</t>
  </si>
  <si>
    <t>Risma Sebut Tiap Tahun Penderita Gangguan Jiwa Dikirim ke Surabaya, Jumlahnya Naik Saat Lebaran</t>
  </si>
  <si>
    <t xml:space="preserve">https://regional.kompas.com/read/2019/05/31/14442641/risma-sebut-tiap-tahun-penderita-gangguan-jiwa-dikirim-ke-surabaya-jumlahnya </t>
  </si>
  <si>
    <t>d-10852-tr</t>
  </si>
  <si>
    <t>Viral Curhatan Netizen Biarkan Orang Gila Bertamu di Rumahnya Dikira Prank, Begini Reaksi Baim Wong</t>
  </si>
  <si>
    <t xml:space="preserve">http://www.tribunnews.com/seleb/2019/06/15/viral-curhatan-netizen-biarkan-orang-gila-bertamu-di-rumahnya-dikira-prank-begini-reaksi-baim-wong </t>
  </si>
  <si>
    <t>d-11304-te</t>
  </si>
  <si>
    <t>2019-06-05</t>
  </si>
  <si>
    <t>perbankan keuangan</t>
  </si>
  <si>
    <t>Open House Lebaran, Gubernur BI Terima Tamu Komunitas Difabel</t>
  </si>
  <si>
    <t xml:space="preserve">https://bisnis.tempo.co/read/1212360/open-house-lebaran-gubernur-bi-terima-tamu-komunitas-difabel </t>
  </si>
  <si>
    <t>ga ada pengganti</t>
  </si>
  <si>
    <t>d-12163-te</t>
  </si>
  <si>
    <t>6 Tips Parenting Mengatasi Tantrum Anak Multi Disabilitas</t>
  </si>
  <si>
    <t xml:space="preserve">https://difabel.tempo.co/read/1215285/6-tips-parenting-mengatasi-tantrum-anak-multi-disabilitas </t>
  </si>
  <si>
    <t>d-13941-ok</t>
  </si>
  <si>
    <t>2019-07-03</t>
  </si>
  <si>
    <t>Perempuan Pembawa Anjing ke Masjid Tak Wajib di-BAP</t>
  </si>
  <si>
    <t xml:space="preserve">https://news.okezone.com/read/2019/07/03/338/2074243/perempuan-pembawa-anjing-ke-masjid-tak-wajib-di-bap </t>
  </si>
  <si>
    <t>d-14145-cn</t>
  </si>
  <si>
    <t>olahraga</t>
  </si>
  <si>
    <t>Sore yang Indah untuk Samuel di Indonesia Open</t>
  </si>
  <si>
    <t xml:space="preserve">https://www.cnnindonesia.com/olahraga/20190720182545-175-413987/sore-yang-indah-untuk-samuel-di-indonesia-open </t>
  </si>
  <si>
    <t>d-14679-ti</t>
  </si>
  <si>
    <t>2019-07-25</t>
  </si>
  <si>
    <t>sosial budaya</t>
  </si>
  <si>
    <t>Meski Ramai Pengunjung, Tak Ada Riuh Rendah di Kafe Sunyi</t>
  </si>
  <si>
    <t xml:space="preserve">https://tirto.id/meski-ramai-pengunjung-tak-ada-riuh-rendah-di-kafe-sunyi-eemT </t>
  </si>
  <si>
    <t>d-14699-de</t>
  </si>
  <si>
    <t>2019-07-05</t>
  </si>
  <si>
    <t>Polres Bogor Jemput Wanita Pembawa Anjing ke Masjid Sentul di RS Polri</t>
  </si>
  <si>
    <t xml:space="preserve">https://news.detik.com/berita/d-4612195/polres-bogor-jemput-wanita-pembawa-anjing-ke-masjid-sentul-di-rs-polri </t>
  </si>
  <si>
    <t>d-14808-te</t>
  </si>
  <si>
    <t>2019-07-13</t>
  </si>
  <si>
    <t>Tempat Rehabilitasi Sosial Terbaik untuk Anak Disabilitas</t>
  </si>
  <si>
    <t xml:space="preserve">https://difabel.tempo.co/read/1224105/tempat-rehabilitasi-sosial-terbaik-untuk-anak-disabilitas </t>
  </si>
  <si>
    <t>d-16040-re</t>
  </si>
  <si>
    <t>pengamat-polemik-drg-romi-hanya-puncak-gunung-es</t>
  </si>
  <si>
    <t>Pengamat: Polemik drg Romi Hanya Puncak Gunung Es</t>
  </si>
  <si>
    <t xml:space="preserve">https://nasional.republika.co.id/berita/pvt5dj335/pengamat-polemik-drg-romi-hanya-puncak-gunung-es </t>
  </si>
  <si>
    <t>d-16354-su</t>
  </si>
  <si>
    <t>Belajar Bahasa Isyarat Autodidak, Farid Azis Ingin Tunarungu Paham Agama</t>
  </si>
  <si>
    <t xml:space="preserve">https://www.suara.com/news/2019/08/11/153708/belajar-bahasa-isyarat-autodidak-farid-azis-ingin-tunarungu-paham-agama </t>
  </si>
  <si>
    <t>d-16390-li</t>
  </si>
  <si>
    <t>5 Hal yang Perlu Anda Tahu Tentang Perluasan Ganjil Genap di Jakarta</t>
  </si>
  <si>
    <t xml:space="preserve">https://www.liputan6.com/news/read/4036072/5-hal-yang-perlu-anda-tahu-tentang-perluasan-ganjil-genap-di-jakarta </t>
  </si>
  <si>
    <t>d-16820-li</t>
  </si>
  <si>
    <t>2019-08-10</t>
  </si>
  <si>
    <t>Masjid Istiqlal Sediakan Saf Khusus untuk Difabel Saat Salat Idul Adha</t>
  </si>
  <si>
    <t xml:space="preserve">https://www.liputan6.com/news/read/4034697/masjid-istiqlal-sediakan-saf-khusus-untuk-difabel-saat-salat-idul-adha </t>
  </si>
  <si>
    <t>d-17317-ti</t>
  </si>
  <si>
    <t>2019-08-24</t>
  </si>
  <si>
    <t>Alasan Lion soal Penumpang Difabel Diturunkan dari Pesawat Wings</t>
  </si>
  <si>
    <t xml:space="preserve">https://tirto.id/alasan-lion-soal-penumpang-difabel-diturunkan-dari-pesawat-wings-egWG </t>
  </si>
  <si>
    <t>d-7012-cn</t>
  </si>
  <si>
    <t>2019-04-05</t>
  </si>
  <si>
    <t>Vokalis Sugar Ray Akui Kini Kehilangan Pendengaran</t>
  </si>
  <si>
    <t xml:space="preserve">https://www.cnnindonesia.com/hiburan/20190404204853-227-383537/vokalis-sugar-ray-akui-kini-kehilangan-pendengaran </t>
  </si>
  <si>
    <t>i-738-ti</t>
  </si>
  <si>
    <t>2019-02-14</t>
  </si>
  <si>
    <t>film</t>
  </si>
  <si>
    <t>Frozen 2 Tampilkan Tokoh Wanita Baru yang Disebut-Sebut Pacar Elsa</t>
  </si>
  <si>
    <t xml:space="preserve">https://tirto.id/frozen-2-tampilkan-tokoh-wanita-baru-yang-disebut-sebut-pacar-elsa-dg3c </t>
  </si>
  <si>
    <t>Disorot soal Hukuman Mati bagi LGBT, Sultan Brunei Kembalikan Gelar dari Universitas Oxford</t>
  </si>
  <si>
    <t xml:space="preserve">https://internasional.kompas.com/read/2019/05/24/13471511/disorot-soal-hukuman-mati-bagi-lgbt-sultan-brunei-kembalikan-gelar-dari </t>
  </si>
  <si>
    <t>d-4636-ti</t>
  </si>
  <si>
    <t>2019-03-08</t>
  </si>
  <si>
    <t>Komisi VIII Diminta Masukkan Kebutuhan Disabilitas dalam RUU PKS</t>
  </si>
  <si>
    <t xml:space="preserve">https://tirto.id/komisi-viii-diminta-masukkan-kebutuhan-disabilitas-dalam-ruu-pks-diT3 </t>
  </si>
  <si>
    <t>d-4717-tr</t>
  </si>
  <si>
    <t>Sambil Memangku Cucunya, Seorang Ibu Menangis di Ruang Rapat Komisi VIII DPR RI</t>
  </si>
  <si>
    <t xml:space="preserve">http://www.tribunnews.com/nasional/2019/03/09/sambil-memangku-cucunya-seorang-ibu-menangis-di-ruang-rapat-komisi-viii-dpr-ri </t>
  </si>
  <si>
    <t>d-5133-re</t>
  </si>
  <si>
    <t>160 Atlet Disabilitas di Bandung Ikuti Seleksi Pepapernas</t>
  </si>
  <si>
    <t xml:space="preserve">https://nasional.republika.co.id/berita/nasional/daerah/pocxae354/160-atlet-disabilitas-di-bandung-ikuti-seleksi-pepapernas </t>
  </si>
  <si>
    <t>i-317-ok</t>
  </si>
  <si>
    <t>2019-01-10</t>
  </si>
  <si>
    <t>Begini kalau Ninja Nyamar Jadi Biduan, Penontonnya pada Kabur!</t>
  </si>
  <si>
    <t xml:space="preserve">https://lifestyle.okezone.com/read/2019/01/10/196/2002429/begini-kalau-ninja-nyamar-jadi-biduan-penontonnya-pada-kabur </t>
  </si>
  <si>
    <t>i-355-su</t>
  </si>
  <si>
    <t>entertainment</t>
  </si>
  <si>
    <t>Pamer Beli Sepatu Mahal, Lucinta Luna Ditertawai Warganet</t>
  </si>
  <si>
    <t xml:space="preserve">https://www.suara.com/entertainment/2019/02/01/192648/pamer-beli-sepatu-mahal-lucinta-luna-ditertawai-warganet </t>
  </si>
  <si>
    <t>i-512-de</t>
  </si>
  <si>
    <t>2019-02-11</t>
  </si>
  <si>
    <t>PAN Desak Akun 'Komik Muslim Gay' Segera Diblokir</t>
  </si>
  <si>
    <t xml:space="preserve">https://news.detik.com/berita/d-4422534/pan-desak-akun-komik-muslim-gay-segera-diblokir </t>
  </si>
  <si>
    <t>i-375-te</t>
  </si>
  <si>
    <t>Santri Pondok Pesanten Waria Kotagede Berkomitmen Tidak Golput</t>
  </si>
  <si>
    <t xml:space="preserve">https://pemilu.tempo.co/read/1171710/santri-pondok-pesanten-waria-kotagede-berkomitmen-tidak-golput </t>
  </si>
  <si>
    <t>Heboh Komik Muslim Gay, Polda Metro Jaya Bakal Selidiki</t>
  </si>
  <si>
    <t xml:space="preserve">https://www.suara.com/news/2019/02/12/204019/heboh-komik-muslim-gay-polda-metro-jaya-bakal-selidiki </t>
  </si>
  <si>
    <t>i-798-ok</t>
  </si>
  <si>
    <t>Lindungi Hak Tahanan, Inggris Akan Punya Penjara Transgender Pertama</t>
  </si>
  <si>
    <t xml:space="preserve">https://news.okezone.com/read/2019/03/05/18/2025887/lindungi-hak-tahanan-inggris-akan-punya-penjara-transgender-pertama </t>
  </si>
  <si>
    <t>i-1079-ok</t>
  </si>
  <si>
    <t>Menristekdikti Angkat Suara Terkait Cerpen LGBT di USU</t>
  </si>
  <si>
    <t xml:space="preserve">https://news.okezone.com/read/2019/03/27/65/2035754/menristekdikti-angkat-suara-terkait-cerpen-lgbt-di-usu </t>
  </si>
  <si>
    <t>i-1802-de</t>
  </si>
  <si>
    <t>2019-05-17</t>
  </si>
  <si>
    <t>Polri Soal Pemecatan 'Polisi Gay': Anggota Polri Tak Boleh LGBT</t>
  </si>
  <si>
    <t xml:space="preserve">https://news.detik.com/berita/d-4553674/polri-soal-pemecatan-polisi-gay-anggota-polri-tak-boleh-lgbt </t>
  </si>
  <si>
    <t>i-1141-ok</t>
  </si>
  <si>
    <t>2019-03-31</t>
  </si>
  <si>
    <t>hot gossip</t>
  </si>
  <si>
    <t>Solena Chaniago: Operasi Vagina Plasty, Itu yang Termahal</t>
  </si>
  <si>
    <t xml:space="preserve">https://celebrity.okezone.com/read/2019/03/30/33/2036929/solena-chaniago-operasi-vagina-plasty-itu-yang-termahal </t>
  </si>
  <si>
    <t>2019-03-13</t>
  </si>
  <si>
    <t>Coming Out Itu Tak Mudah: Ketika Anak LGBT Terbuka kepada Keluarga</t>
  </si>
  <si>
    <t xml:space="preserve">https://tirto.id/coming-out-itu-tak-mudah-ketika-anak-lgbt-terbuka-kepada-keluarga-djhl </t>
  </si>
  <si>
    <t>i-1150-ko</t>
  </si>
  <si>
    <t>2019-04-01</t>
  </si>
  <si>
    <t>PBB: Hukuman Rajam sampai Mati di Brunei Tak Manusiawi</t>
  </si>
  <si>
    <t xml:space="preserve">https://internasional.kompas.com/read/2019/04/01/17371801/pbb-hukuman-rajam-sampai-mati-di-brunei-tak-manusiawi </t>
  </si>
  <si>
    <t>i-1173-cn</t>
  </si>
  <si>
    <t>2019-04-02</t>
  </si>
  <si>
    <t>Hindari Hukum Rajam Mati, Komunitas LGBT Kabur dari Brunei</t>
  </si>
  <si>
    <t xml:space="preserve">https://www.cnnindonesia.com/internasional/20190402132740-106-382863/hindari-hukum-rajam-mati-komunitas-lgbt-kabur-dari-brunei </t>
  </si>
  <si>
    <t>asia</t>
  </si>
  <si>
    <t>Brunei Darussalam Mulai Terapkan Hukum Syariah Rajam dan Cambuk</t>
  </si>
  <si>
    <t xml:space="preserve">https://dunia.tempo.co/read/1192075/brunei-darussalam-mulai-terapkan-hukum-syariah-rajam-dan-cambuk </t>
  </si>
  <si>
    <t>d-8727-de</t>
  </si>
  <si>
    <t>2019-04-18</t>
  </si>
  <si>
    <t>Kemenangan Tanpa Selebrasi di TPS Khusus Pengidap Gangguan Jiwa</t>
  </si>
  <si>
    <t xml:space="preserve">https://health.detik.com/berita-detikhealth/d-4515562/kemenangan-tanpa-selebrasi-di-tps-khusus-pengidap-gangguan-jiwa </t>
  </si>
  <si>
    <t>d-8766-su</t>
  </si>
  <si>
    <t>2019-04-04</t>
  </si>
  <si>
    <t>Intip Bakti KemenPUPR untuk Penyandang Disabilitas</t>
  </si>
  <si>
    <t xml:space="preserve">https://www.suara.com/bisnis/2019/04/04/112501/intip-bakti-kemenpupr-untuk-penyandang-disabilitas </t>
  </si>
  <si>
    <t xml:space="preserve">Kompas.com </t>
  </si>
  <si>
    <t>i-1721-ko</t>
  </si>
  <si>
    <t>2019-05-09</t>
  </si>
  <si>
    <t>Wali Kota Padang Larang Penayangan Film "Kucumbu Tubuh Indahku"</t>
  </si>
  <si>
    <t xml:space="preserve">https://regional.kompas.com/read/2019/05/09/10312451/wali-kota-padang-larang-penayangan-film-kucumbu-tubuh-indahku </t>
  </si>
  <si>
    <t>i-1895-ko</t>
  </si>
  <si>
    <t>2019-05-26</t>
  </si>
  <si>
    <t>Cucu Bapak Pendiri Singapura Nikahi Pasangan Sejenisnya</t>
  </si>
  <si>
    <t xml:space="preserve">https://internasional.kompas.com/read/2019/05/26/21425461/cucu-bapak-pendiri-singapura-nikahi-pasangan-sejenisnya </t>
  </si>
  <si>
    <t>i-1656-cn</t>
  </si>
  <si>
    <t>2019-05-02</t>
  </si>
  <si>
    <t>Kontroversial, 'Kucumbu Tubuh Indahku' Dirasa Tetap Perlu Ada</t>
  </si>
  <si>
    <t xml:space="preserve">https://www.cnnindonesia.com/hiburan/20190502125147-220-391340/kontroversial-kucumbu-tubuh-indahku-dirasa-tetap-perlu-ada </t>
  </si>
  <si>
    <t>i-1838-ti</t>
  </si>
  <si>
    <t>2019-05-20</t>
  </si>
  <si>
    <t>Kuasa Hukum Polisi Gay Minta Komnas HAM jadi Ahli Sidang PTUN</t>
  </si>
  <si>
    <t xml:space="preserve">https://tirto.id/kuasa-hukum-polisi-gay-minta-komnas-ham-jadi-ahli-sidang-ptun-dSLj </t>
  </si>
  <si>
    <t>i-2188-cn</t>
  </si>
  <si>
    <t>2019-06-29</t>
  </si>
  <si>
    <t xml:space="preserve">Elton John Sebut Vladimir Putin Munafik </t>
  </si>
  <si>
    <t xml:space="preserve">https://www.cnnindonesia.com/hiburan/20190629152300-220-407600/elton-john-sebut-vladimir-putin-munafik </t>
  </si>
  <si>
    <t>i-2593-re</t>
  </si>
  <si>
    <t>2019-07-24</t>
  </si>
  <si>
    <t>pemkot-depok-akan-usulkan-kembali-perda-antilgbt-pada-2020</t>
  </si>
  <si>
    <t>Pemkot Depok akan Usulkan Kembali Perda Anti-LGBT pada 2020</t>
  </si>
  <si>
    <t xml:space="preserve">https://nasional.republika.co.id/berita/pv41y5354/pemkot-depok-akan-usulkan-kembali-perda-antilgbt-pada-2020 </t>
  </si>
  <si>
    <t>i-2634-ok</t>
  </si>
  <si>
    <t>Uskup Siprus Sebut Penyebab Gay Akibat Ibu Hamil Melakukan Seks Anal</t>
  </si>
  <si>
    <t xml:space="preserve">https://news.okezone.com/read/2019/07/27/18/2084425/uskup-siprus-sebut-penyebab-gay-akibat-ibu-hamil-melakukan-seks-anal </t>
  </si>
  <si>
    <t>2019-07-06</t>
  </si>
  <si>
    <t>Jejak Pertama Lesbianisme dalam Film Indonesia</t>
  </si>
  <si>
    <t xml:space="preserve">https://tirto.id/jejak-pertama-lesbianisme-dalam-film-indonesia-edFe </t>
  </si>
  <si>
    <t>i-2457-ko</t>
  </si>
  <si>
    <t xml:space="preserve"> Satu Lagi Petarung Puteri LGBT Seganas Amanda Nunes</t>
  </si>
  <si>
    <t xml:space="preserve">https://olahraga.kompas.com/read/2019/07/14/17262568/satu-lagi-petarung-puteri-lgbt-seganas-amanda-nunes </t>
  </si>
  <si>
    <t>i-2342-te</t>
  </si>
  <si>
    <t>2019-07-08</t>
  </si>
  <si>
    <t>bintang</t>
  </si>
  <si>
    <t>Begini Sosok Unik Amanda Nunes, Petarung Wanita Terhebat MMA</t>
  </si>
  <si>
    <t xml:space="preserve">https://sport.tempo.co/read/1222279/begini-sosok-unik-amanda-nunes-petarung-wanita-terhebat-mma </t>
  </si>
  <si>
    <t>i-2375-ti</t>
  </si>
  <si>
    <t>Lewat Megan Rapinoe, Sepakbola Wanita Bersuara Melawan Diskriminasi</t>
  </si>
  <si>
    <t xml:space="preserve">https://tirto.id/lewat-megan-rapinoe-sepakbola-wanita-bersuara-melawan-diskriminasi-edTp </t>
  </si>
  <si>
    <t>2019-08-01</t>
  </si>
  <si>
    <t>Millendaru Sudah Cangkok Rahim? Hati-hati Risikonya Bisa Mengancam Jiwa!</t>
  </si>
  <si>
    <t xml:space="preserve">https://www.suara.com/health/2019/08/01/152000/millendaru-sudah-cangkok-rahim-hati-hati-risikonya-bisa-mengancam-jiwa </t>
  </si>
  <si>
    <t>Gak ada pengganti</t>
  </si>
  <si>
    <t>d-7680-de</t>
  </si>
  <si>
    <t>2019-04-13</t>
  </si>
  <si>
    <t>3 Kelainan Genetik yang Paling Bikin Cemas Para Ortu</t>
  </si>
  <si>
    <t xml:space="preserve">https://health.detik.com/berita-detikhealth/d-4509168/3-kelainan-genetik-yang-paling-bikin-cemas-para-ortu </t>
  </si>
  <si>
    <t>d-8293-ko</t>
  </si>
  <si>
    <t>2019-04-20</t>
  </si>
  <si>
    <t>Seorang Anak Diduga Bunuh Ayah Kandung di Kebumen</t>
  </si>
  <si>
    <t xml:space="preserve">https://regional.kompas.com/read/2019/04/20/15004311/seorang-anak-diduga-bunuh-ayah-kandung-di-kebumen </t>
  </si>
  <si>
    <t>d-9080-tr</t>
  </si>
  <si>
    <t>Tribun</t>
  </si>
  <si>
    <t>2019-04-09</t>
  </si>
  <si>
    <t>olahraga lainnya</t>
  </si>
  <si>
    <t>Harapan Namin Untuk Joko Widodo: Kalau Terpilih Lagi, Terus Perhatikan Kami</t>
  </si>
  <si>
    <t xml:space="preserve">http://www.tribunnews.com/sport/2019/04/09/harapan-namin-untuk-joko-widodo-kalau-terpilih-lagi-terus-perhatikan-kami </t>
  </si>
  <si>
    <t>d-9198-ti</t>
  </si>
  <si>
    <t>Tirto</t>
  </si>
  <si>
    <t>kamis</t>
  </si>
  <si>
    <t>teknologi</t>
  </si>
  <si>
    <t>Live Transcribe, Aplikasi Komunikasi bagi Para Tuli</t>
  </si>
  <si>
    <t xml:space="preserve">https://tirto.id/live-transcribe-aplikasi-komunikasi-bagi-para-tuli-dF81 </t>
  </si>
  <si>
    <t>mei</t>
  </si>
  <si>
    <t>d-9459-li</t>
  </si>
  <si>
    <t>2019-05-28</t>
  </si>
  <si>
    <t>Masjid Ramah Disabilitas, Kesetaraan Beribadah di Bulan Ramadan</t>
  </si>
  <si>
    <t xml:space="preserve">https://www.liputan6.com/lifestyle/read/3978055/masjid-ramah-disabilitas-kesetaraan-beribadah-di-bulan-ramadan </t>
  </si>
  <si>
    <t>d-9729-ok</t>
  </si>
  <si>
    <t>Berkenalan dengan Teman Tuli, Natasha Rizki Petik Pelajaran Berharga</t>
  </si>
  <si>
    <t xml:space="preserve">https://celebrity.okezone.com/read/2019/05/17/33/2057203/berkenalan-dengan-teman-tuli-natasha-rizki-petik-pelajaran-berharga </t>
  </si>
  <si>
    <t>JAKARTA - Natasha Rizki mendapat banyak pelajaran berharga dari perkenalannya dengan mereka yang memiliki keterbatasan pendengaran atau teman tuli. Ibu tiga anak ini jadi lebih ban ...</t>
  </si>
  <si>
    <t>d-11523-re</t>
  </si>
  <si>
    <t>2019-06-16</t>
  </si>
  <si>
    <t>Akui Sensen Sebagai Rasul, Warga Garut Diamankan</t>
  </si>
  <si>
    <t xml:space="preserve">https://nasional.republika.co.id/berita/nasional/daerah/pt6w7g409/akui-sensen-sebagai-rasul-warga-garut-diamankan </t>
  </si>
  <si>
    <t>Kabar Terbaru Kecelakaan Tol Cipali, Pria yang Sebabkan Tabrakan Positif Gangguan Jiwa</t>
  </si>
  <si>
    <t xml:space="preserve">http://www.tribunnews.com/regional/2019/06/24/kabar-terbaru-kecelakaan-tol-cipali-pria-yang-sebabkan-tabrakan-positif-gangguan-jiwa </t>
  </si>
  <si>
    <t>d-12132-ok</t>
  </si>
  <si>
    <t>2019-06-10</t>
  </si>
  <si>
    <t xml:space="preserve"> Pedagang Sayuran Tewas Ditusuk Orang Gila   </t>
  </si>
  <si>
    <t xml:space="preserve">https://news.okezone.com/read/2019/06/10/338/2065040/pedagang-sayuran-tewas-ditusuk-orang-gila </t>
  </si>
  <si>
    <t>d-12212-li</t>
  </si>
  <si>
    <t>2019-06-04</t>
  </si>
  <si>
    <t>Mudik Naik Kapal Motor, Penyandang Disabilitas Ini Kesulitan ke Toilet</t>
  </si>
  <si>
    <t xml:space="preserve">https://www.liputan6.com/health/read/3983076/mudik-naik-kapal-motor-penyandang-disabilitas-ini-kesulitan-ke-toilet </t>
  </si>
  <si>
    <t>d-12383-su</t>
  </si>
  <si>
    <t>2019-06-20</t>
  </si>
  <si>
    <t>Zonasi Sekolah Disambut Baik Difabel, Ini Syarat Siswa Berkebutuhan Khusus</t>
  </si>
  <si>
    <t xml:space="preserve">https://www.suara.com/health/2019/06/20/094837/zonasi-sekolah-disambut-baik-difabel-ini-syarat-siswa-berkebutuhan-khusus </t>
  </si>
  <si>
    <t>d-12620-ok</t>
  </si>
  <si>
    <t>2019-07-22</t>
  </si>
  <si>
    <t>LBH Padang Bawa Kasus Dokter Gigi Ditolak Jadi PNS karena Disabilitas ke PTUN</t>
  </si>
  <si>
    <t xml:space="preserve">https://news.okezone.com/read/2019/07/22/340/2082045/lbh-padang-bawa-kasus-dokter-gigi-ditolak-jadi-pns-karena-disabilitas-ke-ptun </t>
  </si>
  <si>
    <t>d-13138-ko</t>
  </si>
  <si>
    <t>2019-07-12</t>
  </si>
  <si>
    <t xml:space="preserve">Berbagi Nasi Bungkus untuk Orang Gangguan Jiwa Tiap Jumat, Tak Mundur Walau Sering Dilempari Batu   </t>
  </si>
  <si>
    <t xml:space="preserve">https://regional.kompas.com/read/2019/07/12/07000081/berbagi-nasi-bungkus-untuk-orang-gangguan-jiwa-tiap-jumat-tak-mundur-walau </t>
  </si>
  <si>
    <t>d-13296-ti</t>
  </si>
  <si>
    <t>Hapus Kekerasan Anak Disabilitas, KemenPPPA Anjurkan Pencegahan</t>
  </si>
  <si>
    <t xml:space="preserve">https://tirto.id/hapus-kekerasan-anak-disabilitas-kemenpppa-anjurkan-pencegahan-efgZ </t>
  </si>
  <si>
    <t>d-13475-de</t>
  </si>
  <si>
    <t>Detik</t>
  </si>
  <si>
    <t>2019-07-18</t>
  </si>
  <si>
    <t>Pastor India yang Sebut Dosa Orangtua Sebabkan Autisme, Batal ke Australia</t>
  </si>
  <si>
    <t xml:space="preserve">https://news.detik.com/abc-australia/d-4629246/pastor-india-yang-sebut-dosa-orangtua-sebabkan-autisme-batal-ke-australia </t>
  </si>
  <si>
    <t>d-13953-su</t>
  </si>
  <si>
    <t>DIsabilitas</t>
  </si>
  <si>
    <t>Dokter Romi Dibatalkan Jadi ASN, Ombudsman Panggil Bupati Solsel</t>
  </si>
  <si>
    <t xml:space="preserve">https://www.suara.com/news/2019/07/24/231330/dokter-romi-dibatalkan-jadi-asn-ombudsman-panggil-bupati-solsel </t>
  </si>
  <si>
    <t>d-14858-re</t>
  </si>
  <si>
    <t>2019-07-28</t>
  </si>
  <si>
    <t>lembaga-disabilitas-yakin-dr-romi-bisa-menang-di-ptun</t>
  </si>
  <si>
    <t>Lembaga Disabilitas Yakin dr Romi bisa Menang di PTUN</t>
  </si>
  <si>
    <t xml:space="preserve">https://nasional.republika.co.id/berita/pvcxq8428/lembaga-disabilitas-yakin-dr-romi-bisa-menang-di-ptun </t>
  </si>
  <si>
    <t>d-14941-re</t>
  </si>
  <si>
    <t>kementerian-pppa-advokasi-persoalan-drg-romi</t>
  </si>
  <si>
    <t>Kementerian PPPA Advokasi Persoalan drg Romi</t>
  </si>
  <si>
    <t xml:space="preserve">https://nasional.republika.co.id/berita/pvcjb8428/kementerian-pppa-advokasi-persoalan-drg-romi </t>
  </si>
  <si>
    <t>d-15851-su</t>
  </si>
  <si>
    <t>Idul Kurban, Berkah Bagi Widjianto Penyandang Disabilitas Perajin Besek</t>
  </si>
  <si>
    <t xml:space="preserve">https://jateng.suara.com/read/2019/08/10/221112/idul-kurban-berkah-bagi-widjianto-penyandang-disabilitas-perajin-besek </t>
  </si>
  <si>
    <t>d-16543-de</t>
  </si>
  <si>
    <t>2019-08-15</t>
  </si>
  <si>
    <t>Penyandang Tunarungu Tewas Tertabrak Kereta di Sidoarjo</t>
  </si>
  <si>
    <t xml:space="preserve">https://news.detik.com/berita-jawa-timur/d-4667377/penyandang-tunarungu-tewas-tertabrak-kereta-di-sidoarjo </t>
  </si>
  <si>
    <t>d-17029-ti</t>
  </si>
  <si>
    <t>2019-08-27</t>
  </si>
  <si>
    <t>Pemprov DKI Siapkan Fasilitas Bagi Difabel di Trotoar dan JPO</t>
  </si>
  <si>
    <t xml:space="preserve">https://tirto.id/pemprov-dki-siapkan-fasilitas-bagi-difabel-di-trotoar-dan-jpo-eg7z </t>
  </si>
  <si>
    <t>d-17326-ko</t>
  </si>
  <si>
    <t>Kompas</t>
  </si>
  <si>
    <t>Pria Bunuh Ayah Kandung karena Terganggu Suara Dengkuran Diduga Gangguan Jiwa</t>
  </si>
  <si>
    <t xml:space="preserve">https://megapolitan.kompas.com/read/2019/09/01/19510291/pria-bunuh-ayah-kandung-karena-terganggu-suara-dengkuran-diduga-gangguan </t>
  </si>
  <si>
    <t>d-17566-su</t>
  </si>
  <si>
    <t>Mensos Lantik ASN Penyandang Disabilitas Pertama sebagai Pejabat Kemensos</t>
  </si>
  <si>
    <t xml:space="preserve">https://www.suara.com/news/2019/08/27/094042/mensos-lantik-asn-penyandang-disabilitas-pertama-sebagai-pejabat-kemensos </t>
  </si>
  <si>
    <t>d-17673-te</t>
  </si>
  <si>
    <t>Bicara Sendiri Tak Selalu Gila, Ini Kata Peneliti</t>
  </si>
  <si>
    <t xml:space="preserve">https://gaya.tempo.co/read/1253465/bicara-sendiri-tak-selalu-gila-ini-kata-peneliti </t>
  </si>
  <si>
    <t>i-83-li</t>
  </si>
  <si>
    <t>2019-01-16</t>
  </si>
  <si>
    <t>Warga Geruduk Rumah yang Diduga Penampung Komunitas LGBT di Pekanbaru</t>
  </si>
  <si>
    <t xml:space="preserve">https://www.liputan6.com/regional/read/3871797/warga-geruduk-rumah-yang-diduga-penampung-komunitas-lgbt-di-pekanbaru </t>
  </si>
  <si>
    <t>d-9254-re</t>
  </si>
  <si>
    <t>2019-05-03</t>
  </si>
  <si>
    <t>travelling</t>
  </si>
  <si>
    <t>Anak-Anak Difabel Diajak Berwista ke Jakarta Aquarium</t>
  </si>
  <si>
    <t xml:space="preserve">https://gayahidup.republika.co.id/berita/gaya-hidup/travelling/pqwqmy459/anakanak-difabel-diajak-berwista-ke-jakarta-aquarium </t>
  </si>
  <si>
    <t>d-9878-tr</t>
  </si>
  <si>
    <t>2019-05-14</t>
  </si>
  <si>
    <t>Jasad Istri Ditemukan Membusuk Bersama Adik yang Tanpa Busana, Sang Suami Bilangnya Pulang Kampung</t>
  </si>
  <si>
    <t xml:space="preserve">http://www.tribunnews.com/metropolitan/2019/05/14/jasad-istri-ditemukan-membusuk-bersama-adik-yang-tanpa-busana-sang-suami-bilangnya-pulang-kampung </t>
  </si>
  <si>
    <t>d-10556-ok</t>
  </si>
  <si>
    <t>2019-05-21</t>
  </si>
  <si>
    <t>berita film</t>
  </si>
  <si>
    <t>Transformasi Akshay Kumar sebagai Transgender dalam Laxmi Bomb</t>
  </si>
  <si>
    <t xml:space="preserve">https://celebrity.okezone.com/read/2019/05/20/206/2058185/transformasi-akshay-kumar-sebagai-transgender-dalam-laxmi-bomb </t>
  </si>
  <si>
    <t>d-11700-su</t>
  </si>
  <si>
    <t>2019-06-11</t>
  </si>
  <si>
    <t>Tim Peneliti Sebut Wanita dengan PCOS Lebih Berisiko Melahirkan Anak Autis</t>
  </si>
  <si>
    <t xml:space="preserve">https://www.suara.com/health/2019/06/11/153500/tim-peneliti-sebut-wanita-dengan-pcos-lebih-berisiko-melahirkan-anak-autis </t>
  </si>
  <si>
    <t>i-582-su</t>
  </si>
  <si>
    <t>i-611-ti</t>
  </si>
  <si>
    <t>Wakil Ketua Komisi VIII DPR Bantah RUU PKS Disebut Pro-Zina &amp; LGBT</t>
  </si>
  <si>
    <t xml:space="preserve">https://tirto.id/wakil-ketua-komisi-viii-dpr-bantah-ruu-pks-disebut-pro-zina-lgbt-dftB </t>
  </si>
  <si>
    <t>i-635-tr</t>
  </si>
  <si>
    <t>Ternyata Transgender, Polisi Ungkap Nama Asli Selebgram Reva Alexa</t>
  </si>
  <si>
    <t xml:space="preserve">http://www.tribunnews.com/metropolitan/2019/02/07/ternyata-transgender-polisi-ungkap-nama-asli-selebgram-reva-alexa </t>
  </si>
  <si>
    <t>i-740-tr</t>
  </si>
  <si>
    <t>2019-02-06</t>
  </si>
  <si>
    <t>Ditangkap karena Narkoba, Selebgram Reva Alexa Ternyata Transgender</t>
  </si>
  <si>
    <t xml:space="preserve">http://www.tribunnews.com/seleb/2019/02/06/ditangkap-karena-narkoba-selebgram-reva-alexa-ternyata-transgender </t>
  </si>
  <si>
    <t>i-1239-de</t>
  </si>
  <si>
    <t>Brunei Hukum Mati LGBT, Bagaimana dengan Aceh?</t>
  </si>
  <si>
    <t xml:space="preserve">https://news.detik.com/berita/d-4496637/brunei-hukum-mati-lgbt-bagaimana-dengan-aceh </t>
  </si>
  <si>
    <t>Virgin Australia Batalkan Perjanjian dengan Maskapai Brunei</t>
  </si>
  <si>
    <t xml:space="preserve">https://internasional.kompas.com/read/2019/04/04/12461451/virgin-australia-batalkan-perjanjian-dengan-maskapai-brunei </t>
  </si>
  <si>
    <t>i-1421-de</t>
  </si>
  <si>
    <t>berita-ekonomi-bisnis</t>
  </si>
  <si>
    <t>Bank Jerman Setop Sewa Hotel Milik Sultan Brunei Buntut Anti-LGBT</t>
  </si>
  <si>
    <t xml:space="preserve">https://finance.detik.com/berita-ekonomi-bisnis/d-4498127/bank-jerman-setop-sewa-hotel-milik-sultan-brunei-buntut-anti-lgbt </t>
  </si>
  <si>
    <t>i-1453-ti</t>
  </si>
  <si>
    <t>Kucumbu Tubuh Indahku: Kisah tentang Manusia yang Kalah</t>
  </si>
  <si>
    <t xml:space="preserve">https://tirto.id/kucumbu-tubuh-indahku-kisah-tentang-manusia-yang-kalah-dnee </t>
  </si>
  <si>
    <t>i-1472-re</t>
  </si>
  <si>
    <t>5 Teman Guru Honorer Korban Mutilasi Dimintai Keterangan, Polisi Sebut Saksi Gemulai</t>
  </si>
  <si>
    <t xml:space="preserve">http://www.tribunnews.com/regional/2019/04/04/5-teman-guru-honorer-korban-mutilasi-dimintai-keterangan-polisi-sebut-saksi-gemulai </t>
  </si>
  <si>
    <t>i-1684-su</t>
  </si>
  <si>
    <t>Dipecat karena Gay, Pengacara Brigadir TT: Polri Diskriminasi ke Minoritas</t>
  </si>
  <si>
    <t xml:space="preserve">https://jateng.suara.com/read/2019/05/17/153148/dipecat-karena-gay-pengacara-brigadir-tt-polri-diskriminasi-ke-minoritas </t>
  </si>
  <si>
    <t>i-2157-tr</t>
  </si>
  <si>
    <t>2019-06-13</t>
  </si>
  <si>
    <t>Video Homoseksual Menteri Malaysia Tersebar, Pelaku : Dia Memaksa Saya</t>
  </si>
  <si>
    <t xml:space="preserve">http://www.tribunnews.com/internasional/2019/06/13/video-homoseksual-menteri-malaysia-tersebar-pelaku-dia-memaksa-saya </t>
  </si>
  <si>
    <t>i-2286-te</t>
  </si>
  <si>
    <t>Perda Anti LGBT di Depok, Anggota DPRD Pertanyakan Banyak Hal</t>
  </si>
  <si>
    <t xml:space="preserve">https://metro.tempo.co/read/1228494/perda-anti-lgbt-di-depok-anggota-dprd-pertanyakan-banyak-hal </t>
  </si>
  <si>
    <t>i-2360-ko</t>
  </si>
  <si>
    <t>liga indonesia</t>
  </si>
  <si>
    <t>Rapinoe Berpeluang Jadi Presiden AS LGBT Pertama</t>
  </si>
  <si>
    <t xml:space="preserve">https://olahraga.kompas.com/read/2019/07/09/23505848/rapinoe-berpeluang-jadi-presiden-as-lgbt-pertama </t>
  </si>
  <si>
    <t>i-2427-ti</t>
  </si>
  <si>
    <t>2019-07-11</t>
  </si>
  <si>
    <t>Ditjen PAS Kemenkumham akan Pisahkan Napi LGBT</t>
  </si>
  <si>
    <t xml:space="preserve">https://tirto.id/ditjen-pas-kemenkumham-akan-pisahkan-napi-lgbt-ed3L </t>
  </si>
  <si>
    <t>i-2727-te</t>
  </si>
  <si>
    <t>2019-08-03</t>
  </si>
  <si>
    <t>Komik TNI Singgung LGBT dan HIV/AIDS Menuai Kritik</t>
  </si>
  <si>
    <t xml:space="preserve">https://nasional.tempo.co/read/1231857/komik-tni-singgung-lgbt-dan-hivaids-menuai-kritik </t>
  </si>
  <si>
    <t xml:space="preserve">Tirto </t>
  </si>
  <si>
    <t>i-3028-de</t>
  </si>
  <si>
    <t>2019-09-26</t>
  </si>
  <si>
    <t>Waria Spesialis Pembobol Vila di Bali Dituntut 1,5 Tahun Penjara</t>
  </si>
  <si>
    <t xml:space="preserve">https://news.detik.com/berita/d-4723432/waria-spesialis-pembobol-vila-di-bali-dituntut-15-tahun-penjara </t>
  </si>
  <si>
    <t>p-5-ko</t>
  </si>
  <si>
    <t>Perempuan Dalam Kekekrasan</t>
  </si>
  <si>
    <t>perempuan dalam kekerasan</t>
  </si>
  <si>
    <t>Rektor UGM Penuhi Panggilan Ombudsman soal Kasus Dugaan Pelecehan Seksual</t>
  </si>
  <si>
    <t xml:space="preserve">https://regional.kompas.com/read/2019/01/08/13343261/rektor-ugm-penuhi-panggilan-ombudsman-soal-kasus-dugaan-pelecehan-seksual </t>
  </si>
  <si>
    <t>Tersangka Pembunuh Istri di Maluku Terancam 15 Tahun Penjara</t>
  </si>
  <si>
    <t xml:space="preserve">https://nasional.republika.co.id/berita/nasional/daerah/pq9pwu349/tersangka-pembunuh-istri-di-maluku-terancam-15-tahun-penjara </t>
  </si>
  <si>
    <t>p-13467-ti</t>
  </si>
  <si>
    <t>Soal Pelanggaran UU ITE di Kasus Baiq Nuril Dinilai Salah Kaprah</t>
  </si>
  <si>
    <t xml:space="preserve">https://tirto.id/soal-pelanggaran-uu-ite-di-kasus-baiq-nuril-dinilai-salah-kaprah-edGg </t>
  </si>
  <si>
    <t>p-14141-re</t>
  </si>
  <si>
    <t>baiq-nuril-bacakan-surat-permohonan-ke-jokowi</t>
  </si>
  <si>
    <t>Baiq Nuril Bacakan Surat Permohonan ke Jokowi</t>
  </si>
  <si>
    <t xml:space="preserve">https://nasional.republika.co.id/berita/puo4sr377/baiq-nuril-bacakan-surat-permohonan-ke-jokowi </t>
  </si>
  <si>
    <t>p-14822-cn</t>
  </si>
  <si>
    <t>DPR Minta IDI Laksanakan Putusan Pengadilan soal Kebiri Kimia</t>
  </si>
  <si>
    <t xml:space="preserve">https://www.cnnindonesia.com/nasional/20190827122640-32-424979/dpr-minta-idi-laksanakan-putusan-pengadilan-soal-kebiri-kimia </t>
  </si>
  <si>
    <t>Perempuan Dalam Kekekerasan</t>
  </si>
  <si>
    <t>p-14878-te</t>
  </si>
  <si>
    <t>2019-08-13</t>
  </si>
  <si>
    <t>Ade Armando: Putusan Kasus Kekerasan Seksual Rizky Amelia Ganjil</t>
  </si>
  <si>
    <t xml:space="preserve">https://metro.tempo.co/read/1235200/ade-armando-putusan-kasus-kekerasan-seksual-rizky-amelia-ganjil </t>
  </si>
  <si>
    <t>p-15707-ti</t>
  </si>
  <si>
    <t>DPR Tak Serius Bahas RUU PKS. Hanya Dihadiri Tiga Orang.</t>
  </si>
  <si>
    <t xml:space="preserve">https://tirto.id/dpr-tak-serius-bahas-ruu-pks-hanya-dihadiri-tiga-orang-eg9X </t>
  </si>
  <si>
    <t>p-15908-de</t>
  </si>
  <si>
    <t>KPAI Desak Polisi Tangkap Pelaku Begal Payudara di Bintaro Tangsel</t>
  </si>
  <si>
    <t xml:space="preserve">https://news.detik.com/berita/d-4660377/kpai-desak-polisi-tangkap-pelaku-begal-payudara-di-bintaro-tangsel </t>
  </si>
  <si>
    <t>p-16051-re</t>
  </si>
  <si>
    <t>2019-09-02</t>
  </si>
  <si>
    <t>57-kasus-kekerasan-seksual-dialami-korban-bencana-sulteng</t>
  </si>
  <si>
    <t>57 Kasus Kekerasan Seksual Dialami Korban Bencana Sulteng</t>
  </si>
  <si>
    <t xml:space="preserve">https://nasional.republika.co.id/berita/px71dg382/57-kasus-kekerasan-seksual-dialami-korban-bencana-sulteng </t>
  </si>
  <si>
    <t>p-16125-re</t>
  </si>
  <si>
    <t>2019-09-03</t>
  </si>
  <si>
    <t>kasus-pelecehan-menimpa-siswi-smp-pelaku-masih-keluarga</t>
  </si>
  <si>
    <t>Kasus Pelecehan Menimpa Siswi SMP, Pelaku Masih Keluarga</t>
  </si>
  <si>
    <t xml:space="preserve">https://nasional.republika.co.id/berita/px8gxg0/kasus-pelecehan-menimpa-siswi-smp-pelaku-masih-keluarga </t>
  </si>
  <si>
    <t>i-376-cn</t>
  </si>
  <si>
    <t>Rudiantara Ancam Tutup Instagram soal Komik Muslim Gay</t>
  </si>
  <si>
    <t xml:space="preserve">https://www.cnnindonesia.com/nasional/20190211155105-20-368239/rudiantara-ancam-tutup-instagram-soal-komik-muslim-gay </t>
  </si>
  <si>
    <t>i-524-ko</t>
  </si>
  <si>
    <t>februari</t>
  </si>
  <si>
    <t>2019-02-19</t>
  </si>
  <si>
    <t>Barang Waria Korban Pembunuhan di Palembang Hilang</t>
  </si>
  <si>
    <t xml:space="preserve">https://regional.kompas.com/read/2019/02/19/17511981/barang-waria-korban-pembunuhan-di-palembang-hilang </t>
  </si>
  <si>
    <t>i-1338-tr</t>
  </si>
  <si>
    <t>Gara-gara Hukum Mati LGBT, Akun Sosmed Hotel Milik Sultan Brunei Diserang</t>
  </si>
  <si>
    <t xml:space="preserve">http://www.tribunnews.com/internasional/2019/04/06/diserang-gara-gara-hukum-mati-lgbt-akun-sosmed-hotel-milik-sultan-brunei-diserang </t>
  </si>
  <si>
    <t>Pemkot Palembang Bakal Larang Film 'Kucumbu Tubuh Indahku'</t>
  </si>
  <si>
    <t xml:space="preserve">https://www.cnnindonesia.com/nasional/20190428193007-20-390330/pemkot-palembang-bakal-larang-film-kucumbu-tubuh-indahku </t>
  </si>
  <si>
    <t>i-1390-ti</t>
  </si>
  <si>
    <t>PBB Kecam Kebijakan Hukuman Mati LGBT di Brunei</t>
  </si>
  <si>
    <t xml:space="preserve">https://tirto.id/pbb-kecam-kebijakan-hukuman-mati-lgbt-di-brunei-dkVs </t>
  </si>
  <si>
    <t>2019-04-07</t>
  </si>
  <si>
    <t>Terapkan Hukum Syariah Ketat, Sultan Brunei Dituding Meniru ISIS</t>
  </si>
  <si>
    <t xml:space="preserve">https://internasional.kompas.com/read/2019/04/07/10225881/terapkan-hukum-syariah-ketat-sultan-brunei-dituding-meniru-isis </t>
  </si>
  <si>
    <t>i-1873-cn</t>
  </si>
  <si>
    <t>Parlemen Taiwan Loloskan Aturan Pernikahan Sesama Jenis</t>
  </si>
  <si>
    <t xml:space="preserve">https://www.cnnindonesia.com/internasional/20190517144331-106-395762/parlemen-taiwan-loloskan-aturan-pernikahan-sesama-jenis </t>
  </si>
  <si>
    <t>i-1892-cn</t>
  </si>
  <si>
    <t>2019-05-19</t>
  </si>
  <si>
    <t xml:space="preserve">'Rocketman' Dibicarakan Karena Adegan LGBTQ </t>
  </si>
  <si>
    <t xml:space="preserve">https://www.cnnindonesia.com/hiburan/20190519143707-220-396204/rocketman-dibicarakan-karena-adegan-lgbtq </t>
  </si>
  <si>
    <t>Okesone</t>
  </si>
  <si>
    <t>Perempuan</t>
  </si>
  <si>
    <t>p-2392-ko</t>
  </si>
  <si>
    <t>Putri R Kelly Angkat Bicara soal Sisi Gelap Ayahnya yang Dia Sebut seperti Monster</t>
  </si>
  <si>
    <t xml:space="preserve">https://entertainment.kompas.com/read/2019/01/12/100130110/putri-r-kelly-angkat-bicara-soal-sisi-gelap-ayahnya-yang-dia-sebut </t>
  </si>
  <si>
    <t>p-866-su</t>
  </si>
  <si>
    <t>Bongkar Kasus Perkosaan, Polda DIY Periksa Pers Mahasiswa Balairung UGM</t>
  </si>
  <si>
    <t xml:space="preserve">https://www.suara.com/news/2019/01/07/190143/bongkar-kasus-perkosaan-polda-diy-periksa-pers-mahasiswa-balairung-ugm </t>
  </si>
  <si>
    <t>januari</t>
  </si>
  <si>
    <t>perempuan</t>
  </si>
  <si>
    <t>p-2016-tr</t>
  </si>
  <si>
    <t>bbc indonesia</t>
  </si>
  <si>
    <t>Pendiri situs porno Korsel dipenjara dan denda Rp17,6 miliar</t>
  </si>
  <si>
    <t xml:space="preserve">http://www.tribunnews.com/internasional/2019/01/10/pendiri-situs-porno-korsel-dipenjara-dan-denda-rp176-miliar </t>
  </si>
  <si>
    <t>p-21-te</t>
  </si>
  <si>
    <t>2019-01-01</t>
  </si>
  <si>
    <t>Eks Sekretaris Pejabat BPJS Sempat Diminta Tandatangani Surat PHK</t>
  </si>
  <si>
    <t xml:space="preserve">https://metro.tempo.co/read/1160618/eks-sekretaris-pejabat-bpjs-sempat-diminta-tandatangani-surat-phk </t>
  </si>
  <si>
    <t>p-3044-ko</t>
  </si>
  <si>
    <t>Sedang Hamil Tua dan Menyusui, Tersangka Mucikari F Tidak Ditahan</t>
  </si>
  <si>
    <t xml:space="preserve">https://regional.kompas.com/read/2019/01/16/23315801/sedang-hamil-tua-dan-menyusui-tersangka-mucikari-f-tidak-ditahan </t>
  </si>
  <si>
    <t>p-11072-cn</t>
  </si>
  <si>
    <t>2019-06-07</t>
  </si>
  <si>
    <t>Efek Kasus Pemerkosaan, Neymar Terancam Ditinggal Sponsor</t>
  </si>
  <si>
    <t xml:space="preserve">https://www.cnnindonesia.com/olahraga/20190607130839-142-401561/efek-kasus-pemerkosaan-neymar-terancam-ditinggal-sponsor </t>
  </si>
  <si>
    <t>p-2071-de</t>
  </si>
  <si>
    <t>2019-01-11</t>
  </si>
  <si>
    <t>Dewas BPJS TK: SAB Akui Punya Hubungan Khusus dengan Stafnya</t>
  </si>
  <si>
    <t xml:space="preserve">https://news.detik.com/berita/d-4380615/dewas-bpjs-tk-sab-akui-punya-hubungan-khusus-dengan-stafnya </t>
  </si>
  <si>
    <t>p-635-cn</t>
  </si>
  <si>
    <t>Pedangdut Masuk Daftar 45 Artis Terlibat Prostitusi Online</t>
  </si>
  <si>
    <t xml:space="preserve">https://www.cnnindonesia.com/nasional/20190107160307-12-359040/pedangdut-masuk-daftar-45-artis-terlibat-prostitusi-online </t>
  </si>
  <si>
    <t>DJSN Bentuk Tim Panel untuk Tangani Kasus Rizky Amelia</t>
  </si>
  <si>
    <t xml:space="preserve">https://metro.tempo.co/read/1163531/djsn-bentuk-tim-panel-untuk-tangani-kasus-rizky-amelia </t>
  </si>
  <si>
    <t>p-5899-de</t>
  </si>
  <si>
    <t>sepakbola</t>
  </si>
  <si>
    <t>Olok-olok Suporter Newcastle Jets untuk Simic</t>
  </si>
  <si>
    <t xml:space="preserve">https://sport.detik.com/sepakbola/liga-indonesia/d-4425918/olok-olok-suporter-newcastle-jets-untuk-simic </t>
  </si>
  <si>
    <t>p-5273-su</t>
  </si>
  <si>
    <t>Mahasiswi S2 Jual PSK Rp 2 Juta Sekali Hubungan Seks Perjam di Twitter</t>
  </si>
  <si>
    <t xml:space="preserve">https://www.suara.com/news/2019/02/06/154243/mahasiswi-s2-jual-psk-rp-2-juta-sekali-hubungan-seks-perjam-di-twitter </t>
  </si>
  <si>
    <t>i-1740-ti</t>
  </si>
  <si>
    <t>Ratusan Pasangan Sesama Jenis Daftarkan Pernikahan di Taiwan</t>
  </si>
  <si>
    <t xml:space="preserve">https://tirto.id/ratusan-pasangan-sesama-jenis-daftarkan-pernikahan-di-taiwan-dZdK </t>
  </si>
  <si>
    <t>i-1748-su</t>
  </si>
  <si>
    <t>Sah, Akhirnya Taiwan Melegalkan Pernikahan Sesama Jenis</t>
  </si>
  <si>
    <t xml:space="preserve">https://www.suara.com/lifestyle/2019/05/18/220500/sah-akhirnya-taiwan-melegalkan-pernikahan-sesama-jenis </t>
  </si>
  <si>
    <t xml:space="preserve">Perempuan </t>
  </si>
  <si>
    <t>p-5660-ti</t>
  </si>
  <si>
    <t>pendidikan</t>
  </si>
  <si>
    <t>Kasus Agni: Bagaimana UGM Mengabaikan Kasus Kekerasan Seksual</t>
  </si>
  <si>
    <t xml:space="preserve">https://tirto.id/kasus-agni-bagaimana-ugm-mengabaikan-kasus-kekerasan-seksual-dgpM </t>
  </si>
  <si>
    <t>i-1948-cn</t>
  </si>
  <si>
    <t>Polisi Inggris Usut Lima Remaja Penganiaya Pasangan Lesbian</t>
  </si>
  <si>
    <t xml:space="preserve">https://www.cnnindonesia.com/internasional/20190609072258-134-401835/polisi-inggris-usut-lima-remaja-penganiaya-pasangan-lesbian </t>
  </si>
  <si>
    <t>i-2052-re</t>
  </si>
  <si>
    <t>alarm-bagi-orang-tua-dari-tampilan-lgbt-dalam-serial-kartun</t>
  </si>
  <si>
    <t>Alarm Bagi Orang Tua dari Tampilan LGBT dalam Serial Kartun</t>
  </si>
  <si>
    <t xml:space="preserve">https://republika.co.id/berita/pty6l5349/alarm-bagi-orang-tua-dari-tampilan-lgbt-dalam-serial-kartun </t>
  </si>
  <si>
    <t>i-2095-ko</t>
  </si>
  <si>
    <t>Menolak Berciuman di Depan Umum, Pasangan Gay Ini Dihajar</t>
  </si>
  <si>
    <t xml:space="preserve">https://internasional.kompas.com/read/2019/06/08/15463171/menolak-berciuman-di-depan-umum-pasangan-gay-ini-dihajar </t>
  </si>
  <si>
    <t>i-2132-de</t>
  </si>
  <si>
    <t>book</t>
  </si>
  <si>
    <t>Tuai Kontroversi Singgung LGBT, Penulis 'The Notebook' Minta Maaf</t>
  </si>
  <si>
    <t xml:space="preserve">https://hot.detik.com/book/d-4591930/tuai-kontroversi-singgung-lgbt-penulis-the-notebook-minta-maaf </t>
  </si>
  <si>
    <t>i-2183-te</t>
  </si>
  <si>
    <t>i-1384-ko</t>
  </si>
  <si>
    <t>2019-04-16</t>
  </si>
  <si>
    <t xml:space="preserve">6 Fakta Kasus Mayat dalam Koper, Pelaku Pinjam Koper Milik Ibu hingga Alasan Korban Dimutilasi </t>
  </si>
  <si>
    <t xml:space="preserve">https://regional.kompas.com/read/2019/04/16/12150071/6-fakta-kasus-mayat-dalam-koper-pelaku-pinjam-koper-milik-ibu-hingga-alasan </t>
  </si>
  <si>
    <t>i-1922-cn</t>
  </si>
  <si>
    <t>2019-06-12</t>
  </si>
  <si>
    <t>Berkonten Gay, 'Rocketman' Dilarang Tayang di Samoa</t>
  </si>
  <si>
    <t xml:space="preserve">https://www.cnnindonesia.com/hiburan/20190612094459-220-402595/berkonten-gay-rocketman-dilarang-tayang-di-samoa </t>
  </si>
  <si>
    <t>i-2090-ti</t>
  </si>
  <si>
    <t>Macet, Semrawut, Korupsi. Solusi Pemkot Depok: Jadi Kota Religius</t>
  </si>
  <si>
    <t xml:space="preserve">https://tirto.id/macet-semrawut-korupsi-solusi-pemkot-depok-jadi-kota-religius-ecj4 </t>
  </si>
  <si>
    <t>i-2551-de</t>
  </si>
  <si>
    <t>DPRD Soroti Kontes Waria di Pangkalpinang</t>
  </si>
  <si>
    <t xml:space="preserve">https://news.detik.com/berita/d-4606921/dprd-soroti-kontes-waria-di-pangkalpinang </t>
  </si>
  <si>
    <t>i-2981-li</t>
  </si>
  <si>
    <t>2019-08-30</t>
  </si>
  <si>
    <t>Teddy Quinlivan, Model Transgender Pertama yang Tampil di Iklan Chanel</t>
  </si>
  <si>
    <t xml:space="preserve">https://www.liputan6.com/lifestyle/read/4050486/teddy-quinlivan-model-transgender-pertama-yang-tampil-di-iklan-chanel </t>
  </si>
  <si>
    <t>senin</t>
  </si>
  <si>
    <t>Perempuan dalam kekerasan</t>
  </si>
  <si>
    <t>d-13170-ti</t>
  </si>
  <si>
    <t>Penyerang Sopir Bus di Cipali Dipastikan Sakit Jiwa, Berpotensi SP3</t>
  </si>
  <si>
    <t xml:space="preserve">https://tirto.id/penyerang-sopir-bus-di-cipali-dipastikan-sakit-jiwa-berpotensi-sp3-ed9M </t>
  </si>
  <si>
    <t>d-14774-de</t>
  </si>
  <si>
    <t>Pemuda yang Tusuk Adiknya hingga Tewas Diduga Dalami Ilmu Kebatinan</t>
  </si>
  <si>
    <t xml:space="preserve">https://www.liputan6.com/news/read/4011924/pemuda-yang-tusuk-adiknya-hingga-tewas-diduga-dalami-ilmu-kebatinan </t>
  </si>
  <si>
    <t>d-15871-ko</t>
  </si>
  <si>
    <t>2019-08-25</t>
  </si>
  <si>
    <t>Cerita Penyandang Difabel Kibarkan Bendera Merah Putih Dalam Laut, Awalnya Ragu</t>
  </si>
  <si>
    <t xml:space="preserve">https://regional.kompas.com/read/2019/08/25/14131851/cerita-penyandang-difabel-kibarkan-bendera-merah-putih-dalam-laut-awalnya </t>
  </si>
  <si>
    <t>d-15992-cn</t>
  </si>
  <si>
    <t>Pelaku Penyerangan Polisi di Pati Dibawa ke Rumah Sakit Jiwa</t>
  </si>
  <si>
    <t xml:space="preserve">https://www.cnnindonesia.com/nasional/20190827191937-12-425140/pelaku-penyerangan-polisi-di-pati-dibawa-ke-rumah-sakit-jiwa </t>
  </si>
  <si>
    <t>Aksi Pria Difabel Turun dari Kursi Roda Demi Selamatkan Anak Kucing, Bikin Salut</t>
  </si>
  <si>
    <t xml:space="preserve">https://hot.liputan6.com/read/4035648/aksi-pria-difabel-turun-dari-kursi-roda-demi-selamatkan-anak-kucing-bikin-salut </t>
  </si>
  <si>
    <t>d-14142-tr</t>
  </si>
  <si>
    <t>AXA Mandiri Rangkul Penyandang Autisme Melalui CR Week 2019</t>
  </si>
  <si>
    <t xml:space="preserve">http://www.tribunnews.com/kesehatan/2019/07/05/axa-mandiri-rangkul-penyandang-autisme-melalui-cr-week-2019 </t>
  </si>
  <si>
    <t>d-16591-su</t>
  </si>
  <si>
    <t>otomotif</t>
  </si>
  <si>
    <t>Dituduh Menertawakan Motor Difabel, Orang Ini Panen Komentar Pedas</t>
  </si>
  <si>
    <t xml:space="preserve">https://www.suara.com/otomotif/2019/08/01/144528/dituduh-menertawakan-motor-difabel-orang-ini-panen-komentar-pedas </t>
  </si>
  <si>
    <t>i-18-li</t>
  </si>
  <si>
    <t>Mahkamah Agung AS Loloskan Larangan Transgender jadi Tentara</t>
  </si>
  <si>
    <t xml:space="preserve">https://www.liputan6.com/global/read/3878159/mahkamah-agung-as-loloskan-larangan-transgender-jadi-tentara </t>
  </si>
  <si>
    <t>i-67-su</t>
  </si>
  <si>
    <t>Lewat Foto, Pasangan Ini Kampanyekan Pernikahan Sejenis di Jepang</t>
  </si>
  <si>
    <t xml:space="preserve">https://www.suara.com/lifestyle/2019/01/14/010000/lewat-foto-pasangan-ini-kampanyekan-pernikahan-sejenis-di-jepang </t>
  </si>
  <si>
    <t>Lgbt</t>
  </si>
  <si>
    <t>i-226-su</t>
  </si>
  <si>
    <t>2019-01-09</t>
  </si>
  <si>
    <t>Punya Fantasi Seksual Sesama Jenis, Indikasi Homoseksual?</t>
  </si>
  <si>
    <t xml:space="preserve">https://www.suara.com/lifestyle/2019/01/09/200000/punya-fantasi-seksual-sesama-jenis-indikasi-homoseksual </t>
  </si>
  <si>
    <t>i-507-su</t>
  </si>
  <si>
    <t>Heboh Akun Komik Muslim Gay di Instagram</t>
  </si>
  <si>
    <t xml:space="preserve">https://www.suara.com/news/2019/02/10/153947/heboh-akun-komik-muslim-gay-di-instagram </t>
  </si>
  <si>
    <t>i-664-ko</t>
  </si>
  <si>
    <t>Seorang Waria Ditemukan Tewas Diduga Korban Pembunuhan</t>
  </si>
  <si>
    <t xml:space="preserve">https://regional.kompas.com/read/2019/02/18/07295601/seorang-waria-ditemukan-tewas-diduga-korban-pembunuhan </t>
  </si>
  <si>
    <t>i-689-tr</t>
  </si>
  <si>
    <t>2019-02-04</t>
  </si>
  <si>
    <t>sulawesi</t>
  </si>
  <si>
    <t>Empat Waria Diduga Pelaku Begal Diciduk Tim Resmob Polda Sulsel</t>
  </si>
  <si>
    <t xml:space="preserve">http://www.tribunnews.com/regional/2019/02/04/empat-waria-diduga-pelaku-begal-diciduk-tim-resmob-polda-sulsel </t>
  </si>
  <si>
    <t>i-1113-de</t>
  </si>
  <si>
    <t>2019-03-16</t>
  </si>
  <si>
    <t>RUU P-KS Disebut Legalkan Zina, Bamsoet: Itu Ngawur dan Omong Kosong</t>
  </si>
  <si>
    <t xml:space="preserve">https://news.detik.com/berita/d-4470178/ruu-p-ks-disebut-legalkan-zina-bamsoet-itu-ngawur-dan-omong-kosong </t>
  </si>
  <si>
    <t>Hukum Mati LGBT, Brunei Pelajari Syariat Islam di Aceh</t>
  </si>
  <si>
    <t xml:space="preserve">https://news.detik.com/berita/d-4496433/hukum-mati-lgbt-brunei-pelajari-syariat-islam-di-aceh </t>
  </si>
  <si>
    <t>i-1422-ko</t>
  </si>
  <si>
    <t>Brunei Berlakukan Hukum Rajam sampai Mati terhadap Pelaku LGBT dan Zina</t>
  </si>
  <si>
    <t xml:space="preserve">https://internasional.kompas.com/read/2019/04/05/08153541/brunei-berlakukan-hukum-rajam-sampai-mati-terhadap-pelaku-lgbt-dan-zina </t>
  </si>
  <si>
    <t>i-1531-su</t>
  </si>
  <si>
    <t>Dituding Melanggar HAM, Brunei Ungkap Alasan Hukuman Mati Bagi LGBT</t>
  </si>
  <si>
    <t xml:space="preserve">https://www.suara.com/news/2019/04/13/075754/dituding-melanggar-ham-brunei-ungkap-alasan-hukuman-mati-bagi-lgbt </t>
  </si>
  <si>
    <t>2019-04-10</t>
  </si>
  <si>
    <t>gaya hidup</t>
  </si>
  <si>
    <t>Abdul Azim, Pangeran Brunei yang Mesra dengan Tokoh &amp; Aktivis LGBT</t>
  </si>
  <si>
    <t xml:space="preserve">https://tirto.id/abdul-azim-pangeran-brunei-yang-mesra-dengan-tokoh-aktivis-lgbt-dlDM </t>
  </si>
  <si>
    <t>i-1679-ok</t>
  </si>
  <si>
    <t xml:space="preserve">Dikritik Soal Hukum Anti-LGBT, Sultan Brunei Kembalikan Gelar dari Oxford </t>
  </si>
  <si>
    <t xml:space="preserve">https://news.okezone.com/read/2019/05/24/18/2059801/dikritik-soal-hukum-anti-lgbt-sultan-brunei-kembalikan-gelar-dari-oxford </t>
  </si>
  <si>
    <t>i-1701-re</t>
  </si>
  <si>
    <t>Brunei Darussalam Tunda Hukuman Mati untuk Homoseksual</t>
  </si>
  <si>
    <t xml:space="preserve">https://internasional.republika.co.id/berita/internasional/asia/pr2lqf382/brunei-darussalam-tunda-hukuman-mati-untuk-homoseksual </t>
  </si>
  <si>
    <t>i-1741-tr</t>
  </si>
  <si>
    <t>Empat Waria Terjaring Razia Satpol PP di Apartemen Modernland Tangerang</t>
  </si>
  <si>
    <t xml:space="preserve">http://www.tribunnews.com/metropolitan/2019/05/17/empat-waria-terjaring-razia-satpol-pp-di-apartemen-modernland-tangerang </t>
  </si>
  <si>
    <t>TRIBUNNEWS.COM, TANGERANG - Empat waria terjaring razia yang digelar Satpol PP Kota Tangerang di Apartemen Modernland, Kamis (16/5/2019). ...</t>
  </si>
  <si>
    <t>i-1768-su</t>
  </si>
  <si>
    <t>Sosok Pacar Baru Lucinta Luna Terungkap, Nama Aslinya Ester</t>
  </si>
  <si>
    <t xml:space="preserve">https://www.suara.com/entertainment/2019/05/21/170903/sosok-pacar-baru-lucinta-luna-terungkap-nama-aslinya-ester </t>
  </si>
  <si>
    <t>i-1925-re</t>
  </si>
  <si>
    <t>Kucumbu Tubuh Indahku Dinilai tak Sesuai Adat Basandi Syara'</t>
  </si>
  <si>
    <t xml:space="preserve">https://senggang.republika.co.id/berita/senggang/film/pr6ngu459/ltemgtkucumbu-tubuh-indahkultemgt-dinilai-tak-sesuai-adat-basandi-syara </t>
  </si>
  <si>
    <t>i-2019-ti</t>
  </si>
  <si>
    <t>Suka Duka Para Waria Belajar Agama di Pesantren Al Fatah Yogyakarta</t>
  </si>
  <si>
    <t xml:space="preserve">https://tirto.id/suka-duka-para-waria-belajar-agama-di-pesantren-al-fatah-yogyakarta-d9uV </t>
  </si>
  <si>
    <t>i-2121-de</t>
  </si>
  <si>
    <t>2019-06-18</t>
  </si>
  <si>
    <t>music</t>
  </si>
  <si>
    <t>Ada LGBT di Balik Alasan Damai Taylor Swift dan Katy Perry?</t>
  </si>
  <si>
    <t xml:space="preserve">https://hot.detik.com/music/d-4590715/ada-lgbt-di-balik-alasan-damai-taylor-swift-dan-katy-perry </t>
  </si>
  <si>
    <t>i-2136-ko</t>
  </si>
  <si>
    <t>YouTuber Ini Beli Sebuah Kota Kecil di AS untuk Diubah Namanya</t>
  </si>
  <si>
    <t xml:space="preserve">https://internasional.kompas.com/read/2019/06/19/06100011/youtuber-ini-beli-sebuah-kota-kecil-di-as-untuk-diubah-namanya </t>
  </si>
  <si>
    <t xml:space="preserve">Rabu </t>
  </si>
  <si>
    <t>i-2176-ok</t>
  </si>
  <si>
    <t>2019-06-28</t>
  </si>
  <si>
    <t>Elsa Jadi Lesbian dalam Frozen 2? Ini Penjelasan Penulis Skenario</t>
  </si>
  <si>
    <t xml:space="preserve">https://celebrity.okezone.com/read/2019/06/28/206/2072073/elsa-jadi-lesbian-dalam-frozen-2-ini-penjelasan-penulis-skenario </t>
  </si>
  <si>
    <t>p-15960-cn</t>
  </si>
  <si>
    <t>Perempuan Dalam Kekerasan</t>
  </si>
  <si>
    <t>Polisi Selidiki Kasus Pembunuhan Perempuan Baduy</t>
  </si>
  <si>
    <t xml:space="preserve">https://www.cnnindonesia.com/nasional/20190901192625-12-426609/polisi-selidiki-kasus-pembunuhan-perempuan-baduy </t>
  </si>
  <si>
    <t>i-2252-tr</t>
  </si>
  <si>
    <t>Anto Curi Obat HIV Senilai Rp 75 Juta Milik Bule Canavacciulo, Pasangannya Sesama Jenis</t>
  </si>
  <si>
    <t xml:space="preserve">http://www.tribunnews.com/regional/2019/07/02/anto-curi-obat-hiv-senilai-rp-75-juta-milik-pasangannya-sesama-jenis </t>
  </si>
  <si>
    <t>i-2373-te</t>
  </si>
  <si>
    <t>Anggota DPRD Kota Depok Ini Ungkap Bahaya Usulan Perda Anti LGBT</t>
  </si>
  <si>
    <t xml:space="preserve">https://metro.tempo.co/read/1227856/anggota-dprd-kota-depok-ini-ungkap-bahaya-usulan-perda-anti-lgbt </t>
  </si>
  <si>
    <t>i-2408-ti</t>
  </si>
  <si>
    <t>2019-07-31</t>
  </si>
  <si>
    <t>Perda Larangan LGBT di Depok Justru Bisa Perparah Penyebaran HIV</t>
  </si>
  <si>
    <t xml:space="preserve">https://tirto.id/perda-larangan-lgbt-di-depok-justru-bisa-perparah-penyebaran-hiv-efnW </t>
  </si>
  <si>
    <t>i-2557-su</t>
  </si>
  <si>
    <t>Detik-detik Polisi Bubarkan Pawai LGBT dengan Gas Air Mata</t>
  </si>
  <si>
    <t xml:space="preserve">https://www.suara.com/news/2019/07/01/110534/detik-detik-polisi-bubarkan-pawai-lgbt-dengan-gas-air-mata </t>
  </si>
  <si>
    <t>i-2653-ok</t>
  </si>
  <si>
    <t>jabar</t>
  </si>
  <si>
    <t>Over Kapasitas Rutan &amp; Lapas Berdampak Napi Jadi Suka Sejenis</t>
  </si>
  <si>
    <t xml:space="preserve">https://news.okezone.com/read/2019/07/08/525/2076072/over-kapasitas-rutan-lapas-berdampak-napi-jadi-suka-sejenis </t>
  </si>
  <si>
    <t>i-2718-ok</t>
  </si>
  <si>
    <t>2019-08-09</t>
  </si>
  <si>
    <t>Pacar Punya Kekasih Lain, Pria Gay Siram Cairan Asam ke Wajah Seorang Wanita</t>
  </si>
  <si>
    <t xml:space="preserve">https://news.okezone.com/read/2019/08/09/18/2090042/pacar-punya-kekasih-lain-pria-gay-siram-cairan-asam-ke-wajah-seorang-wanita </t>
  </si>
  <si>
    <t>i-2719-cn</t>
  </si>
  <si>
    <t>AS Eksekusi Mati Pelaku Pembunuhan Tiga Gay</t>
  </si>
  <si>
    <t xml:space="preserve">https://www.cnnindonesia.com/internasional/20190823130811-134-424068/as-eksekusi-mati-pelaku-pembunuhan-tiga-gay </t>
  </si>
  <si>
    <t>i-2850-ti</t>
  </si>
  <si>
    <t>Sidang Gugatan Pemecatan Kru Persma Suara USU Dimulai 14 Agustus</t>
  </si>
  <si>
    <t xml:space="preserve">https://tirto.id/sidang-gugatan-pemecatan-kru-persma-suara-usu-dimulai-14-agustus-efMq </t>
  </si>
  <si>
    <t>i-2896-de</t>
  </si>
  <si>
    <t>Rektor USU Bubarkan Pengurus Persma karena Cerpen Lesbian, Ahli: Represif</t>
  </si>
  <si>
    <t xml:space="preserve">https://news.detik.com/berita/d-4655443/rektor-usu-bubarkan-pengurus-persma-karena-cerpen-lesbian-ahli-represif </t>
  </si>
  <si>
    <t>p-2372-cn</t>
  </si>
  <si>
    <t>2019-01-26</t>
  </si>
  <si>
    <t>Dituduh Lakukan Pelecehan ke Bocah, Bryan Singer Tetap Laris</t>
  </si>
  <si>
    <t xml:space="preserve">https://www.cnnindonesia.com/hiburan/20190125171334-234-363891/dituduh-lakukan-pelecehan-ke-bocah-bryan-singer-tetap-laris </t>
  </si>
  <si>
    <t>p-4355-cn</t>
  </si>
  <si>
    <t>Tagih Utang Pakai Pesan Asusila, 4 Kolektor Ditangkap Polisi</t>
  </si>
  <si>
    <t xml:space="preserve">https://www.cnnindonesia.com/nasional/20190108214046-12-359418/tagih-utang-pakai-pesan-asusila-4-kolektor-ditangkap-polisi </t>
  </si>
  <si>
    <t>p-6421-cn</t>
  </si>
  <si>
    <t>Emak-emak Gelar Aksi #SaveVanessa di Polda Jatim</t>
  </si>
  <si>
    <t xml:space="preserve">https://www.cnnindonesia.com/nasional/20190201132052-12-365663/emak-emak-gelar-aksi-savevanessa-di-polda-jatim </t>
  </si>
  <si>
    <t>p-6889-ok</t>
  </si>
  <si>
    <t>2019-03-15</t>
  </si>
  <si>
    <t>Jika Menang Pemilu, Pihak Oposisi Australia Akan Permudah Aborsi</t>
  </si>
  <si>
    <t xml:space="preserve">https://news.okezone.com/read/2019/03/15/18/2030244/jika-menang-pemilu-pihak-oposisi-australia-akan-permudah-aborsi </t>
  </si>
  <si>
    <t>p-7620-su</t>
  </si>
  <si>
    <t>Diperkosa, Ibu Bakar Diri Bersama Pelakunya</t>
  </si>
  <si>
    <t xml:space="preserve">https://www.suara.com/news/2019/03/07/162523/diperkosa-ibu-bakar-diri-bersama-pelakunya </t>
  </si>
  <si>
    <t>eropa</t>
  </si>
  <si>
    <t>Sebut Korban Pemerkosaan Jelek, Pengadilan Italia Diprotes</t>
  </si>
  <si>
    <t xml:space="preserve">https://internasional.republika.co.id/berita/internasional/eropa/po9x7b382/sebut-korban-pemerkosaan-jelek-pengadilan-italia-diprotes </t>
  </si>
  <si>
    <t>p-8480-ti</t>
  </si>
  <si>
    <t>2019-03-01</t>
  </si>
  <si>
    <t>PKBI Nilai Aturan Soal Aborsi Aman Belum Berpihak Pada Perempuan</t>
  </si>
  <si>
    <t xml:space="preserve">https://tirto.id/pkbi-nilai-aturan-soal-aborsi-aman-belum-berpihak-pada-perempuan-didM </t>
  </si>
  <si>
    <t>p-8787-re</t>
  </si>
  <si>
    <t>Amnesty Temukan Angka Pemerkosaan Tinggi di Negara Nordik</t>
  </si>
  <si>
    <t xml:space="preserve">https://internasional.republika.co.id/berita/internasional/eropa/ppfewk382/amnesty-temukan-angka-pemerkosaan-tinggi-di-negara-nordik </t>
  </si>
  <si>
    <t>p-9286-ok</t>
  </si>
  <si>
    <t>2019-04-12</t>
  </si>
  <si>
    <t xml:space="preserve"> Polisi Limpahkan 2 Berkas Tersangka Kasus Audrey   </t>
  </si>
  <si>
    <t xml:space="preserve">https://news.okezone.com/read/2019/04/12/340/2042834/polisi-limpahkan-2-berkas-tersangka-kasus-audrey </t>
  </si>
  <si>
    <t>p-9404-ok</t>
  </si>
  <si>
    <t>Setelah Perkara Suap, Choi Jong Hoon Dijerat Kasus Video Porno</t>
  </si>
  <si>
    <t xml:space="preserve">https://celebrity.okezone.com/read/2019/04/01/33/2037790/setelah-perkara-suap-choi-jong-hoon-dijerat-kasus-video-porno </t>
  </si>
  <si>
    <t>p-9718-ti</t>
  </si>
  <si>
    <t>2019-04-11</t>
  </si>
  <si>
    <t>Sikap Masa Bodoh Anggota DPR atas RUU Prioritas</t>
  </si>
  <si>
    <t xml:space="preserve">https://tirto.id/sikap-masa-bodoh-anggota-dpr-atas-ruu-prioritas-dlRB </t>
  </si>
  <si>
    <t>p-9940-su</t>
  </si>
  <si>
    <t>Merasa Dilecehkan, Perempuan Berbaju Seksi Keroyok Emak-Emak di Mall</t>
  </si>
  <si>
    <t xml:space="preserve">https://www.suara.com/lifestyle/2019/05/08/153500/merasa-dilecehkan-perempuan-berbaju-seksi-keroyok-emak-emak-di-mall </t>
  </si>
  <si>
    <t>i-1011-ok</t>
  </si>
  <si>
    <t>2019-03-29</t>
  </si>
  <si>
    <t>Mengenal Jazell Barbie, Transgender Berkulit Hitam Pertama Juara Miss Internasional 2019</t>
  </si>
  <si>
    <t xml:space="preserve">https://lifestyle.okezone.com/read/2019/03/29/194/2036680/mengenal-jazell-barbie-transgender-berkulit-hitam-pertama-juara-miss-internasional-2019 </t>
  </si>
  <si>
    <t>i-1350-te</t>
  </si>
  <si>
    <t>selebritas</t>
  </si>
  <si>
    <t>MUI Kota Depok Turut Larang Penayangan Film Kucumbu Tubuh Indahku</t>
  </si>
  <si>
    <t xml:space="preserve">https://seleb.tempo.co/read/1199929/mui-kota-depok-turut-larang-penayangan-film-kucumbu-tubuh-indahku </t>
  </si>
  <si>
    <t>i-1387-re</t>
  </si>
  <si>
    <t>2019-04-23</t>
  </si>
  <si>
    <t>abc-australia-network</t>
  </si>
  <si>
    <t>Surati Parlemen Eropa, Brunei Bela Hukuman Mati untuk Gay</t>
  </si>
  <si>
    <t xml:space="preserve">https://internasional.republika.co.id/berita/internasional/abc-australia-network/pqetdu366/surati-parlemen-eropa-brunei-bela-hukuman-mati-untuk-ltemgtgayltemgt </t>
  </si>
  <si>
    <t>i-1764-cn</t>
  </si>
  <si>
    <t>Polisi Dipecat Karena Penyuka Sesama Jenis Menggugat ke PTUN</t>
  </si>
  <si>
    <t xml:space="preserve">https://www.cnnindonesia.com/nasional/20190521022454-20-396688/polisi-dipecat-karena-penyuka-sesama-jenis-menggugat-ke-ptun </t>
  </si>
  <si>
    <t>i-1859-te</t>
  </si>
  <si>
    <t>2019-05-01</t>
  </si>
  <si>
    <t>Dianggap Berbahaya, Film Kucumbu Tubuh Indahku Aman Secara Legal</t>
  </si>
  <si>
    <t xml:space="preserve">https://seleb.tempo.co/read/1200850/dianggap-berbahaya-film-kucumbu-tubuh-indahku-aman-secara-legal </t>
  </si>
  <si>
    <t>i-1949-ko</t>
  </si>
  <si>
    <t>MA Bostwana Putuskan Menjadi Gay Bukan Tindakan Kriminal</t>
  </si>
  <si>
    <t xml:space="preserve">https://internasional.kompas.com/read/2019/06/11/18484041/ma-bostwana-putuskan-menjadi-gay-bukan-tindakan-kriminal </t>
  </si>
  <si>
    <t>i-1951-re</t>
  </si>
  <si>
    <t>Pendidikan Agama Cara Ampuh Tekan Penyakit Masyarakat</t>
  </si>
  <si>
    <t xml:space="preserve">https://nasional.republika.co.id/berita/nasional/daerah/pt6qfn423/pendidikan-agama-cara-ampuh-tekan-penyakit-masyarakat </t>
  </si>
  <si>
    <t>i-2185-tr</t>
  </si>
  <si>
    <t>Polisi Ringkus Muncikari Pijat Plus-plus Gay</t>
  </si>
  <si>
    <t xml:space="preserve">http://www.tribunnews.com/metropolitan/2019/06/28/polisi-ringkus-muncikari-pijat-plus-plus-gay </t>
  </si>
  <si>
    <t>i-2257-de</t>
  </si>
  <si>
    <t>2019-07-17</t>
  </si>
  <si>
    <t>Di Irak, Pelecehan Seksual Lebih Banyak Dialami Pria daripada Wanita</t>
  </si>
  <si>
    <t xml:space="preserve">https://news.detik.com/bbc-world/d-4627771/di-irak-pelecehan-seksual-lebih-banyak-dialami-pria-daripada-wanita </t>
  </si>
  <si>
    <t>i-2363-li</t>
  </si>
  <si>
    <t>2019-07-04</t>
  </si>
  <si>
    <t>7 Potret Anggun Dena Rachman Saat Memakai Kebaya</t>
  </si>
  <si>
    <t xml:space="preserve">https://hot.liputan6.com/read/4004766/7-potret-anggun-dena-rachman-saat-memakai-kebaya </t>
  </si>
  <si>
    <t>i-2445-te</t>
  </si>
  <si>
    <t>2019-07-19</t>
  </si>
  <si>
    <t>Pemimpin Pesantren Waria Yogya Terima Penghargaan Pembela HAM</t>
  </si>
  <si>
    <t xml:space="preserve">https://nasional.tempo.co/read/1226461/pemimpin-pesantren-waria-yogya-terima-penghargaan-pembela-ham </t>
  </si>
  <si>
    <t>i-2603-de</t>
  </si>
  <si>
    <t>Fenomena Gay-Lesbian di Lapas, Komisi III Dukung Sarana Bilik Asmara</t>
  </si>
  <si>
    <t xml:space="preserve">https://news.detik.com/berita/d-4619370/fenomena-gay-lesbian-di-lapas-komisi-iii-dukung-sarana-bilik-asmara </t>
  </si>
  <si>
    <t>selasa</t>
  </si>
  <si>
    <t>i-2952-su</t>
  </si>
  <si>
    <t>Rab</t>
  </si>
  <si>
    <t>Viral! Pasangan Gay India Menikah dengan Tradisi Hindu Kental</t>
  </si>
  <si>
    <t xml:space="preserve">https://www.suara.com/lifestyle/2019/08/07/150346/viral-pasangan-gay-india-menikah-dengan-tradisi-hindu-kental </t>
  </si>
  <si>
    <t>p-9657-te</t>
  </si>
  <si>
    <t>5 Langkah Grab Wujudkan Transportasi Online Aman Bagi Perempuan</t>
  </si>
  <si>
    <t xml:space="preserve">https://bisnis.tempo.co/read/1198824/5-langkah-grab-wujudkan-transportasi-online-aman-bagi-perempuan </t>
  </si>
  <si>
    <t>p-10596-re</t>
  </si>
  <si>
    <t>PBB Desak Myanmar Ambil Tindakan Agar Rohingya Kembali</t>
  </si>
  <si>
    <t xml:space="preserve">https://internasional.republika.co.id/berita/internasional/asia/ps3o0i368/pbb-desak-myanmar-ambil-tindakan-agar-rohingya-kembali </t>
  </si>
  <si>
    <t>p-11438-re</t>
  </si>
  <si>
    <t>p-11768-re</t>
  </si>
  <si>
    <t>Bekerja di Australia: Dilecehkan Hingga Dieksploitasi</t>
  </si>
  <si>
    <t xml:space="preserve">https://internasional.republika.co.id/berita/internasional/abc-australia-network/pt8df2/bekerja-di-australia-dilecehkan-hingga-dieksploitasi </t>
  </si>
  <si>
    <t>p-12032-ko</t>
  </si>
  <si>
    <t>Didampingi Hotman Paris, Fairuz A Rafiq dan Suami Sambangi Polda Metro Jaya</t>
  </si>
  <si>
    <t xml:space="preserve">https://entertainment.kompas.com/read/2019/07/01/102606210/didampingi-hotman-paris-fairuz-a-rafiq-dan-suami-sambangi-polda-metro </t>
  </si>
  <si>
    <t>p-13155-de</t>
  </si>
  <si>
    <t>Kisah Para Korban Pelecehan Seksual Pastor di Polandia</t>
  </si>
  <si>
    <t xml:space="preserve">https://news.detik.com/bbc-world/d-4635437/kisah-para-korban-pelecehan-seksual-pastor-di-polandia </t>
  </si>
  <si>
    <t>p-16193-su</t>
  </si>
  <si>
    <t>Hasil Forensik Gadis Baduy, Dokter: Ada Bekas Kekerasan Tumpul Pada Kelamin</t>
  </si>
  <si>
    <t xml:space="preserve">https://banten.suara.com/read/2019/09/02/201542/hasil-forensik-gadis-baduy-dokter-ada-bekas-kekerasan-tumpul-pada-kelamin </t>
  </si>
  <si>
    <t>september</t>
  </si>
  <si>
    <t>sabtu</t>
  </si>
  <si>
    <t>i-2708-cn</t>
  </si>
  <si>
    <t>2019-08-02</t>
  </si>
  <si>
    <t>Akun Twitter TNI Unggah Komik soal Bahaya LGBT</t>
  </si>
  <si>
    <t xml:space="preserve">https://www.cnnindonesia.com/nasional/20190802162919-20-417870/akun-twitter-tni-unggah-komik-soal-bahaya-lgbt </t>
  </si>
  <si>
    <t>i-2745-cn</t>
  </si>
  <si>
    <t>Valentina Sampaio,Model Transgender Pertama Victoria's Secret</t>
  </si>
  <si>
    <t xml:space="preserve">https://www.cnnindonesia.com/gaya-hidup/20190806114435-277-418803/valentina-sampaiomodel-transgender-pertama-victorias-secret </t>
  </si>
  <si>
    <t>jumat</t>
  </si>
  <si>
    <t>p-6904-te</t>
  </si>
  <si>
    <t>Aktivis Yogya Desak Pengesahan RUU Penghapusan Kekerasan Seksual</t>
  </si>
  <si>
    <t xml:space="preserve">https://nasional.tempo.co/read/1181002/aktivis-yogya-desak-pengesahan-ruu-penghapusan-kekerasan-seksual </t>
  </si>
  <si>
    <t>p-10031-ko</t>
  </si>
  <si>
    <t>Cegah Kekerasan Seksual, Bangladesh Minta Madrasah Tunjuk Mentor Perempuan</t>
  </si>
  <si>
    <t xml:space="preserve">https://internasional.kompas.com/read/2019/05/31/21010911/cegah-kekerasan-seksual-bangladesh-minta-madrasah-tunjuk-mentor </t>
  </si>
  <si>
    <t>p-10073-ko</t>
  </si>
  <si>
    <t>2019-05-04</t>
  </si>
  <si>
    <t>6 Fakta Oknum Desertir TNI Culik dan Perkosa 7 Anak, Ditangkap di Kolong Rumah hingga Nyaris Dihakimi Massa</t>
  </si>
  <si>
    <t xml:space="preserve">https://regional.kompas.com/read/2019/05/04/15230851/6-fakta-oknum-desertir-tni-culik-dan-perkosa-7-anak-ditangkap-di-kolong </t>
  </si>
  <si>
    <t>p-10824-re</t>
  </si>
  <si>
    <t xml:space="preserve">Pelaku Mutilasi Dituntut 15 Tahun Penjara </t>
  </si>
  <si>
    <t xml:space="preserve">https://nasional.republika.co.id/berita/nasional/daerah/prssy9335/pelaku-mutilasi-dituntut-15-tahun-penjara </t>
  </si>
  <si>
    <t>p-10830-te</t>
  </si>
  <si>
    <t>Swedia Buka Lagi Kasus Dugaan Perkosaan oleh Julian Assange</t>
  </si>
  <si>
    <t xml:space="preserve">https://dunia.tempo.co/read/1204994/swedia-buka-lagi-kasus-dugaan-perkosaan-oleh-julian-assange </t>
  </si>
  <si>
    <t>p-10846-de</t>
  </si>
  <si>
    <t>Ribuan Wanita Korut Diselundupkan dan Dijual Jadi Budak Seks di China</t>
  </si>
  <si>
    <t xml:space="preserve">https://news.detik.com/internasional/d-4559033/ribuan-wanita-korut-diselundupkan-dan-dijual-jadi-budak-seks-di-china </t>
  </si>
  <si>
    <t>p-11088-ok</t>
  </si>
  <si>
    <t>2019-06-21</t>
  </si>
  <si>
    <t>Pengantin Baru di Jerman Tewas Setelah Berhubungan Seks BDSM Selama 48 Jam</t>
  </si>
  <si>
    <t xml:space="preserve">https://news.okezone.com/read/2019/06/21/18/2069271/pengantin-baru-di-jerman-tewas-setelah-berhubungan-seks-bdsm-selama-48-jam </t>
  </si>
  <si>
    <t>p-14734-tr</t>
  </si>
  <si>
    <t>2019-08-18</t>
  </si>
  <si>
    <t>Pelaku Pelecehan Seksual di Gerbong KRL Ditangkap, Mengaku Pengantin Baru</t>
  </si>
  <si>
    <t xml:space="preserve">https://www.tribunnews.com/metropolitan/2019/08/18/pelaku-pelecehan-seksual-di-gerbong-krl-ditangkap-mengaku-pengantin-baru </t>
  </si>
  <si>
    <t>p-15581-de</t>
  </si>
  <si>
    <t>Praktik Trafficking di Pesisir Trenggalek Terbongkar</t>
  </si>
  <si>
    <t xml:space="preserve">https://news.detik.com/berita-jawa-timur/d-4654575/praktik-trafficking-di-pesisir-trenggalek-terbongkar </t>
  </si>
  <si>
    <t>p-15884-ti</t>
  </si>
  <si>
    <t>Polisi Selidiki Kasus Begal Payudara di Bintaro</t>
  </si>
  <si>
    <t xml:space="preserve">https://tirto.id/polisi-selidiki-kasus-begal-payudara-di-bintaro-efYC </t>
  </si>
  <si>
    <t>p-7852-cn</t>
  </si>
  <si>
    <t>2019-03-19</t>
  </si>
  <si>
    <t>'Korban' Michael Jackson di 'Leaving Neverland' Diserang Fan</t>
  </si>
  <si>
    <t xml:space="preserve">https://www.cnnindonesia.com/hiburan/20190319081747-234-378558/korban-michael-jackson-di-leaving-neverland-diserang-fan </t>
  </si>
  <si>
    <t>p-7764-de</t>
  </si>
  <si>
    <t>SUARA</t>
  </si>
  <si>
    <t>p-7432-su</t>
  </si>
  <si>
    <t>2019-03-12</t>
  </si>
  <si>
    <t>Pernyataan Tengku Zulkarnain Minta Maaf soal Alat Kontrasepsi di RUU PKS</t>
  </si>
  <si>
    <t xml:space="preserve">https://www.suara.com/news/2019/03/12/124712/pernyataan-tengku-zulkarnain-minta-maaf-soal-alat-kontrasepsi-di-ruu-pks </t>
  </si>
  <si>
    <t>p-7216-su</t>
  </si>
  <si>
    <t>Therapist Go-Massage Alami Kekerasan Seksual Pria Hidung Belang</t>
  </si>
  <si>
    <t xml:space="preserve">https://www.suara.com/news/2019/03/08/094844/therapist-go-massage-alami-kekerasan-seksual-pria-hidung-belang </t>
  </si>
  <si>
    <t>p-7282-tr</t>
  </si>
  <si>
    <t>april</t>
  </si>
  <si>
    <t>p-8814-ko</t>
  </si>
  <si>
    <t>Artis VA Pernah Ditawari Mucikarinya Temani Minum Seorang Menteri</t>
  </si>
  <si>
    <t xml:space="preserve">https://regional.kompas.com/read/2019/04/05/21131901/artis-va-pernah-ditawari-mucikarinya-temani-minum-seorang-menteri </t>
  </si>
  <si>
    <t>p-8661-de</t>
  </si>
  <si>
    <t>Kerap Lakukan KDRT, Kakek di Inggris Dipukuli Istrinya Hingga Tewas</t>
  </si>
  <si>
    <t xml:space="preserve">https://news.detik.com/bbc-world/d-4493537/kerap-lakukan-kdrt-kakek-di-inggris-dipukuli-istrinya-hingga-tewas </t>
  </si>
  <si>
    <t>p-9204-ok</t>
  </si>
  <si>
    <t>Akan Sambangi Pontianak, Nikita Mirzani Ingin Temui Pelaku Bully Audrey</t>
  </si>
  <si>
    <t xml:space="preserve">https://celebrity.okezone.com/read/2019/04/11/33/2042030/akan-sambangi-pontianak-nikita-mirzani-ingin-temui-pelaku-bully-audrey </t>
  </si>
  <si>
    <t>p-9314-ti</t>
  </si>
  <si>
    <t>Amber Heard Minta Hakim Batalkan Gugatan Johnny Depp Soal Fitnah</t>
  </si>
  <si>
    <t xml:space="preserve">https://tirto.id/amber-heard-minta-hakim-batalkan-gugatan-johnny-depp-soal-fitnah-dlXq </t>
  </si>
  <si>
    <t>p-9878-cn</t>
  </si>
  <si>
    <t>2019-04-30</t>
  </si>
  <si>
    <t>Pemerkosa Anak Divonis Bebas, Hakim PN Cibinong Kena Sanksi</t>
  </si>
  <si>
    <t xml:space="preserve">https://www.cnnindonesia.com/nasional/20190430085008-12-390726/pemerkosa-anak-divonis-bebas-hakim-pn-cibinong-kena-sanksi </t>
  </si>
  <si>
    <t>p-9600-te</t>
  </si>
  <si>
    <t>Kakak Adik di Thailand Dipaksa 'Layani' Laki-laki Demi Ganja</t>
  </si>
  <si>
    <t xml:space="preserve">https://dunia.tempo.co/read/1198564/kakak-adik-di-thailand-dipaksa-layani-laki-laki-demi-ganja </t>
  </si>
  <si>
    <t>p-10247-su</t>
  </si>
  <si>
    <t>Perkosa Gadis 12 Tahun, WNI Dipenjara 20 Tahun dan Dicambuk di Malaysia</t>
  </si>
  <si>
    <t xml:space="preserve">https://www.suara.com/news/2019/05/09/142707/perkosa-gadis-12-tahun-wni-dipenjara-20-tahun-dan-dicambuk-di-malaysia </t>
  </si>
  <si>
    <t>p-10057-te</t>
  </si>
  <si>
    <t>Rekaman Video Burning Sun Bocor, Grup Chat Wartawan Diselidiki</t>
  </si>
  <si>
    <t xml:space="preserve">https://dunia.tempo.co/read/1201813/rekaman-video-burning-sun-bocor-grup-chat-wartawan-diselidiki </t>
  </si>
  <si>
    <t>p-10376-su</t>
  </si>
  <si>
    <t>2019-05-12</t>
  </si>
  <si>
    <t>Beroperasi di Bulan Ramadan, PSK Sarkem On Setelah Salat Tarawih</t>
  </si>
  <si>
    <t xml:space="preserve">https://jogja.suara.com/read/2019/05/12/105801/beroperasi-di-bulan-ramadan-psk-sarkem-on-setelah-salat-tarawih </t>
  </si>
  <si>
    <t>p-10807-cn</t>
  </si>
  <si>
    <t>2019-05-27</t>
  </si>
  <si>
    <t>Goo Hara Diduga Depresi sebelum Mencoba Bunuh Diri</t>
  </si>
  <si>
    <t xml:space="preserve">https://www.cnnindonesia.com/hiburan/20190527183405-234-398835/goo-hara-diduga-depresi-sebelum-mencoba-bunuh-diri </t>
  </si>
  <si>
    <t>p-5025-ti</t>
  </si>
  <si>
    <t>Tarik Ulur Kepentingan dalam Kasus Pelecehan RA</t>
  </si>
  <si>
    <t xml:space="preserve">https://tirto.id/tarik-ulur-kepentingan-dalam-kasus-pelecehan-ra-dfQT </t>
  </si>
  <si>
    <t>p-6164-cn</t>
  </si>
  <si>
    <t>Kardinal Gereja Akui Arsip soal Pastor Paedofil Dihancurkan</t>
  </si>
  <si>
    <t xml:space="preserve">https://www.cnnindonesia.com/internasional/20190223181315-134-372088/kardinal-gereja-akui-arsip-soal-pastor-paedofil-dihancurkan </t>
  </si>
  <si>
    <t>p-8203-li</t>
  </si>
  <si>
    <t>showbiz</t>
  </si>
  <si>
    <t>Terjerat Kekerasan Seksual, Yoochun JYJ Didenda Rp 1 Miliar</t>
  </si>
  <si>
    <t xml:space="preserve">https://www.liputan6.com/showbiz/read/3920884/terjerat-kekerasan-seksual-yoochun-jyj-didenda-rp-1-miliar </t>
  </si>
  <si>
    <t>p-10203-ti</t>
  </si>
  <si>
    <t>rabu</t>
  </si>
  <si>
    <t>Kasus Dosen Mesum di Undip: Investigasi Kampus Hampir Selesai</t>
  </si>
  <si>
    <t xml:space="preserve">https://tirto.id/kasus-dosen-mesum-di-undip-investigasi-kampus-hampir-selesai-dnoo </t>
  </si>
  <si>
    <t>Paus Fransiskus mewajibkan rohaniwan Katolik untuk melaporkan pelecehan seksual</t>
  </si>
  <si>
    <t xml:space="preserve">http://www.tribunnews.com/internasional/2019/05/09/paus-fransiskus-mewajibkan-rohaniwan-katolik-untuk-melaporkan-pelecehan-seksual </t>
  </si>
  <si>
    <t>p-10547-li</t>
  </si>
  <si>
    <t>Bakar Perempuan hingga Tewas, 16 Orang di Bangladesh Terancam Hukuman Mati</t>
  </si>
  <si>
    <t xml:space="preserve">https://www.liputan6.com/global/read/3979873/bakar-perempuan-hingga-tewas-16-orang-di-bangladesh-terancam-hukuman-mati </t>
  </si>
  <si>
    <t>p-715-ko</t>
  </si>
  <si>
    <t>Kasus Dugaan Pelecehan Seksual di KKN UGM, Penulis Artikel Pers Mahasiswa Diperiksa</t>
  </si>
  <si>
    <t xml:space="preserve">https://regional.kompas.com/read/2019/01/07/19581231/kasus-dugaan-pelecehan-seksual-di-kkn-ugm-penulis-artikel-pers-mahasiswa </t>
  </si>
  <si>
    <t>p-836-ok</t>
  </si>
  <si>
    <t>Prostitusi Online dan Vanessa Angel, Image Kapitalisasi Dalam Perdagangan Manusia</t>
  </si>
  <si>
    <t xml:space="preserve">https://news.okezone.com/read/2019/01/07/337/2000825/prostitusi-online-dan-vanessa-angel-image-kapitalisasi-dalam-perdagangan-manusia </t>
  </si>
  <si>
    <t>p-1182-de</t>
  </si>
  <si>
    <t>berita-jawa-tengah</t>
  </si>
  <si>
    <t>Rektor UGM Dapat 7 Pertanyaan Terkait Dugaan Maladministrasi, Apa Saja?</t>
  </si>
  <si>
    <t xml:space="preserve">https://news.detik.com/berita-jawa-tengah/d-4375370/rektor-ugm-dapat-7-pertanyaan-terkait-dugaan-maladministrasi-apa-saja </t>
  </si>
  <si>
    <t>p-1583-li</t>
  </si>
  <si>
    <t>2019-01-02</t>
  </si>
  <si>
    <t>Mengaku Diperkosa Atasan, Eks Staf Dewan Pengawas BPJS TK Datangi Bareskrim</t>
  </si>
  <si>
    <t xml:space="preserve">https://www.liputan6.com/news/read/3861636/mengaku-diperkosa-atasan-eks-staf-dewan-pengawas-bpjs-tk-datangi-bareskrim </t>
  </si>
  <si>
    <t>gak ada datapengganti</t>
  </si>
  <si>
    <t>p-11039-li</t>
  </si>
  <si>
    <t>bola</t>
  </si>
  <si>
    <t>Gugatan Tuduhan Pemerkosaan Cristiano Ronaldo Dicabut</t>
  </si>
  <si>
    <t xml:space="preserve">https://www.liputan6.com/bola/read/3984006/gugatan-tuduhan-pemerkosaan-cristiano-ronaldo-dicabut </t>
  </si>
  <si>
    <t>p-11705-de</t>
  </si>
  <si>
    <t>Gadis di Pinrang yang Diperkosa 5 Orang, Hamil dan Masih Trauma</t>
  </si>
  <si>
    <t xml:space="preserve">https://news.detik.com/berita/d-4597688/gadis-di-pinrang-yang-diperkosa-5-orang-hamil-dan-masih-trauma </t>
  </si>
  <si>
    <t>p-10986-ko</t>
  </si>
  <si>
    <t>2019-06-02</t>
  </si>
  <si>
    <t>liga lain</t>
  </si>
  <si>
    <t>Soal Tuduhan Pelecehan Seksual, Begini Klarifikasi Neymar</t>
  </si>
  <si>
    <t xml:space="preserve">https://bola.kompas.com/read/2019/06/02/21360848/soal-tuduhan-pelecehan-seksual-begini-klarifikasi-neymar </t>
  </si>
  <si>
    <t>p-11459-tr</t>
  </si>
  <si>
    <t>australia plus</t>
  </si>
  <si>
    <t>Pengakuan Backpacker di Australia, Ditiduri atau Diperkosa</t>
  </si>
  <si>
    <t xml:space="preserve">http://www.tribunnews.com/australia-plus/2019/06/17/pengakuan-backpacker-di-australia-ditiduri-atau-diperkosa </t>
  </si>
  <si>
    <t>p-11476-ok</t>
  </si>
  <si>
    <t>Singgung Foto Syur yang Jadi Bukti, Feby Febiola Sebut Kasus Vanessa Angel Konyol</t>
  </si>
  <si>
    <t xml:space="preserve">https://celebrity.okezone.com/read/2019/06/18/33/2067771/singgung-foto-syur-yang-jadi-bukti-feby-febiola-sebut-kasus-vanessa-angel-konyol </t>
  </si>
  <si>
    <t>p-11215-de</t>
  </si>
  <si>
    <t>Begal Pantat di Sidoarjo Dimassa Setelah Tertangkap Usai Beraksi</t>
  </si>
  <si>
    <t xml:space="preserve">https://news.detik.com/berita-jawa-timur/d-4583722/begal-pantat-di-sidoarjo-dimassa-setelah-tertangkap-usai-beraksi </t>
  </si>
  <si>
    <t>p-11690-su</t>
  </si>
  <si>
    <t>2019-06-23</t>
  </si>
  <si>
    <t>Indonesia Dukung Penghapusan Kekerasan dan Pelecehan di Dunia Kerja</t>
  </si>
  <si>
    <t xml:space="preserve">https://www.suara.com/news/2019/06/23/123741/indonesia-dukung-penghapusan-kekerasan-dan-pelecehan-di-dunia-kerja </t>
  </si>
  <si>
    <t>p-14616-de</t>
  </si>
  <si>
    <t>Geram Paman Gadis Korban Pemerkosaan ke Sopir Angkot: Hukum Mati!</t>
  </si>
  <si>
    <t xml:space="preserve">https://news.detik.com/berita-jawa-barat/d-4659251/geram-paman-gadis-korban-pemerkosaan-ke-sopir-angkot-hukum-mati </t>
  </si>
  <si>
    <t>p-16120-ok</t>
  </si>
  <si>
    <t>PKB Dorong RUU Penghapusan Kekerasan Seksual Segera Disahkan</t>
  </si>
  <si>
    <t xml:space="preserve">https://nasional.okezone.com/read/2019/09/03/337/2099887/pkb-dorong-ruu-penghapusan-kekerasan-seksual-segera-disahkan </t>
  </si>
  <si>
    <t>p-16343-li</t>
  </si>
  <si>
    <t>Cardi B Alami Pelecehan Seksual Saat Pemotretan</t>
  </si>
  <si>
    <t xml:space="preserve">https://www.liputan6.com/lifestyle/read/4072896/cardi-b-alami-pelecehan-seksual-saat-pemotretan </t>
  </si>
  <si>
    <t>p-16345-ok</t>
  </si>
  <si>
    <t xml:space="preserve">Fakta Demi Moore: Korban Pemerkosaan hingga Kecanduan Kokain </t>
  </si>
  <si>
    <t xml:space="preserve">https://celebrity.okezone.com/read/2019/09/27/33/2110251/fakta-demi-moore-korban-pemerkosaan-hingga-kecanduan-kokain </t>
  </si>
  <si>
    <t>p-10752-re</t>
  </si>
  <si>
    <t>2019-05-10</t>
  </si>
  <si>
    <t>Paus Keluarkan Dekrit Terkait Pelaporan Pelecehan di Gereja</t>
  </si>
  <si>
    <t xml:space="preserve">https://internasional.republika.co.id/berita/internasional/eropa/pr97zr423/paus-keluarkan-dekrit-terkait-pelaporan-pelecehan-di-gereja </t>
  </si>
  <si>
    <t>p-14258-de</t>
  </si>
  <si>
    <t>Pakaian Perempuan Tak Picu Pelecehan, MUI: Laki-laki Harus Peduli</t>
  </si>
  <si>
    <t xml:space="preserve">https://news.detik.com/berita/d-4636758/pakaian-perempuan-tak-picu-pelecehan-mui-laki-laki-harus-peduli </t>
  </si>
  <si>
    <t>p-16173-te</t>
  </si>
  <si>
    <t>Polisi Tangkap Pelaku Pemerkosaan Siswi SD di Gunungputri</t>
  </si>
  <si>
    <t xml:space="preserve">https://metro.tempo.co/read/1243578/polisi-tangkap-pelaku-pemerkosaan-siswi-sd-di-gunungputri </t>
  </si>
  <si>
    <t>p-16087-de</t>
  </si>
  <si>
    <t>Kasus Kadis Cium Pipi Staf saat Selfie Naik ke Penyidikan</t>
  </si>
  <si>
    <t xml:space="preserve">https://news.detik.com/berita/d-4691567/kasus-kadis-cium-pipi-staf-saat-selfie-naik-ke-penyidikan </t>
  </si>
  <si>
    <t>d-2350-ko</t>
  </si>
  <si>
    <t>Pemprov DKI Wajibkan Pengembang Sertakan Desain Fasilitas Khusus Disabilitas</t>
  </si>
  <si>
    <t xml:space="preserve">https://megapolitan.kompas.com/read/2019/02/09/15080101/pemprov-dki-wajibkan-pengembang-sertakan-desain-fasilitas-khusus </t>
  </si>
  <si>
    <t>d-10640-ti</t>
  </si>
  <si>
    <t>2019-05-29</t>
  </si>
  <si>
    <t>KPAI Minta Pemerintah Ciptakan Mudik Ramah Disabilitas</t>
  </si>
  <si>
    <t xml:space="preserve">https://tirto.id/kpai-minta-pemerintah-ciptakan-mudik-ramah-disabilitas-d9hq </t>
  </si>
  <si>
    <t>d-14656-re</t>
  </si>
  <si>
    <t>d-13520-re</t>
  </si>
  <si>
    <t>lbh-jakarta-minta-polisi-setop-kasus-bawa-anjing-ke-masjid</t>
  </si>
  <si>
    <t>LBH Jakarta Minta Polisi Setop Kasus Bawa Anjing ke Masjid</t>
  </si>
  <si>
    <t>https://nasional.republika.co.id/berita/pugtkk377/lbh-jakarta-minta-polisi-setop-kasus-bawa-anjing-ke-masjid</t>
  </si>
  <si>
    <t>d-15231-te</t>
  </si>
  <si>
    <t>2019-06-26</t>
  </si>
  <si>
    <t>Bravo, Komunitas Relawan Pendamping Penyandang Disabilitas</t>
  </si>
  <si>
    <t xml:space="preserve">https://difabel.tempo.co/read/1218293/bravo-komunitas-relawan-pendamping-penyandang-disabilitas </t>
  </si>
  <si>
    <t>d-15673-li</t>
  </si>
  <si>
    <t>2019-08-08</t>
  </si>
  <si>
    <t>Bupati Muzni Zakaria Diperiksa Ombudsman Terkait Nasib Dokter Romi</t>
  </si>
  <si>
    <t xml:space="preserve">https://www.liputan6.com/news/read/4032575/bupati-muzni-zakaria-diperiksa-ombudsman-terkait-nasib-dokter-romi </t>
  </si>
  <si>
    <t>i-147-tr</t>
  </si>
  <si>
    <t>Di Jerman: Bukan laki atau perempuan, tulis 'berbeda'</t>
  </si>
  <si>
    <t xml:space="preserve">http://www.tribunnews.com/internasional/2019/01/01/di-jerman-bukan-laki-atau-perempuan-tulis-berbeda </t>
  </si>
  <si>
    <t>i-2418-ko</t>
  </si>
  <si>
    <t xml:space="preserve"> Petenis Gay Diminta Lebih Terbuka</t>
  </si>
  <si>
    <t xml:space="preserve">https://olahraga.kompas.com/read/2019/07/04/23475698/petenis-gay-diminta-lebih-terbuka </t>
  </si>
  <si>
    <t>p-3951-ok</t>
  </si>
  <si>
    <t>Muncikari ES Akui 'Mempromosikan' Vanessa Angel karena Pertemanan</t>
  </si>
  <si>
    <t xml:space="preserve">https://celebrity.okezone.com/read/2019/01/10/33/2002787/muncikari-es-akui-mempromosikan-vanessa-angel-karena-pertemanan </t>
  </si>
  <si>
    <t>p-4031-li</t>
  </si>
  <si>
    <t>Mabuk Arak Jowo, Gadis Teler Diperkosa 2 Pemuda di Kediri</t>
  </si>
  <si>
    <t xml:space="preserve">https://www.liputan6.com/regional/read/3862837/mabuk-arak-jowo-gadis-teler-diperkosa-2-pemuda-di-kediri </t>
  </si>
  <si>
    <t>p-4318-su</t>
  </si>
  <si>
    <t>Buntut Prostitusi Online Vanessa Angel, 2 Mucikari Artis dan Model Buron</t>
  </si>
  <si>
    <t xml:space="preserve">https://www.suara.com/news/2019/01/08/172032/buntut-prostitusi-online-vanessa-angel-2-mucikari-artis-dan-model-buron </t>
  </si>
  <si>
    <t>p-5023-te</t>
  </si>
  <si>
    <t>Ketua DPR Targetkan RUU PKS Disahkan Sebelum Pemilu</t>
  </si>
  <si>
    <t xml:space="preserve">https://nasional.tempo.co/read/1174618/ketua-dpr-targetkan-ruu-pks-disahkan-sebelum-pemilu </t>
  </si>
  <si>
    <t>p-11916-ko</t>
  </si>
  <si>
    <t>2019-06-14</t>
  </si>
  <si>
    <t>Pengunjung Perempuan Dilecehkan di Kolam Air Panas, Pelaku Masih Pelajar</t>
  </si>
  <si>
    <t xml:space="preserve">https://regional.kompas.com/read/2019/06/14/19242831/pengunjung-perempuan-dilecehkan-di-kolam-air-panas-pelaku-masih-pelajar </t>
  </si>
  <si>
    <t>p-11643-cn</t>
  </si>
  <si>
    <t>Asa Upah Setara dalam Unjuk Rasa Ratusan Ribu Perempuan Swiss</t>
  </si>
  <si>
    <t xml:space="preserve">https://www.cnnindonesia.com/internasional/20190615035326-134-403480/asa-upah-setara-dalam-unjuk-rasa-ratusan-ribu-perempuan-swiss </t>
  </si>
  <si>
    <t>p-16282-re</t>
  </si>
  <si>
    <t>demo-di-cimahi-diwarnai-aksi-selotip-mulut</t>
  </si>
  <si>
    <t>Demo di Cimahi Diwarnai Aksi Selotip Mulut</t>
  </si>
  <si>
    <t xml:space="preserve">https://nasional.republika.co.id/berita/pyfoll335/demo-di-cimahi-diwarnai-aksi-selotip-mulut </t>
  </si>
  <si>
    <t>agustus</t>
  </si>
  <si>
    <t>nggak ada pengganti</t>
  </si>
  <si>
    <t xml:space="preserve">p-6637-ok
</t>
  </si>
  <si>
    <t>2019-02-25</t>
  </si>
  <si>
    <t>jateng</t>
  </si>
  <si>
    <t>"Predator Anak" yang Hamili Bocah SD Dibekuk Polisi</t>
  </si>
  <si>
    <t xml:space="preserve">https://news.okezone.com/read/2019/02/25/512/2022538/predator-anak-yang-hamili-bocah-sd-dibekuk-polisi </t>
  </si>
  <si>
    <t xml:space="preserve">SEMARANG ��� Polisi membekuk predator anak yang tega memaksa korban melakukan persetubuhan. Korban yang masih berstatus pelajar kelas 6 SD itu mengandung lima bulan.��
Pelakunya Joko Suseno (55), warga Desa Pager Kecamatan Kaliwungu, Kabupaten Semarang. Buruh tani itu, semula mengangkat korban berinisial CMP (13) warga Kecamatan Grogol, Kabupaten Sukoharjo, sebagai anak.BERITA TERKAIT  +  Modus Bimbel Gratis, Petani Ini Tega Cabuli 8 Gadis BeliaCabuli Puluhan Anak Didiknya, Pelatih Pramuka Ditangkap PolisiCabuli Siswi SD, Oknum Guru Ini Ternyata Sudah 14 Tahun Menduda googletag.cmd.push(function() { googletag.display("div-gpt-ad-1510661249458-0"); });
Kasubag Humas Polres Semarang AKP Teguh Susilo Hadi, mengatakan, aksi cabul tersangka terbongkar setelah korban mendadak diantar kembali ke rumah neneknya di Sukoharjo. Tak seperti biasanya, pelaku hanya mengantar korban hingga jalan depan rumah.
���Bermula pada Kamis 14 Februari sekira pukul 08.00 WIB terlapor (ayah angkat korban) mengantar korban ke rumah neneknya di Sukoharjo. Saat itu, korban hanya diantar sampai di jalan depan rumah neneknya dan langsung ditinggal oleh terlapor,��� kata Teguh, Senin (25/2/2019).
(Baca Juga:��Hamili Gadis Belia, "Predator Anak" di Semarang Diburu Polisi)
Gelagat aneh pelaku mengundang kecurigaan pihak keluarga. Terlebih setelah melihat perubahan fisik korban, yakni perutnya terlihat membuncit. Khawatir terjadi hal yang tak diinginkan, korban dibawa ke bidan desa untuk pemeriksaan medis.
���Dari pemeriksaan, korban sudah mengandung sekira lima bulan. Setelah ditanya, korban mengakui telah disetubuhi oleh terlapor sebanyak dua kali, yaitu yang pertama sekira bulan Agustus 2018 dan Oktober 2018 di rumah terlapor,��� tuturnya.
Polisi bergerak cepat setelah menerima laporan korban beserta keluarganya dengan menangkap pelaku. Atas perbuatannya, pelaku dijerat Pasal 81 juncto Pasal 76D dan/atau Pasal 82 juncto Pasal 76E UU RI Nomor 35 Tahun 2014 tentang Perlindungan Anak, dengan pidana penjara paling singkat lima tahun dan paling lama 15 tahun.
(Baca Juga:��Bocah SD Dicabuli di Kandang Sapi, Pelaku Ngaku Gemas dengan Korban)          (Ari)
TAG : 
 jawa tengah
 pemerkosaan
 Pencabulan
</t>
  </si>
  <si>
    <t>p-8176-tr</t>
  </si>
  <si>
    <t xml:space="preserve">Tribun </t>
  </si>
  <si>
    <t>2019-03-11</t>
  </si>
  <si>
    <t>Begal Payudara Dua Orang Gadis, Pria Beristri Diamuk Massa</t>
  </si>
  <si>
    <t xml:space="preserve">http://www.tribunnews.com/regional/2019/03/11/begal-payudara-dua-orang-gadis-pria-beristri-diamuk-massa </t>
  </si>
  <si>
    <t>p-8573-te</t>
  </si>
  <si>
    <t>2019-03-03</t>
  </si>
  <si>
    <t>6 Negara ini Dapat Nilai Sempurna untuk Hak Perempuan, Indonesia?</t>
  </si>
  <si>
    <t xml:space="preserve">https://dunia.tempo.co/read/1181402/6-negara-ini-dapat-nilai-sempurna-untuk-hak-perempuan-indonesia </t>
  </si>
  <si>
    <t>p-8888-ok</t>
  </si>
  <si>
    <t xml:space="preserve">Negara Harus Jamin Keamanan bagi Perempuan dari Kejahatan Jalanan </t>
  </si>
  <si>
    <t xml:space="preserve">https://news.okezone.com/read/2019/04/12/338/2042797/negara-harus-jamin-keamanan-bagi-perempuan-dari-kejahatan-jalanan </t>
  </si>
  <si>
    <t>p-8898-te</t>
  </si>
  <si>
    <t>2019-04-27</t>
  </si>
  <si>
    <t>Lima Pelecehan Seksual yang Terjadi di Transportasi Publik</t>
  </si>
  <si>
    <t xml:space="preserve">https://bisnis.tempo.co/read/1199797/lima-pelecehan-seksual-yang-terjadi-di-transportasi-publik </t>
  </si>
  <si>
    <t>p-16270-ok</t>
  </si>
  <si>
    <t>Atta Halilintar Akhirnya Angkat Suara: Jangan Alihkan Isu Ya Mbak!</t>
  </si>
  <si>
    <t xml:space="preserve">https://celebrity.okezone.com/read/2019/09/26/33/2109766/atta-halilintar-akhirnya-angkat-suara-jangan-alihkan-isu-ya-mbak </t>
  </si>
  <si>
    <t>p-15776-ok</t>
  </si>
  <si>
    <t>2019-08-29</t>
  </si>
  <si>
    <t>sulsel</t>
  </si>
  <si>
    <t xml:space="preserve"> Lecehkan Pegawai, Oknum Kadis di Jeneponto Terancam Dipecat   </t>
  </si>
  <si>
    <t xml:space="preserve">https://news.okezone.com/read/2019/08/29/609/2097921/lecehkan-pegawai-oknum-kadis-di-jeneponto-terancam-dipecat </t>
  </si>
  <si>
    <t>p-7788-de</t>
  </si>
  <si>
    <t>2019-03-10</t>
  </si>
  <si>
    <t>Miris! ABG di Jakut Jual Sepupunya ke Pria Hidung Belang via FB</t>
  </si>
  <si>
    <t xml:space="preserve">https://news.detik.com/berita/d-4460964/miris-abg-di-jakut-jual-sepupunya-ke-pria-hidung-belang-via-fb </t>
  </si>
  <si>
    <t>p-9059-tr</t>
  </si>
  <si>
    <t>Tagih Hutang Malah Istri Dikatai Pelacur, Pria ini Cemburu dan Bacok Laki-laki Selingkuhan Istrinya</t>
  </si>
  <si>
    <t xml:space="preserve">http://www.tribunnews.com/regional/2019/04/02/tagih-hutang-malah-istri-dikatai-pelacur-pria-ini-cemburu-dan-bacok-laki-laki-selingkuhan-istrinya </t>
  </si>
  <si>
    <t>d-191-ok</t>
  </si>
  <si>
    <t>2019-01-17</t>
  </si>
  <si>
    <t>pilpres</t>
  </si>
  <si>
    <t>Solusi Jokowi-Ma'ruf dan Prabowo-Sandi soal Kaum Disabilitas Kerap Didiskriminasi</t>
  </si>
  <si>
    <t xml:space="preserve">https://news.okezone.com/read/2019/01/17/605/2005989/solusi-jokowi-ma-ruf-dan-prabowo-sandi-soal-kaum-disabilitas-kerap-didiskriminasi </t>
  </si>
  <si>
    <t>p-15064-re</t>
  </si>
  <si>
    <t>blitz</t>
  </si>
  <si>
    <t>R Kelly Sangkal Seluruh Tuduhan Pelecehan Seksual</t>
  </si>
  <si>
    <t xml:space="preserve">https://senggang.republika.co.id/berita/senggang/blitz/psph04414/r-kelly-sangkal-seluruh-tuduhan-pelecehan-seksual </t>
  </si>
  <si>
    <t>p-13087-ok</t>
  </si>
  <si>
    <t>Mengaku Diperkosa Politisi India, Gadis 19 Tahun Kritis Usai Mobil Ditabrak Truk</t>
  </si>
  <si>
    <t xml:space="preserve">https://news.okezone.com/read/2019/07/29/18/2085125/mengaku-diperkosa-politisi-india-gadis-19-tahun-kritis-usai-mobil-ditabrak-truk </t>
  </si>
  <si>
    <t>d-467-ok</t>
  </si>
  <si>
    <t>Karena Sering 'Ngesot', Lutut Dinda Bolak-balik Terluka</t>
  </si>
  <si>
    <t xml:space="preserve">https://news.detik.com/berita-jawa-timur/d-4386687/karena-sering-ngesot-lutut-dinda-bolak-balik-terluka </t>
  </si>
  <si>
    <t>d-1652-de</t>
  </si>
  <si>
    <t>2019-01-30</t>
  </si>
  <si>
    <t>Sering Mengeluh Rendah Diri, Petani Ini Ditemukan Gantung Diri</t>
  </si>
  <si>
    <t xml:space="preserve">https://news.detik.com/berita-jawa-tengah/d-4407393/sering-mengeluh-rendah-diri-petani-ini-ditemukan-gantung-diri </t>
  </si>
  <si>
    <t>d-6173-ko</t>
  </si>
  <si>
    <t>Usai Pileg, Ruang Rawat Inap Penderita Gangguan Jiwa di RSUD Kendal Siap Digunakan</t>
  </si>
  <si>
    <t xml:space="preserve">https://regional.kompas.com/read/2019/03/12/13293831/usai-pileg-ruang-rawat-inap-penderita-gangguan-jiwa-di-rsud-kendal-siap </t>
  </si>
  <si>
    <t>d-8504-su</t>
  </si>
  <si>
    <t>2019-04-22</t>
  </si>
  <si>
    <t>Model Disabilitas Ini Unjuk Gigi di Panggung London Fashion Week</t>
  </si>
  <si>
    <t xml:space="preserve">https://www.suara.com/lifestyle/2019/04/22/173000/model-disabilitas-ini-unjuk-gigi-di-panggung-london-fashion-week </t>
  </si>
  <si>
    <t>d-8622-cn</t>
  </si>
  <si>
    <t>Pemilih Tunanetra di Biak Keluhkan Surat Suara Pemilu</t>
  </si>
  <si>
    <t xml:space="preserve">https://www.cnnindonesia.com/nasional/20190417085348-32-387063/pemilih-tunanetra-di-biak-keluhkan-surat-suara-pemilu </t>
  </si>
  <si>
    <t>d-9944-li</t>
  </si>
  <si>
    <t>Putri Indonesia Lingkungan 2019 Rayakan Ultah Bersama Penyandang Disabilitas</t>
  </si>
  <si>
    <t xml:space="preserve">https://www.liputan6.com/showbiz/read/3967404/putri-indonesia-lingkungan-2019-rayakan-ultah-bersama-penyandang-disabilitas </t>
  </si>
  <si>
    <t>d-10443-de</t>
  </si>
  <si>
    <t>Puluhan Bobotoh Difabel Bandung Barat Bagi Takjil Gratis</t>
  </si>
  <si>
    <t xml:space="preserve">https://news.detik.com/berita-jawa-barat/d-4556080/puluhan-bobotoh-difabel-bandung-barat-bagi-takjil-gratis </t>
  </si>
  <si>
    <t>d-10686-te</t>
  </si>
  <si>
    <t>Cara Pengguna Kursi Roda Menyetir Mobil</t>
  </si>
  <si>
    <t xml:space="preserve">https://difabel.tempo.co/read/1210714/cara-pengguna-kursi-roda-menyetir-mobil </t>
  </si>
  <si>
    <t>d-11286-li</t>
  </si>
  <si>
    <t>Open House, Gubernur BI Sambut Komunitas Penyandang Disabilitas</t>
  </si>
  <si>
    <t xml:space="preserve">https://www.liputan6.com/bisnis/read/3983959/open-house-gubernur-bi-sambut-komunitas-penyandang-disabilitas </t>
  </si>
  <si>
    <t>d-11546-tr</t>
  </si>
  <si>
    <t>Baim Wong Akan Temui Netizen yang Terima Tamu Orang Gila</t>
  </si>
  <si>
    <t xml:space="preserve">http://www.tribunnews.com/seleb/2019/06/16/baim-wong-akan-temui-netizen-yang-terima-tamu-orang-gila </t>
  </si>
  <si>
    <t>gal ada pengganti</t>
  </si>
  <si>
    <t>d-13852-li</t>
  </si>
  <si>
    <t>2019-07-30</t>
  </si>
  <si>
    <t>Menpora Kunjungi Diklat Paskibraka Nasional 2019</t>
  </si>
  <si>
    <t xml:space="preserve">https://www.liputan6.com/health/read/4025322/menpora-kunjungi-diklat-paskibraka-nasional-2019 </t>
  </si>
  <si>
    <t>d-14460-tr</t>
  </si>
  <si>
    <t>Guyonan PM Abe Saat Makan Malam G20 Dikritik Keras Banyak Anggota Masyarakat Jepang</t>
  </si>
  <si>
    <t xml:space="preserve">http://www.tribunnews.com/internasional/2019/07/02/guyonan-pm-abe-saat-makan-malam-g20-dikritik-keras-banyak-anggota-masyarakat-jepang </t>
  </si>
  <si>
    <t>d-15184-li</t>
  </si>
  <si>
    <t>Mendagri Tjahjo Kumolo Pastikan Dokter Romi Jadi CPNS Tahun Ini</t>
  </si>
  <si>
    <t xml:space="preserve">https://www.liputan6.com/news/read/4026194/mendagri-tjahjo-kumolo-pastikan-dokter-romi-jadi-cpns-tahun-ini </t>
  </si>
  <si>
    <t>d-15604-su</t>
  </si>
  <si>
    <t>Aiptu Korsin Dibacok di Markas, Polisi Periksa Kejiwaan Pelakunya</t>
  </si>
  <si>
    <t xml:space="preserve">https://jateng.suara.com/read/2019/08/28/161035/aiptu-korsin-dibacok-di-markas-polisi-periksa-kejiwaan-pelakunya </t>
  </si>
  <si>
    <t>d-15999-de</t>
  </si>
  <si>
    <t>Mayat Perempuan Tanpa Identitas Ditemukan di Ruang Sekolah di Lamongan</t>
  </si>
  <si>
    <t xml:space="preserve">https://news.detik.com/berita-jawa-timur/d-4663430/mayat-perempuan-tanpa-identitas-ditemukan-di-ruang-sekolah-di-lamongan </t>
  </si>
  <si>
    <t>2019-08-14</t>
  </si>
  <si>
    <t>MNC Peduli Kembali Gelar Operasi Gratis Bibir Sumbing Bertajuk Senyum Indonesia</t>
  </si>
  <si>
    <t xml:space="preserve">https://news.okezone.com/read/2019/08/14/512/2091973/mnc-peduli-kembali-gelar-operasi-gratis-bibir-sumbing-bertajuk-senyum-indonesia </t>
  </si>
  <si>
    <t>d-16193-tr</t>
  </si>
  <si>
    <t>kalimantan</t>
  </si>
  <si>
    <t>Sebelum Ditemukan Tewas Gantung Diri, Ilham Disebut Pernah Jadi Pasien di RSJ Sambang Lihum</t>
  </si>
  <si>
    <t xml:space="preserve">https://www.tribunnews.com/regional/2019/08/08/sebelum-ditemukan-tewas-gantung-diri-ilham-disebut-pernah-jadi-pasien-di-rsj-sambang-lihum </t>
  </si>
  <si>
    <t>d-16766-te</t>
  </si>
  <si>
    <t>2019-08-17</t>
  </si>
  <si>
    <t>Seperti Apa Upacara Bendera HUT RI 17 Agustus ala Tunanetra</t>
  </si>
  <si>
    <t xml:space="preserve">https://difabel.tempo.co/read/1237102/seperti-apa-upacara-bendera-hut-ri-17-agustus-ala-tunanetra </t>
  </si>
  <si>
    <t>d-17526-ko</t>
  </si>
  <si>
    <t>kita</t>
  </si>
  <si>
    <t>Memahami Gifted dan Berkebutuhan Khusus Lewat Maria Clara Yubilea</t>
  </si>
  <si>
    <t xml:space="preserve">https://sains.kompas.com/read/2019/09/04/061100223/memahami-gifted-dan-berkebutuhan-khusus-lewat-maria-clara-yubilea </t>
  </si>
  <si>
    <t>p-9713-su</t>
  </si>
  <si>
    <t>Budaya Victim Blaming, Sederet Kasus Pelecehan Seksual yang Salahkan Korban - Bagian 1</t>
  </si>
  <si>
    <t xml:space="preserve">https://www.suara.com/health/2019/04/25/145800/budaya-victim-blaming-sederet-kasus-pelecehan-seksual-yang-salahkan-korban </t>
  </si>
  <si>
    <t>p-10077-li</t>
  </si>
  <si>
    <t>Striker Persija Kapok Dua Kali Terlibat Kasus Dugaan Pelecehan</t>
  </si>
  <si>
    <t xml:space="preserve">https://www.liputan6.com/bola/read/3963277/striker-persija-kapok-dua-kali-terlibat-kasus-dugaan-pelecehan </t>
  </si>
  <si>
    <t>p-10341-re</t>
  </si>
  <si>
    <t>2019-05-25</t>
  </si>
  <si>
    <t>Majikan Sirami Air Panas, ART Ini Minta Perlindungan ke LPSK</t>
  </si>
  <si>
    <t xml:space="preserve">https://nasional.republika.co.id/berita/nasional/hukum/ps1ceu384/majikan-sirami-air-panas-art-ini-minta-perlindungan-ke-lpsk </t>
  </si>
  <si>
    <t>p-10652-li</t>
  </si>
  <si>
    <t>Lembaga HAM: Perempuan Korea Utara Dipaksa Jadi Budak Seks di China</t>
  </si>
  <si>
    <t xml:space="preserve">https://www.liputan6.com/global/read/3971654/lembaga-ham-perempuan-korea-utara-dipaksa-jadi-budak-seks-di-china </t>
  </si>
  <si>
    <t>p-10857-ok</t>
  </si>
  <si>
    <t>Selain Disiram Air Keras dan Disiksa, Caca Juga Dijadikan Pembantu Ibu Angkatnya</t>
  </si>
  <si>
    <t xml:space="preserve">https://news.okezone.com/read/2019/05/28/338/2061474/selain-disiram-air-keras-dan-disiksa-caca-juga-dijadikan-pembantu-ibu-angkatnya </t>
  </si>
  <si>
    <t>p-11031-tr</t>
  </si>
  <si>
    <t>Pria Ini Cabuli Gadis 15 Tahun di Dapur, padahal Istrinya Sedang Tidur Dalam Rumah</t>
  </si>
  <si>
    <t xml:space="preserve">http://www.tribunnews.com/regional/2019/06/18/pria-ini-cabuli-gadis-15-tahun-di-dapur-padahal-istrinya-sedang-tidur-dalam-rumah </t>
  </si>
  <si>
    <t>p-11548-ti</t>
  </si>
  <si>
    <t>humaniora</t>
  </si>
  <si>
    <t>Ketika Lelucon Seksis Tak Lucu Lagi</t>
  </si>
  <si>
    <t xml:space="preserve">https://tirto.id/ketika-lelucon-seksis-tak-lucu-lagi-ec4W </t>
  </si>
  <si>
    <t>p-11722-ok</t>
  </si>
  <si>
    <t>Vanessa Angel Dituntut 6 Bulan Penjara karena Prostitusi Online</t>
  </si>
  <si>
    <t xml:space="preserve">https://news.okezone.com/read/2019/06/17/519/2067490/vanessa-angel-dituntut-6-bulan-penjara-karena-prostitusi-online </t>
  </si>
  <si>
    <t>p-12607-tr</t>
  </si>
  <si>
    <t>soccer style</t>
  </si>
  <si>
    <t>Pernah Terjerat Kasus Pelecehan Seksual, Eks Manchester City Kembali Menebar Ancaman</t>
  </si>
  <si>
    <t xml:space="preserve">https://www.tribunnews.com/superskor/2019/07/23/pernah-terjerat-kasus-pelecehan-seksual-eks-manchester-city-kembali-menebar-ancaman </t>
  </si>
  <si>
    <t>p-13316-su</t>
  </si>
  <si>
    <t>Pedih, Istri Menangis Meronta-ronta Tiap Suami Perkosa Putri Semata Wayang</t>
  </si>
  <si>
    <t xml:space="preserve">https://jatim.suara.com/read/2019/08/07/171724/pedih-istri-menangis-meronta-ronta-tiap-suami-perkosa-putri-semata-wayang </t>
  </si>
  <si>
    <t>p-13453-ok</t>
  </si>
  <si>
    <t>Disetujui DPR, TKN Yakin Jokowi Segera Keluarkan Amnesti untuk Baiq Nuril</t>
  </si>
  <si>
    <t xml:space="preserve">https://news.okezone.com/read/2019/07/26/337/2083781/disetujui-dpr-tkn-yakin-jokowi-segera-keluarkan-amnesti-untuk-baiq-nuril </t>
  </si>
  <si>
    <t xml:space="preserve">p-13792-li
</t>
  </si>
  <si>
    <t>2019-07-10</t>
  </si>
  <si>
    <t>JK Yakin Rencana Amnesti untuk Baiq Nuril Disetujui DPR</t>
  </si>
  <si>
    <t xml:space="preserve">https://www.liputan6.com/news/read/4009572/jk-yakin-rencana-amnesti-untuk-baiq-nuril-disetujui-dpr </t>
  </si>
  <si>
    <t xml:space="preserve">Liputan6.com, Jakarta - Wakil Presiden Jusuf Kalla (JK) mengatakan, rencana pemberian amnesti terhadap korban pelecehan seksual, Baiq Nuril sedang dibahas oleh pemerintah. Dia yakin pembahasan tersebut akan berjalan dengan baik.��
"Tentu ada kan permintaan itu. Mestinya tidak ada soal," kata JK di Kantornya, Jalan Merdeka Utara, Rabu (10/7/2019).
Dia yakin, Presiden Jokowi serta Menkumham siap menkaji dan memberikan amnesti. Namun menurut JK hal tersebut perlu dikaji lebih dalam dan mendapat restu dari DPR. ��
"Untuk sama-sama sudah diketahui, untuk memberikan amnesti perlu persetujuan DPR. Karena itu pertama harus dibicarakan di DPR. Saya baca DPR siap memberi persetujuan apabila diminta," ungkap JK.��
Sebelumnya diketahui Anggota Fraksi PDI Perjuangan Komisi VIII DPR Diah Pitaloka menyambut baik rencana Presiden Jokowi untuk memberikan amnesti terhadap korban pelecehan seksual Baiq Nuril. Presiden menurutnya sangat paham dengan kondisi Baiq Nuril.
"Amnesti ini merupakan bentuk perhatian Jokowi kepada perempuan," tegasnya, Rabu (10/7/2019).
��
Dia juga menyayangkan hasil putusan PK Mahkamah Agung terhadap Baiq Nuril. Karena, Diah khawatir, putusan tersebut nantinya akan membuat korban pelecehan seksual semakin bungkam.
Diah mengatakan, Baiq Nuril selama ini tertekan dengan perilaku Haji Muslim yang tidak wajar karena senang menceritakan pengalaman seksualnya bersama wanita lain yang bukan istrinya kepadanya.
Hingga akhirnya, dia menilai, Baiq perlu mencari perlindungan atas apa yang dihadapinya.
</t>
  </si>
  <si>
    <t>p-14462-su</t>
  </si>
  <si>
    <t>Sara Wijayanto Ternyata Pernah Jadi Korban Kekerasan, Begini Kisah Sedihnya</t>
  </si>
  <si>
    <t xml:space="preserve">https://www.suara.com/lifestyle/2019/08/12/092838/sara-wijayanto-ternyata-pernah-jadi-korban-kekerasan-begini-kisah-sedihnya </t>
  </si>
  <si>
    <t>p-15110-cn</t>
  </si>
  <si>
    <t>2019-08-26</t>
  </si>
  <si>
    <t>IDI Jatim Soroti Ketiadaan Kompetensi Pelaksanaan Kebiri</t>
  </si>
  <si>
    <t xml:space="preserve">https://www.cnnindonesia.com/nasional/20190826185125-20-424795/idi-jatim-soroti-ketiadaan-kompetensi-pelaksanaan-kebiri </t>
  </si>
  <si>
    <t>p-15218-li</t>
  </si>
  <si>
    <t>Pro Kontra Kebiri Kimia pada Predator Anak, Ini Dampak Jangka Panjangnya!</t>
  </si>
  <si>
    <t xml:space="preserve">https://www.suara.com/health/2019/08/28/163000/pro-kontra-kebiri-kimia-pada-predator-anak-ini-dampak-jangka-panjangnya </t>
  </si>
  <si>
    <t>p-15428-li</t>
  </si>
  <si>
    <t>Kejaksaan Mencari Eksekutor Kebiri Kimia terhadap Pemerkosa 12 Bocah di Mojokerto</t>
  </si>
  <si>
    <t xml:space="preserve">https://www.liputan6.com/news/read/4046460/kejaksaan-mencari-eksekutor-kebiri-kimia-terhadap-pemerkosa-12-bocah-di-mojokerto </t>
  </si>
  <si>
    <t>p-15673-ko</t>
  </si>
  <si>
    <t>Grab Tawarkan Layanan Psikososial ke Korban Pelecehan Driver Ojol di Surabaya</t>
  </si>
  <si>
    <t xml:space="preserve">https://regional.kompas.com/read/2019/08/14/07493511/grab-tawarkan-layanan-psikososial-ke-korban-pelecehan-driver-ojol-di </t>
  </si>
  <si>
    <t>p-15971-ko</t>
  </si>
  <si>
    <t>Baru Keluar dari Penjara, Seorang Ayah Perkosa Anak Tiri Berumur 12 Tahun</t>
  </si>
  <si>
    <t xml:space="preserve">https://regional.kompas.com/read/2019/09/01/18261141/baru-keluar-dari-penjara-seorang-ayah-perkosa-anak-tiri-berumur-12-tahun </t>
  </si>
  <si>
    <t>Viral Video Bocah 10 Tahun Dicabuli di Bogor, Modus Tanya Alamat, Polisi Imbau Tak Sebar Foto Korban</t>
  </si>
  <si>
    <t xml:space="preserve">https://www.tribunnews.com/nasional/2019/09/01/viral-video-bocah-10-tahun-dicabuli-di-bogor-modus-tanya-alamat-polisi-imbau-tak-sebar-foto-korban </t>
  </si>
  <si>
    <t>d-16741-ok</t>
  </si>
  <si>
    <t xml:space="preserve"> Ini Alasan Bapak Perkosa Anak Tirinya yang Keterbelakangan Mental   </t>
  </si>
  <si>
    <t xml:space="preserve">https://news.okezone.com/read/2019/08/24/525/2096070/ini-alasan-bapak-perkosa-anak-tirinya-yang-keterbelakangan-mental </t>
  </si>
  <si>
    <t>i-1-te</t>
  </si>
  <si>
    <t>2019-01-22</t>
  </si>
  <si>
    <t>afrika</t>
  </si>
  <si>
    <t>Presenter TV Mesir Divonis Kerja Paksa Usai Wawancara Homoseksual</t>
  </si>
  <si>
    <t xml:space="preserve">https://dunia.tempo.co/read/1167582/presenter-tv-mesir-divonis-kerja-paksa-usai-wawancara-homoseksual </t>
  </si>
  <si>
    <t>i-43-cn</t>
  </si>
  <si>
    <t>Debat Capres, KontraS Minta Calon Sampaikan Sikap Terkait PKI</t>
  </si>
  <si>
    <t xml:space="preserve">https://www.cnnindonesia.com/nasional/20190112002154-32-360314/debat-capres-kontras-minta-calon-sampaikan-sikap-terkait-pki </t>
  </si>
  <si>
    <t>i-522-de</t>
  </si>
  <si>
    <t>Ketum PPP Tegaskan Partainya Tolak LGBT</t>
  </si>
  <si>
    <t xml:space="preserve">https://news.detik.com/berita/d-4425266/ketum-ppp-tegaskan-partainya-tolak-lgbt </t>
  </si>
  <si>
    <t>i-538-cn</t>
  </si>
  <si>
    <t>Kominfo Tutup Akun Instagram Komik Muslim Gay</t>
  </si>
  <si>
    <t xml:space="preserve">https://www.cnnindonesia.com/teknologi/20190213093029-185-368770/kominfo-tutup-akun-instagram-komik-muslim-gay </t>
  </si>
  <si>
    <t>i-596-de</t>
  </si>
  <si>
    <t>2019-02-08</t>
  </si>
  <si>
    <t>Reva Alexa Mengaku Transgender, Polisi Belum Dapat Dokumen Pengesahan Pengadilan</t>
  </si>
  <si>
    <t xml:space="preserve">https://news.detik.com/berita/d-4418975/reva-alexa-mengaku-transgender-polisi-belum-dapat-dokumen-pengesahan-pengadilan </t>
  </si>
  <si>
    <t>i-622-te</t>
  </si>
  <si>
    <t>oops</t>
  </si>
  <si>
    <t>Operasi Plastik Gagal, Transgender Ini Malu Keluar Rumah</t>
  </si>
  <si>
    <t xml:space="preserve">https://dunia.tempo.co/read/1179402/operasi-plastik-gagal-transgender-ini-malu-keluar-rumah </t>
  </si>
  <si>
    <t>i-1401-ti</t>
  </si>
  <si>
    <t>Dewan Pers: Rektor Harus Hargai Kebebasan Ekspresi Pers Mahasiswa</t>
  </si>
  <si>
    <t xml:space="preserve">https://tirto.id/dewan-pers-rektor-harus-hargai-kebebasan-ekspresi-pers-mahasiswa-dlE5 </t>
  </si>
  <si>
    <t>i-1995-ko</t>
  </si>
  <si>
    <t>2019-06-03</t>
  </si>
  <si>
    <t>Presiden Duterte Mengaku Pernah Jadi Gay Sebelum "Sembuh"</t>
  </si>
  <si>
    <t xml:space="preserve">https://internasional.kompas.com/read/2019/06/03/13491111/presiden-duterte-mengaku-pernah-jadi-gay-sebelum-sembuh </t>
  </si>
  <si>
    <t>i-2631-tr</t>
  </si>
  <si>
    <t>Temuan Mengejutkan Saat Menelusuri Penyimpangan Perilaku Seksual Pelajar di Tulungagung</t>
  </si>
  <si>
    <t xml:space="preserve">https://www.tribunnews.com/regional/2019/07/26/temuan-mengejutkan-saat-menelusuri-penyimpangan-perilaku-seksual-pelajar-di-tulungagung </t>
  </si>
  <si>
    <t>i-2652-li</t>
  </si>
  <si>
    <t>tekno</t>
  </si>
  <si>
    <t>Ups, Aplikasi Kencan LGBT Ekspos Foto Pribadi Pengguna</t>
  </si>
  <si>
    <t xml:space="preserve">https://www.liputan6.com/tekno/read/4001473/ups-aplikasi-kencan-lgbt-ekspos-foto-pribadi-pengguna </t>
  </si>
  <si>
    <t>i-2738-de</t>
  </si>
  <si>
    <t>celeb</t>
  </si>
  <si>
    <t>Kembali ke Kodrat, Aby Respati Malah Di-Unfollow Millendaru?</t>
  </si>
  <si>
    <t xml:space="preserve">https://hot.detik.com/celeb/d-4651048/kembali-ke-kodrat-aby-respati-malah-di-unfollow-millendaru </t>
  </si>
  <si>
    <t>i-2853-de</t>
  </si>
  <si>
    <t>M Fatah Disebut-sebut, Lucinta Ngamuk sampai Dorong Pegawai Geprek Bensu</t>
  </si>
  <si>
    <t xml:space="preserve">https://hot.detik.com/celeb/d-4657661/m-fatah-disebut-sebut-lucinta-ngamuk-sampai-dorong-pegawai-geprek-bensu </t>
  </si>
  <si>
    <t>i-3029-ok</t>
  </si>
  <si>
    <t>Kisah Titi Pudji, Nenek yang Viral Ikut Aksi Unjuk Rasa di Bandung</t>
  </si>
  <si>
    <t>https://index.okezone.com/read/2019/09/26/612/2109476/kisah-titi-pudji-nenek-yang-viral-ikut-aksi-unjuk-rasa-di-bandung</t>
  </si>
  <si>
    <t>p-7289-li</t>
  </si>
  <si>
    <t>Janji Wali Kota Kupang untuk Mantan PSK Karang Dempel</t>
  </si>
  <si>
    <t>https://www.liputan6.com/regional/read/3912926/janji-wali-kota-kupang-untuk-mantan-psk-karang-dempel</t>
  </si>
  <si>
    <t>p-9780-ko</t>
  </si>
  <si>
    <t>5 Fakta Prostitusi Online 2 Siswi SMP di Ambon, Anggota TNI Terlibat hingga Kesaksian Dua Korban</t>
  </si>
  <si>
    <t>https://regional.kompas.com/read/2019/04/13/15212691/5-fakta-prostitusi-online-2-siswi-smp-di-ambon-anggota-tni-terlibat-hingga</t>
  </si>
  <si>
    <t>p-9953-tr</t>
  </si>
  <si>
    <t>Payudara Anaknya Disetrika Setelah Sang Putri Melahirkan di Usia 14 Tahun</t>
  </si>
  <si>
    <t>http://www.tribunnews.com/internasional/2019/05/08/payudara-anaknya-disetrika-setelah-sang-putri-melahirkan-di-usia-14-tahun</t>
  </si>
  <si>
    <t>p-11090-re</t>
  </si>
  <si>
    <t>freekick</t>
  </si>
  <si>
    <t>Kasus Pelecehan Seksual, Neymar Penuhi Panggilan Kepolisian</t>
  </si>
  <si>
    <t>https://bola.republika.co.id/berita/sepakbola/freekick/pt2h3b438/kasus-pelecehan-seksual-neymar-penuhi-panggilan-kepolisian</t>
  </si>
  <si>
    <t>p-13181-ko</t>
  </si>
  <si>
    <t>Santri Korban Pencabulan Pimpinan Pesantren di Aceh Didampingi Psikolog</t>
  </si>
  <si>
    <t>https://regional.kompas.com/read/2019/07/16/16251131/santri-korban-pencabulan-pimpinan-pesantren-di-aceh-didampingi-psikolog</t>
  </si>
  <si>
    <t>p-13295-ok</t>
  </si>
  <si>
    <t>Cupi Cupita Akui Sering Alami Pelecehan Seksual</t>
  </si>
  <si>
    <t>https://celebrity.okezone.com/read/2019/07/30/33/2085453/cupi-cupita-akui-sering-alami-pelecehan-seksual</t>
  </si>
  <si>
    <t>p-13492-re</t>
  </si>
  <si>
    <t>ruu-pks-kembali-didesak-untuk-lekas-disahkan</t>
  </si>
  <si>
    <t>RUU PKS Kembali Didesak untuk Lekas Disahkan</t>
  </si>
  <si>
    <t>https://nasional.republika.co.id/berita/pu7v2b459/ruu-pks-kembali-didesak-untuk-lekas-disahkan</t>
  </si>
  <si>
    <t>baiq-nuril-yang-mendunia</t>
  </si>
  <si>
    <t>Baiq Nuril yang Mendunia</t>
  </si>
  <si>
    <t>https://nasional.republika.co.id/berita/pu8ib6377/baiq-nuril-yang-mendunia</t>
  </si>
  <si>
    <t>p-14712-ti</t>
  </si>
  <si>
    <t>Hukuman Kebiri Masih Dimasalahkan, Kok Aparat Diberi Penghargaan?</t>
  </si>
  <si>
    <t>https://tirto.id/hukuman-kebiri-masih-dimasalahkan-kok-aparat-diberi-penghargaan-ehe3</t>
  </si>
  <si>
    <t>p-15918-li</t>
  </si>
  <si>
    <t>Polisi Bekuk Pelaku Pembunuhan Mahasiswi di Sukabumi</t>
  </si>
  <si>
    <t>https://www.liputan6.com/news/read/4028808/polisi-bekuk-pelaku-pembunuhan-mahasiswi-di-sukabumi</t>
  </si>
  <si>
    <t>oktober</t>
  </si>
  <si>
    <t>November</t>
  </si>
  <si>
    <t>a-20-su</t>
  </si>
  <si>
    <t>Disbud DIY Sebut Komunitas Padma Buana di Mangir Lor Belum Masuk dalam MLKI</t>
  </si>
  <si>
    <t>https://jogja.suara.com/read/2019/11/14/163152/disbud-diy-sebut-komunitas-padma-buana-di-mangir-lor-belum-masuk-dalam-mlki</t>
  </si>
  <si>
    <t>Agama marjinal</t>
  </si>
  <si>
    <t>Desember</t>
  </si>
  <si>
    <t>a-118-tr</t>
  </si>
  <si>
    <t>Peringkat Kebebasan Beragama Terendah, Pakistan Malah Kecam AS</t>
  </si>
  <si>
    <t>https://www.tribunnews.com/internasional/2019/12/25/peringkat-kebebasan-beragama-terendah-pakistan-malah-kecam-as</t>
  </si>
  <si>
    <t>d-129-li</t>
  </si>
  <si>
    <t>Dulu Orang dengan Gangguan Jiwa di Desa Gitik Banyuwangi Dipasung</t>
  </si>
  <si>
    <t>https://www.liputan6.com/health/read/4078473/dulu-orang-dengan-gangguan-jiwa-di-desa-gitik-banyuwangi-dipasung</t>
  </si>
  <si>
    <t>d-263-te</t>
  </si>
  <si>
    <t>Google Tambah Fitur Aksesibilitas untuk Difabel Gerak Terbatas</t>
  </si>
  <si>
    <t>https://difabel.tempo.co/read/1256428/google-tambah-fitur-aksesibilitas-untuk-difabel-gerak-terbatas</t>
  </si>
  <si>
    <t>d-512-te</t>
  </si>
  <si>
    <t>undefined</t>
  </si>
  <si>
    <t>Ibu Hamil Depresi Berisiko Lahirkan Anak dengan Gangguan Kejiwaan</t>
  </si>
  <si>
    <t>https://cantik.tempo.co/read/1257649/ibu-hamil-depresi-berisiko-lahirkan-anak-dengan-gangguan-kejiwaan</t>
  </si>
  <si>
    <t>d-1103-ti</t>
  </si>
  <si>
    <t>MenPANRB Buka Formasi CPNS Khusus Difabel</t>
  </si>
  <si>
    <t>https://tirto.id/menpanrb-buka-formasi-cpns-khusus-difabel-el34</t>
  </si>
  <si>
    <t>d-1354-tr</t>
  </si>
  <si>
    <t>911 Sempat Abaikan Perempuan yang Pesan Pizza, Akhirnya Selamatkan Ibu yang Jadi Korban KDRT</t>
  </si>
  <si>
    <t>https://www.tribunnews.com/internasional/2019/11/23/911-sempat-abaikan-perempuan-yang-pesan-pizza-akhirnya-selamatkan-ibu-yang-jadi-korban-kdrt</t>
  </si>
  <si>
    <t>p-608-de</t>
  </si>
  <si>
    <t>Biar dikira Korban Perkosaan, Pelaku Lucuti Celana Lily</t>
  </si>
  <si>
    <t>https://news.detik.com/berita-jawa-tengah/d-4795875/biar-dikira-korban-perkosaan-pelaku-lucuti-celana-lily</t>
  </si>
  <si>
    <t>p-691-ok</t>
  </si>
  <si>
    <t>Pamerkan Kemaluan ke Wanita, Pria Ini Nyaris Diamuk Massa</t>
  </si>
  <si>
    <t>https://news.okezone.com/read/2019/11/25/609/2134290/pamerkan-kemaluan-ke-wanita-pria-ini-nyaris-diamuk-massa</t>
  </si>
  <si>
    <t>p-1428-tr</t>
  </si>
  <si>
    <t>Sebab Janda Ngawi Tewas di Kebon Jagung, Polisi Sebut Kondisi Jasad Lemas, Korban Perkosaan?</t>
  </si>
  <si>
    <t>https://www.tribunnews.com/regional/2019/12/24/sebab-janda-ngawi-tewas-di-kebon-jagung-polisi-sebut-kondisi-jasad-lemas-korban-perkosaan</t>
  </si>
  <si>
    <t>p-1338-te</t>
  </si>
  <si>
    <t>Hari Ibu, Megawati Ajak Perempuan Berani Berpolitik</t>
  </si>
  <si>
    <t>https://cantik.tempo.co/read/1286708/hari-ibu-megawati-ajak-perempuan-berani-berpolitik</t>
  </si>
  <si>
    <t>desember</t>
  </si>
  <si>
    <t>d-2273-li</t>
  </si>
  <si>
    <t>Penyandang Autisme Memiliki Kesehatan yang Rentan</t>
  </si>
  <si>
    <t>https://www.liputan6.com/health/read/4138750/penyandang-autisme-memiliki-kesehatan-yang-rentan</t>
  </si>
  <si>
    <t>d-1926-de</t>
  </si>
  <si>
    <t>sport-lain</t>
  </si>
  <si>
    <t>Bonus dari Pemkab Batal Cair, 8 Atlet Difabel Cianjur Pindah Daerah</t>
  </si>
  <si>
    <t>https://sport.detik.com/sport-lain/d-4826645/bonus-dari-pemkab-batal-cair-8-atlet-difabel-cianjur-pindah-daerah</t>
  </si>
  <si>
    <t>d-2448-re</t>
  </si>
  <si>
    <t>wanita-dengan-gangguan-jiwa-ditemukan-tenggelam</t>
  </si>
  <si>
    <t>Wanita dengan Gangguan Jiwa Ditemukan Tenggelam</t>
  </si>
  <si>
    <t>https://republika.co.id/berita/q329lh366/wanita-dengan-gangguan-jiwa-ditemukan-tenggelam</t>
  </si>
  <si>
    <t>d-2134-su</t>
  </si>
  <si>
    <t>yoursay</t>
  </si>
  <si>
    <t>Kurangnya Kesadaran Masyarakat Terhadap Fasilitas Disabilitas</t>
  </si>
  <si>
    <t>https://www.suara.com/yoursay/2019/12/19/151548/kurangnya-kesadaran-masyarakat-terhadap-fasilitas-disabilitas</t>
  </si>
  <si>
    <t>i-5-ok</t>
  </si>
  <si>
    <t>Bocah 6 Tahun Tewas Dianiaya Pacar Sesama Jenis Tantenya di Samarinda</t>
  </si>
  <si>
    <t>https://news.okezone.com/read/2019/10/03/340/2112194/bocah-6-tahun-tewas-dianiaya-pacar-sesama-jenis-tantenya-di-samarinda</t>
  </si>
  <si>
    <t>i-120-ko</t>
  </si>
  <si>
    <t>Kata Mondo Gascaro Soal Kontroversi Film Kucumbu Tubuh Indahku</t>
  </si>
  <si>
    <t>https://www.kompas.com/hype/read/2019/11/21/173140566/kata-mondo-gascaro-soal-kontroversi-film-kucumbu-tubuh-indahku</t>
  </si>
  <si>
    <t>i-100-tr</t>
  </si>
  <si>
    <t>Pensiunan PNS di Binjai Meninggal Dunia Usai Kencani Waria Langganannya</t>
  </si>
  <si>
    <t>https://www.tribunnews.com/regional/2019/11/19/pensiunan-pns-di-binjai-meninggal-dunia-usai-kencani-waria-langganannya</t>
  </si>
  <si>
    <t>Dituduh Transgender, Istri Jerinx SID Tak Terima</t>
  </si>
  <si>
    <t>https://seleb.tempo.co/read/1288392/dituduh-transgender-istri-jerinx-sid-tak-terima</t>
  </si>
  <si>
    <t>p-474-cn</t>
  </si>
  <si>
    <t>Swedia Hentikan Penyidikan Kasus Pemerkosaan Julian Assange</t>
  </si>
  <si>
    <t>https://www.cnnindonesia.com/internasional/20191120085026-134-449863/swedia-hentikan-penyidikan-kasus-pemerkosaan-julian-assange</t>
  </si>
  <si>
    <t>d-1054-ok</t>
  </si>
  <si>
    <t>Dari Ria Ricis hingga Nikita Mirzani Pamer Saldo ATM, Tanda Gangguan Jiwa?</t>
  </si>
  <si>
    <t>https://index.okezone.com/read/2019/11/21/612/2132853/dari-ria-ricis-hingga-nikita-mirzani-pamer-saldo-atm-tanda-gangguan-jiwa</t>
  </si>
  <si>
    <t>d-1372-cn</t>
  </si>
  <si>
    <t>Cara Spesial Driver Grab Tunarungu Pahami Pelanggan</t>
  </si>
  <si>
    <t>https://www.cnnindonesia.com/teknologi/20191122103644-190-450535/cara-spesial-driver-grab-tunarungu-pahami-pelanggan</t>
  </si>
  <si>
    <t>Jakarta, CNN Indonesia -- Driver Grab difabel beberapa kali menerima pembatalan order karena pelanggan Grab tak tahu caranya untuk berkomunikasi. Padahal sebenarnya pelanggan tak perlu khawatir. Sebab ada cara unik yang bisa dilakukan tanpa harus bereaksi berlebihan.Salah satunya Ivan Octa Putra, mitra pengemudi GrabCar penyandang tunarungu yang punya cara khusus untuk tetap lancar berkomunikasi dengan pelanggannya.Pria lulusan Desain Komunikasi Visual UNIKOM Bandung itu mengaku punya cara sendiri untuk bisa berkomunikasi dengan pelanggan. salah satunya dengan memasang gambar isyarat dalam kendaraan. "Saya pernah melihat seperti di Malaysia, saya adopsi ke bahasa Indonesia. Ada gambar isyarat tulisan 'halo, terima kasih, dan sama-sama'" ujarnya saat ditemui di kawasan Senayan, Jakarta beberapa waktu lalu.Jika penumpang duduk di kursi belakang, cukup dengan memberikan perhatian. "Kalau penumpang mau manggil saya, sentuh pundak saya. Atau saya mengarahkan spion di depan saya ke arah penumpang untuk melihat wajahnya di belakang. Jadi nanti bisa tunjukin arah ke mana penumpang mau," ujarnya.Namun jika penumpang duduk di kursi depan, Ivan akan memberi tahu untuk bicara saja dengan suara dan kecepatan normal. Dengan cara itu, Ivan masih bisa mendengar meski sangat pelan maupun membaca gerak bibir penumpang.Selain menjadi driver Grab, Ivan juga bekerja sebagai fotografer, videografer, dan salah satu anggota organisasi kepemudaan Gerkatin, Gerakan untuk Kesejahteraan Tunarungu Indonesia Jawa Barat."Saya wakil sekretaris juga sebagai guru peserta dengar di Bandung," katanya.Ivan mengaku bisa menyelesaikan 18 trip dalam sehari. Saat ini trip-nya bahkan sudah bertambah hingga 19 setiap hari. Ivan mengaku menikmati pekerjaannya.Dirinya berpesan kepada teman-teman tuli agar menjadikan ini sebagai motivasi. Menurutnya, orang-orang seperti dirinya harus bisa menunjukkan kemampuan. Meski dengan kemampuan dan minat berbeda, setiap orang bisa saja meraih cita-cita."Harus PD, berani, dan harus berjuang kita bangga sehingga kelak SDM tuli bertambah (kemampuan) banyak yang tampil," ujarnya. (fef)</t>
  </si>
  <si>
    <t>d-1449-ko</t>
  </si>
  <si>
    <t>Studi Temukan Satu dari Tujuh Anak Berpotensi Alami Penyakit Mental</t>
  </si>
  <si>
    <t>https://www.kompas.com/tren/read/2019/11/24/182200365/studi-temukan-satu-dari-tujuh-anak-berpotensi-alami-penyakit-mental</t>
  </si>
  <si>
    <t>d-2128-re</t>
  </si>
  <si>
    <t>Dari Cerita Viralnya Pria Stroke Dianiaya Istri, Benarkah Mengasuh Orang Sakit Rentan Alami Stres?</t>
  </si>
  <si>
    <t>https://www.tribunnews.com/regional/2019/12/19/dari-cerita-viralnya-pria-stroke-dianiaya-istri-benarkah-mengasuh-orang-sakit-rentan-alami-stres</t>
  </si>
  <si>
    <t>d-2183-ko</t>
  </si>
  <si>
    <t>rilis</t>
  </si>
  <si>
    <t>PGN Buka Kesempatan Kerja bagi Penyandang Disabilitas</t>
  </si>
  <si>
    <t>https://money.kompas.com/read/2019/12/20/202508026/pgn-buka-kesempatan-kerja-bagi-penyandang-disabilitas</t>
  </si>
  <si>
    <t>d-271-tr</t>
  </si>
  <si>
    <t>Sederet Fakta Bocah 12 Tahun Dikurung di Bekas Kandang Ayam</t>
  </si>
  <si>
    <t>https://www.tribunnews.com/regional/2019/10/06/sederet-fakta-bocah-12-tahun-dikurung-di-bekas-kandang-ayam</t>
  </si>
  <si>
    <t>d-343-te</t>
  </si>
  <si>
    <t>Syarat Khusus untuk Penyandang Disabilitas Saat Daftar CPNS 2019</t>
  </si>
  <si>
    <t>https://difabel.tempo.co/read/1273656/syarat-khusus-untuk-penyandang-disabilitas-saat-daftar-cpns-2019</t>
  </si>
  <si>
    <t>d-437-cn</t>
  </si>
  <si>
    <t>Dokter Jiwa: Pelaku Teror Sperma Bisa Jadi Ekshibisionis</t>
  </si>
  <si>
    <t>https://www.cnnindonesia.com/gaya-hidup/20191120094447-255-449880/dokter-jiwa-pelaku-teror-sperma-bisa-jadi-ekshibisionis</t>
  </si>
  <si>
    <t>d-562-su</t>
  </si>
  <si>
    <t>Joker Berhenti Minum Obat meski Alami Gangguan Mental, Apa Efeknya?</t>
  </si>
  <si>
    <t>https://www.suara.com/health/2019/10/10/071500/joker-pilih-berhenti-minum-obat-untuk-kondisi-mentalnya-apa-efeknya</t>
  </si>
  <si>
    <t>d-2101-de</t>
  </si>
  <si>
    <t>Soal IG Live Bunuh Diri Aida Saskia, Kenapa Manajer Bilang Cuma Prank?</t>
  </si>
  <si>
    <t>https://health.detik.com/berita-detikhealth/d-4820194/soal-ig-live-bunuh-diri-aida-saskia-kenapa-manajer-bilang-cuma-prank</t>
  </si>
  <si>
    <t>d-2111-li</t>
  </si>
  <si>
    <t>Mendobrak Stereotip Penyandang Disabilitas (Bagian 1)</t>
  </si>
  <si>
    <t>https://www.liputan6.com/lifestyle/read/4131931/mendobrak-stereotip-penyandang-disabilitas-bagian-1</t>
  </si>
  <si>
    <t>d-2318-ok</t>
  </si>
  <si>
    <t>Tak Membeda-bedakan, Untar Terbuka untuk Mahasiswa Berkebutuhan Khusus</t>
  </si>
  <si>
    <t>https://news.okezone.com/read/2019/12/22/65/2144837/tak-membeda-bedakan-untar-terbuka-untuk-mahasiswa-berkebutuhan-khusus</t>
  </si>
  <si>
    <t>d-2529-li</t>
  </si>
  <si>
    <t>Kemenhub Berikan 17 Tiket Mudik Gratis untuk Disabilitas Gunakan Pesawat</t>
  </si>
  <si>
    <t>https://www.liputan6.com/bisnis/read/4138828/kemenhub-berikan-17-tiket-mudik-gratis-untuk-disabilitas-gunakan-pesawat</t>
  </si>
  <si>
    <t>d-2603-ko</t>
  </si>
  <si>
    <t>Kisah Tunanetra Merawat Anak dan Istri Gangguan Jiwa, Berharap Belas Kasihan dari Tetangga</t>
  </si>
  <si>
    <t>https://regional.kompas.com/read/2019/12/15/14121481/kisah-tunanetra-merawat-anak-dan-istri-gangguan-jiwa-berharap-belas-kasihan</t>
  </si>
  <si>
    <t>i-12-tr</t>
  </si>
  <si>
    <t>7 Fakta Kasus Bocah Tewas Disiksa Pelaku LGBT: Kecurigaan, Kronologi, Ancaman Pelaku, hingga Bukti</t>
  </si>
  <si>
    <t>https://www.tribunnews.com/regional/2019/10/03/7-fakta-kasus-bocah-tewas-disiksa-pelaku-lgbt-kecurigaan-kronologi-ancaman-pelaku-hingga-bukti</t>
  </si>
  <si>
    <t>p-490-ok</t>
  </si>
  <si>
    <t>Kekerasan Seksual Terus Melonjak, RUU PKS Harus Segera Disahkan</t>
  </si>
  <si>
    <t>https://nasional.okezone.com/read/2019/10/09/337/2114746/kekerasan-seksual-terus-melonjak-ruu-pks-harus-segera-disahkan</t>
  </si>
  <si>
    <t>p-1296-li</t>
  </si>
  <si>
    <t>Mundur dari Tugas Kerajaan Inggris, Pangeran Andrew Pindah dari Istana</t>
  </si>
  <si>
    <t>https://www.liputan6.com/global/read/4117586/mundur-dari-tugas-kerajaan-inggris-pangeran-andrew-pindah-dari-istana</t>
  </si>
  <si>
    <t>p-1646-te</t>
  </si>
  <si>
    <t>Pelaku Prostitusi Berkedok Kawin Kontrak Menyamar Pemandu Wisata</t>
  </si>
  <si>
    <t>https://metro.tempo.co/read/1287214/pelaku-prostitusi-berkedok-kawin-kontrak-menyamar-pemandu-wisata</t>
  </si>
  <si>
    <t>a-140-li</t>
  </si>
  <si>
    <t>NU dan Ahmadiyah Sepakat Kerja Sama Sosial Kemanusiaan</t>
  </si>
  <si>
    <t>https://www.liputan6.com/news/read/4135862/nu-dan-ahmadiyah-sepakat-kerja-sama-sosial-kemanusiaan</t>
  </si>
  <si>
    <t>d-234-de</t>
  </si>
  <si>
    <t>cyberlife</t>
  </si>
  <si>
    <t>Panji dan Anji Peringatkan Netizen soal Joker</t>
  </si>
  <si>
    <t>https://inet.detik.com/cyberlife/d-4734521/panji-dan-anji-peringatkan-netizen-soal-joker</t>
  </si>
  <si>
    <t>d-346-ti</t>
  </si>
  <si>
    <t>Kemenkes Usul Istilah Rumah Sakit Jiwa Diganti untuk Hapus Stigma</t>
  </si>
  <si>
    <t>https://tirto.id/kemenkes-usul-istilah-rumah-sakit-jiwa-diganti-untuk-hapus-stigma-ejmP</t>
  </si>
  <si>
    <t>d-397-su</t>
  </si>
  <si>
    <t>Pukul Ayah Pakai Linggis, Alasan Imron Dipasung di Kandang Kambing</t>
  </si>
  <si>
    <t>https://jatim.suara.com/read/2019/10/08/152022/pukul-ayah-pakai-linggis-alasan-imron-dipasung-di-kandang-kambing</t>
  </si>
  <si>
    <t>d-453-de</t>
  </si>
  <si>
    <t>Jadi Tersangka, Penculik Bocah PAUD di Tasik Mengaku Mau Merawat Korban</t>
  </si>
  <si>
    <t>https://news.detik.com/berita-jawa-barat/d-4740049/jadi-tersangka-penculik-bocah-paud-di-tasik-mengaku-mau-merawat-korban</t>
  </si>
  <si>
    <t>d-1118-tr</t>
  </si>
  <si>
    <t>Angkie Yudistia, Perempuan Tunarungu yang Ditunjuk Jokowi Jadi Staf Khusus Presiden</t>
  </si>
  <si>
    <t>https://www.tribunnews.com/nasional/2019/11/21/angkie-yudistia-perempuan-tunarungu-yang-ditunjuk-jokowi-jadi-staf-khusus-presiden</t>
  </si>
  <si>
    <t>d-2569-ok</t>
  </si>
  <si>
    <t>Bagaimana Kondisi Terbaru Tunanetra yang Terperosok di Peron Stasiun?</t>
  </si>
  <si>
    <t>https://nasional.okezone.com/read/2019/12/14/337/2141915/bagaimana-kondisi-terbaru-tunanetra-yang-terperosok-di-peron-stasiun</t>
  </si>
  <si>
    <t>d-1479-ok</t>
  </si>
  <si>
    <t>Viral, Video Pemuda Disabilitas Salat Bikin Netizen Menangis</t>
  </si>
  <si>
    <t>https://index.okezone.com/read/2019/11/18/614/2131137/viral-video-pemuda-disabilitas-salat-bikin-netizen-menangis</t>
  </si>
  <si>
    <t>i-36-su</t>
  </si>
  <si>
    <t>Tidak Cuma Lelaki dan Perempuan, Ada 18 Identitas Gender di Thailand!</t>
  </si>
  <si>
    <t>https://www.suara.com/health/2019/11/23/083500/tidak-cuma-lelaki-dan-perempuan-ada-18-identitas-gender-di-thailand</t>
  </si>
  <si>
    <t>i-163-tr</t>
  </si>
  <si>
    <t>Komnas HAM Nilai Syarat Daftar CPNS di Kejagung Bertentangan Dengan Prinsip HAM dan UUD 1945</t>
  </si>
  <si>
    <t>https://www.tribunnews.com/nasional/2019/11/22/komnas-ham-nilai-syarat-daftar-cpns-di-kejagung-bertentangan-dengan-prinsip-ham-dan-uud-1945</t>
  </si>
  <si>
    <t>JK Rowling Diserang Komunitas LGBT, Kenapa?</t>
  </si>
  <si>
    <t>https://hot.detik.com/book/d-4829860/jk-rowling-diserang-komunitas-lgbt-kenapa</t>
  </si>
  <si>
    <t>p-109-tr</t>
  </si>
  <si>
    <t>Dibekap dan Akan Diperkosa Oleh Teman Suaminya, Ibu Muda Ini Melawan dan Bikin Pelaku Kecut</t>
  </si>
  <si>
    <t>https://www.tribunnews.com/regional/2019/10/06/dibekap-dan-akan-diperkosa-oleh-teman-suaminya-ibu-muda-ini-melawan-dan-bikin-pelaku-kecut</t>
  </si>
  <si>
    <t>p-136-su</t>
  </si>
  <si>
    <t>Perempuan Indonesia Dibakar Hidup-hidup Suaminya di Kuwait</t>
  </si>
  <si>
    <t>https://www.suara.com/news/2019/10/07/173849/perempuan-indonesia-dibakar-hidup-hidup-suaminya-di-kuwait</t>
  </si>
  <si>
    <t>p-386-cn</t>
  </si>
  <si>
    <t>Cabuli Anak Tuna Rungu, 2 Pastor Argentina Dibui 40 tahun</t>
  </si>
  <si>
    <t>https://www.cnnindonesia.com/internasional/20191126162224-134-451643/cabuli-anak-tuna-rungu-2-pastor-argentina-dibui-40-tahun</t>
  </si>
  <si>
    <t>p-603-tr</t>
  </si>
  <si>
    <t>Pelecehan Seksual Bermodus Tanya Alamat Terjadi di Depok, Korbannya Sampai Trauma</t>
  </si>
  <si>
    <t>https://www.tribunnews.com/metropolitan/2019/10/04/pelecehan-seksual-bermodus-tanya-alamat-terjadi-di-depok-korbannya-sampai-trauma</t>
  </si>
  <si>
    <t>p-604-cn</t>
  </si>
  <si>
    <t>Minta Dicekik Leher Saat Berhubungan, Wanita Inggris Tewas</t>
  </si>
  <si>
    <t>https://www.cnnindonesia.com/internasional/20191122205538-113-450785/minta-dicekik-leher-saat-berhubungan-wanita-inggris-tewas</t>
  </si>
  <si>
    <t>Mantan Pramugari Benarkan Cerita Dugaan Prostitusi di Garuda Indonesia</t>
  </si>
  <si>
    <t>https://www.suara.com/news/2019/12/10/175416/mantan-pramugari-benarkan-cerita-dugaan-prostitusi-di-garuda-indonesia</t>
  </si>
  <si>
    <t>p-834-ok</t>
  </si>
  <si>
    <t>Lagi Enak Tidur, Janda Kembang Diperkosa Pemuda</t>
  </si>
  <si>
    <t>https://news.okezone.com/read/2019/12/19/340/2143916/lagi-enak-tidur-janda-kembang-diperkosa-pemuda</t>
  </si>
  <si>
    <t>p-916-tr</t>
  </si>
  <si>
    <t>cinema &amp; tv</t>
  </si>
  <si>
    <t>Terseret Skandal Pelecehan Seksual, Yoo Jae Suk Buka Suara</t>
  </si>
  <si>
    <t>https://www.tribunnews.com/seleb/2019/12/20/terseret-skandal-pelecehan-seksual-yoo-jae-suk-buka-suara</t>
  </si>
  <si>
    <t>p-1064-cn</t>
  </si>
  <si>
    <t>Charlize Theron Akui Pernah Dilecehkan Sutradara Terkenal</t>
  </si>
  <si>
    <t>https://www.cnnindonesia.com/hiburan/20191218115329-234-458003/charlize-theron-akui-pernah-dilecehkan-sutradara-terkenal</t>
  </si>
  <si>
    <t>p-1432-ko</t>
  </si>
  <si>
    <t>Banyak Laporan Prostitusi Online, Satpol PP hingga BNN Gelar Razia Jelang Natal dan Tahun Baru</t>
  </si>
  <si>
    <t>https://megapolitan.kompas.com/read/2019/12/18/16135871/banyak-laporan-prostitusi-online-satpol-pp-hingga-bnn-gelar-razia-jelang</t>
  </si>
  <si>
    <t>p-1587-tr</t>
  </si>
  <si>
    <t>Polres Cianjur Amankan 4 Mucikari dan Belasan PSK yang Praktek di Kawasan Puncak</t>
  </si>
  <si>
    <t>https://www.tribunnews.com/regional/2019/12/29/polres-cianjur-amankan-4-mucikari-dan-belasan-psk-yang-praktek-di-kawasan-puncak</t>
  </si>
  <si>
    <t>i-104-de</t>
  </si>
  <si>
    <t>2 Wartawan Gay Arab Saudi Ditahan di Australia Usai Minta Suaka</t>
  </si>
  <si>
    <t>https://news.detik.com/internasional/d-4792237/2-wartawan-gay-arab-saudi-ditahan-di-australia-usai-minta-suaka</t>
  </si>
  <si>
    <t>i-108-re</t>
  </si>
  <si>
    <t>penderita-hiv-di-purwakarta-terus-meningkat</t>
  </si>
  <si>
    <t>Penderita HIV di Purwakarta Terus Meningkat</t>
  </si>
  <si>
    <t>https://nasional.republika.co.id/berita/q19d1s335/penderita-hiv-di-purwakarta-terus-meningkat</t>
  </si>
  <si>
    <t>i-168-cn</t>
  </si>
  <si>
    <t>Menpan-RB Dukung Kejaksaan Agung Tolak LGBT daftar CPNS</t>
  </si>
  <si>
    <t>https://www.cnnindonesia.com/nasional/20191122180533-20-450718/menpan-rb-dukung-kejaksaan-agung-tolak-lgbt-daftar-cpns</t>
  </si>
  <si>
    <t>i-181-cn</t>
  </si>
  <si>
    <t>PPP soal Tes CPNS: Islam Agama Terbesar dan Larang LGBT</t>
  </si>
  <si>
    <t>https://www.cnnindonesia.com/nasional/20191124140414-20-451016/ppp-soal-tes-cpns-islam-agama-terbesar-dan-larang-lgbt</t>
  </si>
  <si>
    <t>i-206-ko</t>
  </si>
  <si>
    <t>Amnesty International Indonesia: Syarat Diskriminatif bagi Pelamar CPNS 2019 Harus Dicabut</t>
  </si>
  <si>
    <t>https://nasional.kompas.com/read/2019/11/25/10103341/amnesty-international-indonesia-syarat-diskriminatif-bagi-pelamar-cpns-2019</t>
  </si>
  <si>
    <t>i-325-tr</t>
  </si>
  <si>
    <t>movie</t>
  </si>
  <si>
    <t>Star Wars: The Rise of Skywalker' Jadi Representasi LGBT</t>
  </si>
  <si>
    <t>https://hot.detik.com/movie/d-4828760/star-wars-the-rise-of-skywalker-jadi-representasi-lgbt</t>
  </si>
  <si>
    <t>p-89-tr</t>
  </si>
  <si>
    <t>Ibu Muda di Sintang Nyari Jadi Korban Pemerkosaan yang Dilakukan Teman Suami</t>
  </si>
  <si>
    <t>https://www.tribunnews.com/regional/2019/10/05/ibu-muda-di-sintang-nyari-jadi-korban-pemerkosaan-yang-dilakukan-teman-suami</t>
  </si>
  <si>
    <t>p-242-su</t>
  </si>
  <si>
    <t>Kekerasan Berbasis Gender Masih Tinggi di Indonesia, Terlebih Pengidap HIV</t>
  </si>
  <si>
    <t>https://www.suara.com/health/2019/10/02/194500/kekerasan-berbasis-gender-masih-tinggi-di-indonesia-terlebih-pengidap-hiv</t>
  </si>
  <si>
    <t>Oktober</t>
  </si>
  <si>
    <t>p-363-te</t>
  </si>
  <si>
    <t>Pemerintah Dinilai Belum Maksimal Bantu Korban Kekerasan Seksual</t>
  </si>
  <si>
    <t>https://nasional.tempo.co/read/1276496/pemerintah-dinilai-belum-maksimal-bantu-korban-kekerasan-seksual</t>
  </si>
  <si>
    <t>p-499-re</t>
  </si>
  <si>
    <t>penyelidikan-kasus-pemerkosaan-julian-assange-dihentikan</t>
  </si>
  <si>
    <t>Penyelidikan Kasus Pemerkosaan Julian Assange Dihentikan</t>
  </si>
  <si>
    <t>https://internasional.republika.co.id/berita/q191u3382/penyelidikan-kasus-pemerkosaan-julian-assange-dihentikan</t>
  </si>
  <si>
    <t>p-574-de</t>
  </si>
  <si>
    <t>Kania 'BP' Lebih Sakit Kehilangan Ayah daripada Dibuat Bonyok Suami</t>
  </si>
  <si>
    <t>https://hot.detik.com/celeb/d-4794622/kania-bp-lebih-sakit-kehilangan-ayah-daripada-dibuat-bonyok-suami</t>
  </si>
  <si>
    <t>p-646-ko</t>
  </si>
  <si>
    <t>Berulang Kali Perkosa Istri Sahabat, Pria Ini Tewas Dibacok</t>
  </si>
  <si>
    <t>https://regional.kompas.com/read/2019/11/24/16023951/berulang-kali-perkosa-istri-sahabat-pria-ini-tewas-dibacok</t>
  </si>
  <si>
    <t>p-1186-te</t>
  </si>
  <si>
    <t>Dugaan Pemerkosaan Rizky Amelia, Komnas Perempuan Curigai 2 Hal</t>
  </si>
  <si>
    <t>https://metro.tempo.co/read/1282859/dugaan-pemerkosaan-rizky-amelia-komnas-perempuan-curigai-2-hal</t>
  </si>
  <si>
    <t>p-1364-ok</t>
  </si>
  <si>
    <t>sektor riil</t>
  </si>
  <si>
    <t>Sri Mulyani: Ibu Teman Dekat saat Anaknya Mengalami Masa Sulit</t>
  </si>
  <si>
    <t>https://economy.okezone.com/read/2019/12/23/320/2145044/sri-mulyani-ibu-teman-dekat-saat-anaknya-mengalami-masa-sulit</t>
  </si>
  <si>
    <t>p-1551-su</t>
  </si>
  <si>
    <t>Murid Disumpah Alquran untuk Dicabuli, Guru BK Huda Pakai Ijazah Palsu</t>
  </si>
  <si>
    <t>https://jatim.suara.com/read/2019/12/07/191008/murid-disumpah-alquran-untuk-dicabuli-guru-bk-huda-pakai-ijazah-palsu</t>
  </si>
  <si>
    <t>d-214-te</t>
  </si>
  <si>
    <t>Tips Mendidik Anak dengan Multi Disabilitas</t>
  </si>
  <si>
    <t>https://difabel.tempo.co/read/1256099/tips-mendidik-anak-dengan-multi-disabilitas</t>
  </si>
  <si>
    <t>d-543-de</t>
  </si>
  <si>
    <t>YLBHI dan Pemerhati ODGJ Somasi Dirut BPJS Kesehatan terkait Postingan 'Joker'</t>
  </si>
  <si>
    <t>https://news.detik.com/berita/d-4740260/ylbhi-dan-pemerhati-odgj-somasi-dirut-bpjs-kesehatan-terkait-postingan-joker</t>
  </si>
  <si>
    <t>d-1745-te</t>
  </si>
  <si>
    <t>ASEAN Para Games 2020: Angkat Berat Berharap Emas Pada Putri</t>
  </si>
  <si>
    <t>https://sport.tempo.co/read/1286022/asean-para-games-2020-angkat-berat-berharap-emas-pada-putri</t>
  </si>
  <si>
    <t>d-2016-ko</t>
  </si>
  <si>
    <t>Dibawa Polisi, Istri yang Pukuli Suami Pengidap Stroke Mengamuk</t>
  </si>
  <si>
    <t>https://megapolitan.kompas.com/read/2019/12/18/18273771/dibawa-polisi-istri-yang-pukuli-suami-pengidap-stroke-mengamuk</t>
  </si>
  <si>
    <t>d-2626-tr</t>
  </si>
  <si>
    <t>Ibu Kandung di Kediri Tega Bunuh Anak Gadisnya, Terungkap Pelaku Menderita Skizofrenia</t>
  </si>
  <si>
    <t>https://www.tribunnews.com/regional/2019/12/29/ibu-kandung-di-kediri-tega-bunuh-anak-gadisnya-terungkap-pelaku-menderita-skizofrenia</t>
  </si>
  <si>
    <t>Feb</t>
  </si>
  <si>
    <t>p-9186-de</t>
  </si>
  <si>
    <t>Dukun Cabul di Jember Cabuli 4 Siswi SMP, Satu di Antaranya Hamil</t>
  </si>
  <si>
    <t>https://news.detik.com/berita-jawa-timur/d-4496667/dukun-cabul-di-jember-cabuli-4-siswi-smp-satu-di-antaranya-hamil</t>
  </si>
  <si>
    <t>i-198-tr</t>
  </si>
  <si>
    <t>Penjelasan Kenapa LGBT Dilarang Ikut CPNS 2019 Kejaksaan Agung</t>
  </si>
  <si>
    <t>https://www.tribunnews.com/nasional/2019/11/24/penjelasan-kenapa-lgbt-dilarang-ikut-cpns-2019-kejaksaan-agung</t>
  </si>
  <si>
    <t>i-239-ti</t>
  </si>
  <si>
    <t>Analisis Asal Comot soal LGBT ala Dwi Estiningsih</t>
  </si>
  <si>
    <t>https://tirto.id/analisis-asal-comot-soal-lgbt-ala-dwi-estiningsih-enjC</t>
  </si>
  <si>
    <t>p-16-de</t>
  </si>
  <si>
    <t>Kalap Karena Cemburu, Suami Pukuli Istri Hingga 6 Hari Nginap di RS</t>
  </si>
  <si>
    <t>https://news.detik.com/berita-jawa-timur/d-4732851/kalap-karena-cemburu-suami-pukuli-istri-hingga-6-hari-nginap-di-rs</t>
  </si>
  <si>
    <t>p-61-ko</t>
  </si>
  <si>
    <t>Semenit Keluar Penjara, Terdakwa Pemerkosa Ditangkap Lagi, Pengacara Meradang</t>
  </si>
  <si>
    <t>https://regional.kompas.com/read/2019/10/04/18354161/semenit-keluar-penjara-terdakwa-pemerkosa-ditangkap-lagi-pengacara-meradang</t>
  </si>
  <si>
    <t>a-122-cn</t>
  </si>
  <si>
    <t>Demo Tolak RUU Kewarganegaraan di India Telan Korban Jiwa</t>
  </si>
  <si>
    <t>https://www.cnnindonesia.com/internasional/20191213131933-113-456691/demo-tolak-ruu-kewarganegaraan-di-india-telan-korban-jiwa</t>
  </si>
  <si>
    <t>a-132-ko</t>
  </si>
  <si>
    <t>d-248-li</t>
  </si>
  <si>
    <t>Fakta-Fakta Tiyo, Bocah Disabilitas Asal Ciamis Pemilik IQ Tinggi</t>
  </si>
  <si>
    <t>https://www.liputan6.com/citizen6/read/4079263/fakta-fakta-tiyo-bocah-disabilitas-asal-ciamis-pemilik-iq-tinggi</t>
  </si>
  <si>
    <t>d-383-li</t>
  </si>
  <si>
    <t>d-1064-re</t>
  </si>
  <si>
    <t>angkie-yudistia-staf-khusus-presiden-disabilitas-pertama</t>
  </si>
  <si>
    <t>Angkie Yudistia, Staf Khusus Presiden Disabilitas Pertama</t>
  </si>
  <si>
    <t>https://nasional.republika.co.id/berita/q1bi2q328/angkie-yudistia-staf-khusus-presiden-disabilitas-pertama</t>
  </si>
  <si>
    <t>REPUBLIKA.CO.ID, JAKARTA -- Presiden Joko Widodo (Jokowi) mengumumkan nama-nama staf khusus presiden yang akan membantunya di pemerintahan Kabinet Indonesia Maju selama lima tahun ke depan. Dari 14 nama staf khusus presiden yang dikenalkan pada sore ini, tujuh di antaranya merupakan perwakilan dari anak muda Indonesia.Salah satu dari mereka yakni angkie yudistia , pendiri Thisable Enterprise. Perempuan berkerudung berusia 32 tahun ini merupakan anak muda penyandang disabilitas pertama yang diangkat oleh Presiden sebagai staf khususnya."Angkie adalah anak muda penyandang disabilitas yang aktif bergerak di sociopreneur melalui Thisable Enterprise, aktif sebagai anggota Asia Pacific Deaf Person," kata Jokowi saat memperkenalkan nama-nama staf khususnya.Dengan rekam jejak Angkie, Presiden pun menunjuknya untuk menjadi juru bicara bidang sosial. Saat memperkenalkan diri, Angkie berharap dirinya dapat menjadi perwakilan untuk menyuarakan kalangan disabilitas di seluruh Indonesia. "The one and only women with disability perempuan berkebutuhan khusus di tengah-tengah diberikan kesempatan terbaik oleh bapak Presiden berdiri di sini menyuarakan 21 jiwa disabilitas di seluruh Indonesia," kata Angkie. Kehadirannya di pemerintahan ini diharapkan dapat semakin membangun kesadaran masyarakat bahwa kalangan disabilitas mampu setara dengan yang lainnya. Ia juga ingin, Indonesia dapat menjadi negara yang semakin ramah terhadap penyandang disabilitas. "Sudah waktunya disabilitas bukan kelompok minoritas tetapi kita dianggap setara. Membentuk lingkungan inklusi dengan melalui staf khusus presiden," ujar Angkie. 
Baca Juga</t>
  </si>
  <si>
    <t>november</t>
  </si>
  <si>
    <t>Cerita Angkie Yudistia, Tunarungu yang Jadi Staf Khusus Presiden</t>
  </si>
  <si>
    <t>https://cantik.tempo.co/read/1275775/cerita-angkie-yudistia-tunarungu-yang-jadi-staf-khusus-presiden</t>
  </si>
  <si>
    <t>d-1570-re</t>
  </si>
  <si>
    <t>mahasiswa-ub-ciptakan-alat-deteksi-penyakit-skizofrenia</t>
  </si>
  <si>
    <t>Mahasiswa UB Ciptakan Alat Deteksi Penyakit Skizofrenia</t>
  </si>
  <si>
    <t>https://republika.co.id/berita/q16xsq349/mahasiswa-ub-ciptakan-alat-deteksi-penyakit-skizofrenia</t>
  </si>
  <si>
    <t>d-2501-te</t>
  </si>
  <si>
    <t>Polisi: Suami Korban KDRT Jalani Rawat Jalan</t>
  </si>
  <si>
    <t>https://metro.tempo.co/read/1285331/polisi-suami-korban-kdrt-jalani-rawat-jalan</t>
  </si>
  <si>
    <t>i-1-cn</t>
  </si>
  <si>
    <t>Diskriminasi di CPNS, Wanita Hamil dan LGBT Tak Bisa Daftar</t>
  </si>
  <si>
    <t>https://www.cnnindonesia.com/nasional/20191121071618-20-450177/diskriminasi-di-cpns-wanita-hamil-dan-lgbt-tak-bisa-daftar</t>
  </si>
  <si>
    <t>i-94-ko</t>
  </si>
  <si>
    <t>Kaitkan Kebakaran Hutan dengan Legalisasi Pernikahan Sesama Jenis, Bintang Rugbi Australia Ini Dikecam</t>
  </si>
  <si>
    <t>https://internasional.kompas.com/read/2019/11/19/07021421/kaitkan-kebakaran-hutan-dengan-legalisasi-pernikahan-sesama-jenis</t>
  </si>
  <si>
    <t>i-127-tr</t>
  </si>
  <si>
    <t>Tjahjo Sebut Penyandang Disabilitas Hingga LGBT Boleh Daftar CPNS</t>
  </si>
  <si>
    <t>https://www.tribunnews.com/nasional/2019/11/21/tjahjo-sebut-penyandang-disabilitas-hingga-lgbt-boleh-daftar-cpns</t>
  </si>
  <si>
    <t>Benarkah Jenis Mainan Bisa Memicu Kelainan Orientasi Seksual Anak?</t>
  </si>
  <si>
    <t>https://www.suara.com/health/2019/11/17/062451/benarkah-jenis-mainan-bisa-memicu-kelainan-orientasi-seksual-anak</t>
  </si>
  <si>
    <t>i-217-tr</t>
  </si>
  <si>
    <t>Komnas HAM Minta Jaksa Agung Klarifikasi dan Batalkan Syarat CPNS 2019 yang Dinilai Diskriminatif</t>
  </si>
  <si>
    <t>https://www.tribunnews.com/nasional/2019/11/25/komnas-ham-minta-jaksa-agung-klarifikasi-dan-batalkan-syarat-cpns-2019-yang-dinilai-diskriminatif</t>
  </si>
  <si>
    <t>Di KTP Baru, Lucinta Luna Masih Pakai Nama Muhammad Fatah</t>
  </si>
  <si>
    <t>https://www.suara.com/entertainment/2019/12/16/061500/di-ktp-baru-lucinta-luna-masih-pakai-nama-muhammad-fatah</t>
  </si>
  <si>
    <t>p-68-su</t>
  </si>
  <si>
    <t>Alami KDRT, Wanita Ini Cedera Parah Sampai Butuh Transplantasi Wajah!</t>
  </si>
  <si>
    <t>https://www.suara.com/health/2019/10/04/171500/alami-kdrt-wanita-ini-cedera-parah-sampai-butuh-transplantasi-wajah</t>
  </si>
  <si>
    <t>p-182-te</t>
  </si>
  <si>
    <t>Jaringan Prostitusi dengan Konsumen Warga Timur Tengah Dibongkar</t>
  </si>
  <si>
    <t>https://nasional.tempo.co/read/1257319/jaringan-prostitusi-dengan-konsumen-warga-timur-tengah-dibongkar</t>
  </si>
  <si>
    <t>p-325-ko</t>
  </si>
  <si>
    <t>Pelaku Pelemparan Sperma di Tasikmalaya Ditangkap</t>
  </si>
  <si>
    <t>https://regional.kompas.com/read/2019/11/18/14152231/pelaku-pelemparan-sperma-di-tasikmalaya-ditangkap</t>
  </si>
  <si>
    <t>pelempar-sperma-di-tasikmalaya-jadi-tersangka</t>
  </si>
  <si>
    <t>Pelempar Sperma di Tasikmalaya Jadi Tersangka</t>
  </si>
  <si>
    <t>https://nasional.republika.co.id/berita/q17eo2335/pelempar-sperma-di-tasikmalaya-jadi-tersangka</t>
  </si>
  <si>
    <t>p-539-ko</t>
  </si>
  <si>
    <t>Akhir Perjalanan SN, Pelaku Pelemparan Sperma dan Begal Payudara di Tasikmalaya</t>
  </si>
  <si>
    <t>https://regional.kompas.com/read/2019/11/21/05230081/akhir-perjalanan-sn-pelaku-pelemparan-sperma-dan-begal-payudara-di</t>
  </si>
  <si>
    <t>p-620-ok</t>
  </si>
  <si>
    <t>Perempuan Korban KDRT Minta Bantuan dengan Pura-Pura Memesan Piza</t>
  </si>
  <si>
    <t>https://news.okezone.com/read/2019/11/23/18/2133557/perempuan-korban-kdrt-minta-bantuan-dengan-pura-pura-memesan-piza</t>
  </si>
  <si>
    <t>minggu</t>
  </si>
  <si>
    <t>p-1361-li</t>
  </si>
  <si>
    <t>Lawan Pelecehan Seksual, Kementerian BUMN Luncurkan Gerakan Saya Berani</t>
  </si>
  <si>
    <t>https://www.liputan6.com/bisnis/read/4140180/lawan-pelecehan-seksual-kementerian-bumn-luncurkan-gerakan-saya-berani</t>
  </si>
  <si>
    <t>p-1502-ko</t>
  </si>
  <si>
    <t>Pelaku Eksibisionis ke Siswi SMK Sempat Dikejar Rombongan Pelajar</t>
  </si>
  <si>
    <t>https://megapolitan.kompas.com/read/2019/12/20/18161721/pelaku-eksibisionis-ke-siswi-smk-sempat-dikejar-rombongan-pelajar</t>
  </si>
  <si>
    <t>Mahasiswi Telkom University Diduga jadi Korban Pencabulan Seniornya</t>
  </si>
  <si>
    <t>https://jabar.suara.com/read/2019/12/30/223803/mahasiswi-telkom-university-diduga-jadi-korban-pencabulan-seniornya</t>
  </si>
  <si>
    <t>p-1617-te</t>
  </si>
  <si>
    <t>Dukungan Erick Thohir untuk Perempuan: Hentikan Pelecehan Seksual</t>
  </si>
  <si>
    <t>https://cantik.tempo.co/read/1287141/dukungan-erick-thohir-untuk-perempuan-hentikan-pelecehan-seksual</t>
  </si>
  <si>
    <t>d-404-te</t>
  </si>
  <si>
    <t>Katarak, Penyebab Tertinggi Kebutaan di Indonesia</t>
  </si>
  <si>
    <t>https://gaya.tempo.co/read/1257370/katarak-penyebab-tertinggi-kebutaan-di-indonesia</t>
  </si>
  <si>
    <t>d-862-tr</t>
  </si>
  <si>
    <t>Simak, Ini Rincian Tugas pada Jabatan Pelamar Kategori Disabilitas untuk Formasi BKN CPNS 2019</t>
  </si>
  <si>
    <t>https://www.tribunnews.com/nasional/2019/11/26/simak-ini-rincian-tugas-pada-jabatan-pelamar-kategori-disabilitas-untuk-formasi-bkn-cpns-2019</t>
  </si>
  <si>
    <t>d-969-cn</t>
  </si>
  <si>
    <t>Angkie Yudistia, Penulis Tunarungu yang jadi Stafsus Jokowi</t>
  </si>
  <si>
    <t>https://www.cnnindonesia.com/nasional/20191121183103-20-450423/angkie-yudistia-penulis-tunarungu-yang-jadi-stafsus-jokowi</t>
  </si>
  <si>
    <t>d-2063-te</t>
  </si>
  <si>
    <t>30 Orang Menjadi Mata bagi Sesama di Sekolah Luar Biasa</t>
  </si>
  <si>
    <t>https://difabel.tempo.co/read/1284930/30-orang-menjadi-mata-bagi-sesama-di-sekolah-luar-biasa</t>
  </si>
  <si>
    <t>p-111-cn</t>
  </si>
  <si>
    <t>Perempuan WNI Dibakar Suami di Kuwait Alami Cedera Serius</t>
  </si>
  <si>
    <t>https://www.cnnindonesia.com/internasional/20191007124448-106-437417/perempuan-wni-dibakar-suami-di-kuwait-alami-cedera-serius</t>
  </si>
  <si>
    <t>d-702-su</t>
  </si>
  <si>
    <t>2019-11-18</t>
  </si>
  <si>
    <t>Tukang Servis AC Peneror Air Keras Incar Pelajar dan Pedagang Sayur</t>
  </si>
  <si>
    <t xml:space="preserve">https://www.suara.com/news/2019/11/18/145314/tukang-servis-ac-peneror-air-keras-incar-pelajar-dan-pedagang-sayur </t>
  </si>
  <si>
    <t>d-1155-ko</t>
  </si>
  <si>
    <t>2019-11-22</t>
  </si>
  <si>
    <t>Angkie Yudistia Staf Khusus Jokowi, Kisah Titik Bangkit di Kampus dan Perjuangan yang Belum Selesai</t>
  </si>
  <si>
    <t xml:space="preserve">https://edukasi.kompas.com/read/2019/11/22/09440131/angkie-yudistia-staf-khusus-jokowi-kisah-titik-bangkit-di-kampus-dan </t>
  </si>
  <si>
    <t>p-96-li</t>
  </si>
  <si>
    <t>2019-10-06</t>
  </si>
  <si>
    <t>Seorang WNI Jadi Korban KDRT oleh Suami di Kuwait</t>
  </si>
  <si>
    <t xml:space="preserve">https://www.liputan6.com/global/read/4079951/seorang-wni-jadi-korban-kdrt-oleh-suami-di-kuwait </t>
  </si>
  <si>
    <t>d-2252-cn</t>
  </si>
  <si>
    <t>2019-12-21</t>
  </si>
  <si>
    <t>Filipina Tunda ASEAN Para Games Menjadi Maret 2020</t>
  </si>
  <si>
    <t xml:space="preserve">https://www.cnnindonesia.com/olahraga/20191220181755-178-458793/filipina-tunda-asean-para-games-menjadi-maret-2020 </t>
  </si>
  <si>
    <t>tidak ada pengganti</t>
  </si>
  <si>
    <t>d-2615-re</t>
  </si>
  <si>
    <t>2019-12-22</t>
  </si>
  <si>
    <t>tersangka-perusak-alquran-di-tasikmalaya-idap-gangguan-jiwa</t>
  </si>
  <si>
    <t>Tersangka Perusak Alquran di Tasikmalaya Idap Gangguan Jiwa</t>
  </si>
  <si>
    <t xml:space="preserve">https://republika.co.id/berita/q2w2up8218000/tersangka-perusak-alquran-di-tasikmalaya-idap-gangguan-jiwa </t>
  </si>
  <si>
    <t>p-752-ok</t>
  </si>
  <si>
    <t>2019-11-19</t>
  </si>
  <si>
    <t>Kisah Pilu Remaja 13 Tahun Hamil Diperkosa 6 Pria, Endingnya Tragis</t>
  </si>
  <si>
    <t xml:space="preserve">https://index.okezone.com/read/2019/11/19/612/2131707/kisah-pilu-remaja-13-tahun-hamil-diperkosa-6-pria-endingnya-tragis </t>
  </si>
  <si>
    <t>d-373-ko</t>
  </si>
  <si>
    <t>2019-10-04</t>
  </si>
  <si>
    <t>Bocah 12 Tahun yang Dikurung di Bekas Kandang Ayam Pernah Dikubur Separuh Badan</t>
  </si>
  <si>
    <t xml:space="preserve">https://regional.kompas.com/read/2019/10/04/20181531/bocah-12-tahun-yang-dikurung-di-bekas-kandang-ayam-pernah-dikubur-separuh </t>
  </si>
  <si>
    <t>d-2064-te</t>
  </si>
  <si>
    <t>2019-12-18</t>
  </si>
  <si>
    <t>Polisi Sebut Wanita dalam Video Viral KDRT adalah Istri Kedua</t>
  </si>
  <si>
    <t xml:space="preserve">https://metro.tempo.co/read/1285289/polisi-sebut-wanita-dalam-video-viral-kdrt-adalah-istri-kedua </t>
  </si>
  <si>
    <t>i-1574-li</t>
  </si>
  <si>
    <t>5 Potret Millen Cyrus, Model dan Selebgram yang Liburan bersama Hotman Paris</t>
  </si>
  <si>
    <t xml:space="preserve">https://hot.liputan6.com/read/3932746/5-potret-millen-cyrus-model-dan-selebgram-yang-liburan-bersama-hotman-paris </t>
  </si>
  <si>
    <t>i-1605-cn</t>
  </si>
  <si>
    <t>Bank Jerman Berhenti Sewa Hotel Brunei Terkait Hukuman LGBT</t>
  </si>
  <si>
    <t xml:space="preserve">https://www.cnnindonesia.com/internasional/20190405114138-134-383638/bank-jerman-berhenti-sewa-hotel-brunei-terkait-hukuman-lgbt </t>
  </si>
  <si>
    <t>p-438-re</t>
  </si>
  <si>
    <t>ulama-minta-pelaku-pelempar-sperma-disembuhkan</t>
  </si>
  <si>
    <t>Ulama Minta Pelaku Pelempar Sperma Disembuhkan</t>
  </si>
  <si>
    <t xml:space="preserve">https://nasional.republika.co.id/berita/q17b8w335/ulama-minta-pelaku-pelempar-sperma-disembuhkan </t>
  </si>
  <si>
    <t>p-624-re</t>
  </si>
  <si>
    <t>2019-11-23</t>
  </si>
  <si>
    <t>drama-musikal-jypa-beri-dukungan-untuk-korban-kdrt</t>
  </si>
  <si>
    <t>Drama Musikal JYPA Beri Dukungan untuk Korban KDRT</t>
  </si>
  <si>
    <t xml:space="preserve">https://senggang.republika.co.id/berita/q1f0i7335/drama-musikal-jypa-beri-dukungan-untuk-korban-kdrt </t>
  </si>
  <si>
    <t>d-8143-ti</t>
  </si>
  <si>
    <t>JBTF: Akses Bagi Penyandang Disabilitas di Pemilu Belum Memadai</t>
  </si>
  <si>
    <t xml:space="preserve">https://tirto.id/jbtf-akses-bagi-penyandang-disabilitas-di-pemilu-belum-memadai-dmt8 </t>
  </si>
  <si>
    <t>juni</t>
  </si>
  <si>
    <t>feb</t>
  </si>
  <si>
    <t>d-11214-de</t>
  </si>
  <si>
    <t>Pencoret Gambar Kemaluan di Masjid Cilandak Gangguan Jiwa</t>
  </si>
  <si>
    <t xml:space="preserve">https://news.detik.com/berita/d-4582644/pencoret-gambar-kemaluan-di-masjid-cilandak-gangguan-jiwa </t>
  </si>
  <si>
    <t>d-15087-te</t>
  </si>
  <si>
    <t>Gubernur Surati Bupati Solok Selatan Soal Dokter Gigi Difabel</t>
  </si>
  <si>
    <t xml:space="preserve">https://nasional.tempo.co/read/1230102/gubernur-surati-bupati-solok-selatan-soal-dokter-gigi-difabel </t>
  </si>
  <si>
    <t>d-13706-su</t>
  </si>
  <si>
    <t>Pacarnya Tuna Rungu, Aksi Nyanyi Lagu Romantis Pria Ini Bikin Terharu</t>
  </si>
  <si>
    <t xml:space="preserve">https://www.suara.com/lifestyle/2019/07/14/095000/pacarnya-tuna-rungu-aksi-nyanyi-lagu-romantis-pria-ini-bikin-terharu </t>
  </si>
  <si>
    <t>d-15340-te</t>
  </si>
  <si>
    <t>Panji Surya Sahetapy, Figur Disabilitas dalam Kepengurusan KONI</t>
  </si>
  <si>
    <t xml:space="preserve">https://sport.tempo.co/read/1231121/panji-surya-sahetapy-figur-disabilitas-dalam-kepengurusan-koni </t>
  </si>
  <si>
    <t>i-2348-de</t>
  </si>
  <si>
    <t>'Penjara Bikin Napi Jadi Gay' Pernah Menyulut Kontroversi di AS</t>
  </si>
  <si>
    <t xml:space="preserve">https://news.detik.com/berita/d-4617341/penjara-bikin-napi-jadi-gay-pernah-menyulut-kontroversi-di-as </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</si>
</sst>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dd/yyyy"/>
    <numFmt numFmtId="165" formatCode="m/d/yyyy"/>
    <numFmt numFmtId="166" formatCode="yyyy-mm-dd"/>
    <numFmt numFmtId="167" formatCode="M/d/yyyy"/>
    <numFmt numFmtId="168" formatCode="mm-dd-yyyy"/>
    <numFmt numFmtId="169" formatCode="dd&quot;/&quot;mm&quot;/&quot;yyyy"/>
    <numFmt numFmtId="170" formatCode="m, d"/>
    <numFmt numFmtId="171" formatCode="&quot;$&quot;#,##0.00"/>
  </numFmts>
  <fonts count="73">
    <font>
      <sz val="10.0"/>
      <color rgb="FF000000"/>
      <name val="Arial"/>
    </font>
    <font>
      <b/>
    </font>
    <font/>
    <font>
      <b/>
      <sz val="9.0"/>
    </font>
    <font>
      <sz val="11.0"/>
      <color rgb="FF000000"/>
      <name val="Calibri"/>
    </font>
    <font>
      <u/>
      <color rgb="FF0000FF"/>
    </font>
    <font>
      <u/>
      <color rgb="FF0000FF"/>
    </font>
    <font>
      <u/>
      <color rgb="FF0000FF"/>
    </font>
    <font>
      <u/>
      <color rgb="FF0000FF"/>
    </font>
    <font>
      <color rgb="FF222222"/>
      <name val="Arial"/>
    </font>
    <font>
      <sz val="11.0"/>
      <name val="Calibri"/>
    </font>
    <font>
      <color rgb="FF000000"/>
      <name val="Arial"/>
    </font>
    <font>
      <u/>
      <color rgb="FF0000FF"/>
    </font>
    <font>
      <b/>
      <sz val="10.0"/>
      <name val="Arial"/>
    </font>
    <font>
      <sz val="10.0"/>
      <name val="Arial"/>
    </font>
    <font>
      <sz val="10.0"/>
      <color rgb="FF333333"/>
      <name val="Arial"/>
    </font>
    <font>
      <u/>
      <color rgb="FF0000FF"/>
    </font>
    <font>
      <u/>
      <sz val="10.0"/>
      <color rgb="FF0563C1"/>
      <name val="Arial"/>
    </font>
    <font>
      <u/>
      <color rgb="FF0000FF"/>
    </font>
    <font>
      <u/>
      <color rgb="FF0000FF"/>
    </font>
    <font>
      <sz val="11.0"/>
      <color rgb="FF000000"/>
      <name val="Arial"/>
    </font>
    <font>
      <u/>
      <color rgb="FF0000FF"/>
    </font>
    <font>
      <u/>
      <color rgb="FF0000FF"/>
    </font>
    <font>
      <u/>
      <color rgb="FF1155CC"/>
    </font>
    <font>
      <u/>
      <color rgb="FF0000FF"/>
    </font>
    <font>
      <u/>
      <color rgb="FF0000FF"/>
    </font>
    <font>
      <u/>
      <color rgb="FF0000FF"/>
    </font>
    <font>
      <u/>
      <color rgb="FF0000FF"/>
    </font>
    <font>
      <u/>
      <color rgb="FF0000FF"/>
    </font>
    <font>
      <sz val="11.0"/>
      <color rgb="FF333333"/>
      <name val="Arial"/>
    </font>
    <font>
      <color rgb="FF000000"/>
    </font>
    <font>
      <u/>
      <color rgb="FF0000FF"/>
    </font>
    <font>
      <sz val="11.0"/>
      <color rgb="FF434343"/>
      <name val="Arial"/>
    </font>
    <font>
      <u/>
      <color rgb="FF0000FF"/>
    </font>
    <font>
      <sz val="11.0"/>
      <color rgb="FF333333"/>
      <name val="CNNSansW04-Regular"/>
    </font>
    <font>
      <sz val="10.0"/>
      <color rgb="FF191919"/>
      <name val="Arial"/>
    </font>
    <font>
      <sz val="10.0"/>
      <color rgb="FF575757"/>
      <name val="Arial"/>
    </font>
    <font>
      <color rgb="FF575757"/>
      <name val="Arial"/>
    </font>
    <font>
      <color rgb="FF000000"/>
      <name val="Roboto"/>
    </font>
    <font>
      <u/>
      <color rgb="FF0000FF"/>
    </font>
    <font>
      <u/>
      <color rgb="FF0000FF"/>
    </font>
    <font>
      <u/>
      <color rgb="FF0000FF"/>
    </font>
    <font>
      <u/>
      <color rgb="FF1155CC"/>
    </font>
    <font>
      <name val="Arial"/>
    </font>
    <font>
      <u/>
      <color rgb="FF1155CC"/>
      <name val="Arial"/>
    </font>
    <font>
      <color rgb="FF000000"/>
      <name val="Calibri"/>
    </font>
    <font>
      <u/>
      <color rgb="FF0000FF"/>
    </font>
    <font>
      <u/>
      <color rgb="FF0000FF"/>
    </font>
    <font>
      <u/>
      <color rgb="FF0000FF"/>
    </font>
    <font>
      <u/>
      <color rgb="FF0000FF"/>
    </font>
    <font>
      <sz val="11.0"/>
      <color rgb="FF000000"/>
      <name val="Docs-Calibri"/>
    </font>
    <font>
      <u/>
      <color rgb="FF0000FF"/>
    </font>
    <font>
      <u/>
      <color rgb="FF000000"/>
    </font>
    <font>
      <b/>
      <sz val="12.0"/>
    </font>
    <font>
      <sz val="10.0"/>
    </font>
    <font>
      <sz val="11.0"/>
    </font>
    <font>
      <b/>
      <sz val="12.0"/>
      <name val="Arial"/>
    </font>
    <font>
      <u/>
      <sz val="11.0"/>
      <color rgb="FF000000"/>
      <name val="Calibri"/>
    </font>
    <font>
      <u/>
      <sz val="11.0"/>
      <color rgb="FF000000"/>
      <name val="Calibri"/>
    </font>
    <font>
      <u/>
      <color rgb="FF0000FF"/>
    </font>
    <font>
      <u/>
      <sz val="11.0"/>
      <color rgb="FF000000"/>
      <name val="Calibri"/>
    </font>
    <font>
      <u/>
      <sz val="11.0"/>
      <color rgb="FF0563C1"/>
      <name val="Calibri"/>
    </font>
    <font>
      <u/>
      <sz val="11.0"/>
      <color rgb="FF0563C1"/>
      <name val="Calibri"/>
    </font>
    <font>
      <u/>
      <sz val="10.0"/>
      <color rgb="FF000000"/>
      <name val="Arial"/>
    </font>
    <font>
      <u/>
      <color rgb="FF0000FF"/>
    </font>
    <font>
      <u/>
      <sz val="11.0"/>
      <color rgb="FF000000"/>
      <name val="Calibri"/>
    </font>
    <font>
      <u/>
      <sz val="10.0"/>
      <color rgb="FF000000"/>
      <name val="Arial"/>
    </font>
    <font>
      <u/>
      <color rgb="FF0000FF"/>
    </font>
    <font>
      <b/>
      <u/>
      <sz val="11.0"/>
      <color rgb="FFCE490E"/>
      <name val="Arial"/>
    </font>
    <font>
      <u/>
      <color rgb="FF0000FF"/>
    </font>
    <font>
      <u/>
      <color rgb="FF0000FF"/>
    </font>
    <font>
      <sz val="8.0"/>
      <color rgb="FF888888"/>
      <name val="Arial"/>
    </font>
    <font>
      <u/>
      <sz val="11.0"/>
      <color rgb="FF0000FF"/>
      <name val="Calibri"/>
    </font>
  </fonts>
  <fills count="20">
    <fill>
      <patternFill patternType="none"/>
    </fill>
    <fill>
      <patternFill patternType="lightGray"/>
    </fill>
    <fill>
      <patternFill patternType="solid">
        <fgColor rgb="FFCCCCCC"/>
        <bgColor rgb="FFCCCCCC"/>
      </patternFill>
    </fill>
    <fill>
      <patternFill patternType="solid">
        <fgColor rgb="FFF4CCCC"/>
        <bgColor rgb="FFF4CCCC"/>
      </patternFill>
    </fill>
    <fill>
      <patternFill patternType="solid">
        <fgColor rgb="FFD0E0E3"/>
        <bgColor rgb="FFD0E0E3"/>
      </patternFill>
    </fill>
    <fill>
      <patternFill patternType="solid">
        <fgColor rgb="FFFFE599"/>
        <bgColor rgb="FFFFE599"/>
      </patternFill>
    </fill>
    <fill>
      <patternFill patternType="solid">
        <fgColor rgb="FFC9DAF8"/>
        <bgColor rgb="FFC9DAF8"/>
      </patternFill>
    </fill>
    <fill>
      <patternFill patternType="solid">
        <fgColor rgb="FFF6B26B"/>
        <bgColor rgb="FFF6B26B"/>
      </patternFill>
    </fill>
    <fill>
      <patternFill patternType="solid">
        <fgColor rgb="FFFFD966"/>
        <bgColor rgb="FFFFD966"/>
      </patternFill>
    </fill>
    <fill>
      <patternFill patternType="solid">
        <fgColor rgb="FF9900FF"/>
        <bgColor rgb="FF9900FF"/>
      </patternFill>
    </fill>
    <fill>
      <patternFill patternType="solid">
        <fgColor rgb="FF0000FF"/>
        <bgColor rgb="FF0000FF"/>
      </patternFill>
    </fill>
    <fill>
      <patternFill patternType="solid">
        <fgColor rgb="FFFFFF00"/>
        <bgColor rgb="FFFFFF00"/>
      </patternFill>
    </fill>
    <fill>
      <patternFill patternType="solid">
        <fgColor rgb="FFFFFFFF"/>
        <bgColor rgb="FFFFFFFF"/>
      </patternFill>
    </fill>
    <fill>
      <patternFill patternType="solid">
        <fgColor rgb="FFB4A7D6"/>
        <bgColor rgb="FFB4A7D6"/>
      </patternFill>
    </fill>
    <fill>
      <patternFill patternType="solid">
        <fgColor rgb="FFFF00FF"/>
        <bgColor rgb="FFFF00FF"/>
      </patternFill>
    </fill>
    <fill>
      <patternFill patternType="solid">
        <fgColor rgb="FF00FF00"/>
        <bgColor rgb="FF00FF00"/>
      </patternFill>
    </fill>
    <fill>
      <patternFill patternType="solid">
        <fgColor rgb="FFF3F3F3"/>
        <bgColor rgb="FFF3F3F3"/>
      </patternFill>
    </fill>
    <fill>
      <patternFill patternType="solid">
        <fgColor rgb="FFFF9900"/>
        <bgColor rgb="FFFF9900"/>
      </patternFill>
    </fill>
    <fill>
      <patternFill patternType="solid">
        <fgColor rgb="FFB7B7B7"/>
        <bgColor rgb="FFB7B7B7"/>
      </patternFill>
    </fill>
    <fill>
      <patternFill patternType="solid">
        <fgColor rgb="FFFF0000"/>
        <bgColor rgb="FFFF0000"/>
      </patternFill>
    </fill>
  </fills>
  <borders count="20">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bottom/>
    </border>
    <border>
      <bottom style="thin">
        <color rgb="FF000000"/>
      </bottom>
    </border>
    <border>
      <left style="thin">
        <color rgb="FF000000"/>
      </left>
    </border>
    <border>
      <top/>
      <bottom/>
    </border>
    <border>
      <right/>
      <top/>
      <bottom/>
    </border>
    <border>
      <right/>
    </border>
    <border>
      <right/>
      <bottom/>
    </border>
    <border>
      <top/>
    </border>
    <border>
      <right/>
      <top/>
    </border>
  </borders>
  <cellStyleXfs count="1">
    <xf borderId="0" fillId="0" fontId="0" numFmtId="0" applyAlignment="1" applyFont="1"/>
  </cellStyleXfs>
  <cellXfs count="56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3" fontId="1" numFmtId="0" xfId="0" applyAlignment="1" applyBorder="1" applyFill="1" applyFont="1">
      <alignment horizontal="center" readingOrder="0" shrinkToFit="0" vertical="center" wrapText="1"/>
    </xf>
    <xf borderId="3" fillId="0" fontId="2" numFmtId="0" xfId="0" applyBorder="1" applyFont="1"/>
    <xf borderId="4" fillId="0" fontId="2" numFmtId="0" xfId="0" applyBorder="1" applyFont="1"/>
    <xf borderId="2" fillId="4" fontId="1" numFmtId="0" xfId="0" applyAlignment="1" applyBorder="1" applyFill="1" applyFont="1">
      <alignment horizontal="center" readingOrder="0" shrinkToFit="0" vertical="center" wrapText="1"/>
    </xf>
    <xf borderId="2" fillId="5" fontId="1" numFmtId="0" xfId="0" applyAlignment="1" applyBorder="1" applyFill="1" applyFont="1">
      <alignment horizontal="center" readingOrder="0" shrinkToFit="0" vertical="center" wrapText="1"/>
    </xf>
    <xf borderId="5" fillId="6" fontId="1" numFmtId="0" xfId="0" applyAlignment="1" applyBorder="1" applyFill="1" applyFont="1">
      <alignment horizontal="center" readingOrder="0" shrinkToFit="0" vertical="center" wrapText="1"/>
    </xf>
    <xf borderId="2" fillId="7" fontId="1" numFmtId="0" xfId="0" applyAlignment="1" applyBorder="1" applyFill="1" applyFont="1">
      <alignment horizontal="center" readingOrder="0" shrinkToFit="0" vertical="center" wrapText="1"/>
    </xf>
    <xf borderId="0" fillId="0" fontId="2" numFmtId="0" xfId="0" applyAlignment="1" applyFont="1">
      <alignment horizontal="center" vertical="center"/>
    </xf>
    <xf borderId="6" fillId="0" fontId="2" numFmtId="0" xfId="0" applyBorder="1" applyFont="1"/>
    <xf borderId="1" fillId="3" fontId="1" numFmtId="0" xfId="0" applyAlignment="1" applyBorder="1" applyFont="1">
      <alignment horizontal="center" readingOrder="0" shrinkToFit="0" vertical="center" wrapText="1"/>
    </xf>
    <xf borderId="1" fillId="4" fontId="1" numFmtId="0" xfId="0" applyAlignment="1" applyBorder="1" applyFont="1">
      <alignment horizontal="center" readingOrder="0" shrinkToFit="0" vertical="center" wrapText="1"/>
    </xf>
    <xf borderId="7" fillId="4" fontId="1" numFmtId="0" xfId="0" applyAlignment="1" applyBorder="1" applyFont="1">
      <alignment horizontal="center" readingOrder="0" shrinkToFit="0" vertical="center" wrapText="1"/>
    </xf>
    <xf borderId="1" fillId="8" fontId="1" numFmtId="0" xfId="0" applyAlignment="1" applyBorder="1" applyFill="1" applyFont="1">
      <alignment horizontal="center" readingOrder="0" shrinkToFit="0" vertical="center" wrapText="1"/>
    </xf>
    <xf borderId="2" fillId="8" fontId="1" numFmtId="0" xfId="0" applyAlignment="1" applyBorder="1" applyFont="1">
      <alignment horizontal="center" readingOrder="0" shrinkToFit="0" vertical="center" wrapText="1"/>
    </xf>
    <xf borderId="1" fillId="6" fontId="1" numFmtId="0" xfId="0" applyAlignment="1" applyBorder="1" applyFont="1">
      <alignment horizontal="center" readingOrder="0" shrinkToFit="0" vertical="center" wrapText="1"/>
    </xf>
    <xf borderId="1" fillId="7" fontId="1" numFmtId="0" xfId="0" applyAlignment="1" applyBorder="1" applyFont="1">
      <alignment horizontal="center" readingOrder="0" shrinkToFit="0" vertical="center" wrapText="1"/>
    </xf>
    <xf borderId="8" fillId="0" fontId="2" numFmtId="0" xfId="0" applyBorder="1" applyFont="1"/>
    <xf borderId="6" fillId="4" fontId="1"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8" fillId="8" fontId="1" numFmtId="0" xfId="0" applyAlignment="1" applyBorder="1" applyFont="1">
      <alignment horizontal="center" readingOrder="0" shrinkToFit="0" vertical="center" wrapText="1"/>
    </xf>
    <xf borderId="9" fillId="0" fontId="2" numFmtId="0" xfId="0" applyBorder="1" applyFont="1"/>
    <xf borderId="10" fillId="0" fontId="2" numFmtId="0" xfId="0" applyBorder="1" applyFont="1"/>
    <xf borderId="5" fillId="9" fontId="4" numFmtId="0" xfId="0" applyAlignment="1" applyBorder="1" applyFill="1" applyFont="1">
      <alignment horizontal="center" readingOrder="0" shrinkToFit="0" vertical="center" wrapText="1"/>
    </xf>
    <xf borderId="5" fillId="9" fontId="2" numFmtId="0" xfId="0" applyAlignment="1" applyBorder="1" applyFont="1">
      <alignment horizontal="center" readingOrder="0" shrinkToFit="0" vertical="center" wrapText="1"/>
    </xf>
    <xf borderId="5" fillId="9" fontId="2" numFmtId="164" xfId="0" applyAlignment="1" applyBorder="1" applyFont="1" applyNumberFormat="1">
      <alignment horizontal="center" readingOrder="0" shrinkToFit="0" vertical="center" wrapText="1"/>
    </xf>
    <xf borderId="5" fillId="9" fontId="5" numFmtId="0" xfId="0" applyAlignment="1" applyBorder="1" applyFont="1">
      <alignment horizontal="center" readingOrder="0" shrinkToFit="0" vertical="center" wrapText="1"/>
    </xf>
    <xf borderId="0" fillId="9" fontId="4" numFmtId="0" xfId="0" applyAlignment="1" applyFont="1">
      <alignment horizontal="center" readingOrder="0" shrinkToFit="0" vertical="center" wrapText="1"/>
    </xf>
    <xf borderId="5" fillId="9" fontId="2" numFmtId="0" xfId="0" applyAlignment="1" applyBorder="1" applyFont="1">
      <alignment horizontal="center" shrinkToFit="0" vertical="center" wrapText="1"/>
    </xf>
    <xf borderId="0" fillId="9" fontId="2" numFmtId="0" xfId="0" applyAlignment="1" applyFont="1">
      <alignment horizontal="center" readingOrder="0" vertical="center"/>
    </xf>
    <xf borderId="0" fillId="9" fontId="2" numFmtId="0" xfId="0" applyAlignment="1" applyFont="1">
      <alignment horizontal="center" vertical="center"/>
    </xf>
    <xf borderId="5" fillId="0" fontId="4"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5" fillId="0" fontId="2" numFmtId="164" xfId="0" applyAlignment="1" applyBorder="1" applyFont="1" applyNumberFormat="1">
      <alignment horizontal="center" readingOrder="0" shrinkToFit="0" vertical="center" wrapText="1"/>
    </xf>
    <xf borderId="5" fillId="0" fontId="6" numFmtId="0" xfId="0" applyAlignment="1" applyBorder="1" applyFont="1">
      <alignment horizontal="center" readingOrder="0" shrinkToFit="0" vertical="center" wrapText="1"/>
    </xf>
    <xf borderId="5" fillId="0" fontId="2"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5" fillId="9" fontId="2" numFmtId="0" xfId="0" applyAlignment="1" applyBorder="1" applyFont="1">
      <alignment horizontal="center" shrinkToFit="0" vertical="center" wrapText="1"/>
    </xf>
    <xf borderId="5" fillId="10" fontId="4" numFmtId="0" xfId="0" applyAlignment="1" applyBorder="1" applyFill="1" applyFont="1">
      <alignment horizontal="center" readingOrder="0" shrinkToFit="0" vertical="center" wrapText="1"/>
    </xf>
    <xf borderId="5" fillId="10" fontId="2" numFmtId="0" xfId="0" applyAlignment="1" applyBorder="1" applyFont="1">
      <alignment horizontal="center" readingOrder="0" shrinkToFit="0" vertical="center" wrapText="1"/>
    </xf>
    <xf borderId="5" fillId="10" fontId="2" numFmtId="0" xfId="0" applyAlignment="1" applyBorder="1" applyFont="1">
      <alignment horizontal="center" shrinkToFit="0" vertical="center" wrapText="1"/>
    </xf>
    <xf borderId="5" fillId="10" fontId="7" numFmtId="0" xfId="0" applyAlignment="1" applyBorder="1" applyFont="1">
      <alignment horizontal="center" readingOrder="0" shrinkToFit="0" vertical="center" wrapText="1"/>
    </xf>
    <xf borderId="0" fillId="10" fontId="2" numFmtId="0" xfId="0" applyAlignment="1" applyFont="1">
      <alignment horizontal="center" readingOrder="0" vertical="center"/>
    </xf>
    <xf borderId="5" fillId="0" fontId="2" numFmtId="0" xfId="0" applyAlignment="1" applyBorder="1" applyFont="1">
      <alignment horizontal="center" readingOrder="0" vertical="center"/>
    </xf>
    <xf borderId="5" fillId="0" fontId="2" numFmtId="0" xfId="0" applyAlignment="1" applyBorder="1" applyFont="1">
      <alignment horizontal="center" vertical="center"/>
    </xf>
    <xf borderId="5" fillId="9" fontId="2" numFmtId="0" xfId="0" applyAlignment="1" applyBorder="1" applyFont="1">
      <alignment horizontal="center" vertical="center"/>
    </xf>
    <xf borderId="5" fillId="10" fontId="2" numFmtId="0" xfId="0" applyAlignment="1" applyBorder="1" applyFont="1">
      <alignment horizontal="center" readingOrder="0" vertical="center"/>
    </xf>
    <xf borderId="5" fillId="10" fontId="2" numFmtId="0" xfId="0" applyAlignment="1" applyBorder="1" applyFont="1">
      <alignment horizontal="center" vertical="center"/>
    </xf>
    <xf borderId="5" fillId="10" fontId="2" numFmtId="0" xfId="0" applyAlignment="1" applyBorder="1" applyFont="1">
      <alignment horizontal="center" shrinkToFit="0" vertical="center" wrapText="1"/>
    </xf>
    <xf borderId="5" fillId="11" fontId="2" numFmtId="0" xfId="0" applyAlignment="1" applyBorder="1" applyFill="1" applyFont="1">
      <alignment horizontal="center" readingOrder="0" shrinkToFit="0" vertical="center" wrapText="1"/>
    </xf>
    <xf borderId="0" fillId="10" fontId="2" numFmtId="0" xfId="0" applyAlignment="1" applyFont="1">
      <alignment horizontal="center" vertical="center"/>
    </xf>
    <xf borderId="0" fillId="0" fontId="2" numFmtId="0" xfId="0" applyAlignment="1" applyFont="1">
      <alignment horizontal="center" readingOrder="0" vertical="center"/>
    </xf>
    <xf borderId="5" fillId="10" fontId="2" numFmtId="164" xfId="0" applyAlignment="1" applyBorder="1" applyFont="1" applyNumberFormat="1">
      <alignment horizontal="center" readingOrder="0" shrinkToFit="0" vertical="center" wrapText="1"/>
    </xf>
    <xf borderId="0" fillId="9" fontId="0" numFmtId="0" xfId="0" applyAlignment="1" applyFont="1">
      <alignment readingOrder="0" shrinkToFit="0" vertical="center" wrapText="1"/>
    </xf>
    <xf borderId="5" fillId="9" fontId="2" numFmtId="0" xfId="0" applyAlignment="1" applyBorder="1" applyFont="1">
      <alignment horizontal="center" readingOrder="0" vertical="center"/>
    </xf>
    <xf borderId="0" fillId="10" fontId="2" numFmtId="0" xfId="0" applyAlignment="1" applyFont="1">
      <alignment horizontal="center" readingOrder="0" shrinkToFit="0" vertical="center" wrapText="1"/>
    </xf>
    <xf borderId="5" fillId="0" fontId="2" numFmtId="0" xfId="0" applyAlignment="1" applyBorder="1" applyFont="1">
      <alignment horizontal="center" readingOrder="0" shrinkToFit="0" vertical="center" wrapText="1"/>
    </xf>
    <xf borderId="5" fillId="12" fontId="4" numFmtId="0" xfId="0" applyAlignment="1" applyBorder="1" applyFill="1" applyFont="1">
      <alignment horizontal="center" readingOrder="0" shrinkToFit="0" vertical="center" wrapText="1"/>
    </xf>
    <xf borderId="5" fillId="12" fontId="2" numFmtId="0" xfId="0" applyAlignment="1" applyBorder="1" applyFont="1">
      <alignment horizontal="center" readingOrder="0" shrinkToFit="0" vertical="center" wrapText="1"/>
    </xf>
    <xf borderId="5" fillId="12" fontId="2" numFmtId="164" xfId="0" applyAlignment="1" applyBorder="1" applyFont="1" applyNumberFormat="1">
      <alignment horizontal="center" readingOrder="0" shrinkToFit="0" vertical="center" wrapText="1"/>
    </xf>
    <xf borderId="5" fillId="12" fontId="8" numFmtId="0" xfId="0" applyAlignment="1" applyBorder="1" applyFont="1">
      <alignment horizontal="center" readingOrder="0" shrinkToFit="0" vertical="center" wrapText="1"/>
    </xf>
    <xf borderId="5" fillId="12" fontId="2" numFmtId="0" xfId="0" applyAlignment="1" applyBorder="1" applyFont="1">
      <alignment horizontal="center" shrinkToFit="0" vertical="center" wrapText="1"/>
    </xf>
    <xf borderId="5" fillId="12" fontId="2" numFmtId="0" xfId="0" applyAlignment="1" applyBorder="1" applyFont="1">
      <alignment horizontal="center" vertical="center"/>
    </xf>
    <xf borderId="0" fillId="12" fontId="9" numFmtId="0" xfId="0" applyAlignment="1" applyFont="1">
      <alignment horizontal="left" readingOrder="0"/>
    </xf>
    <xf borderId="5" fillId="12" fontId="2" numFmtId="0" xfId="0" applyAlignment="1" applyBorder="1" applyFont="1">
      <alignment horizontal="center" shrinkToFit="0" vertical="center" wrapText="1"/>
    </xf>
    <xf borderId="0" fillId="12" fontId="0" numFmtId="0" xfId="0" applyAlignment="1" applyFont="1">
      <alignment horizontal="center" readingOrder="0" shrinkToFit="0" vertical="center" wrapText="1"/>
    </xf>
    <xf borderId="5" fillId="9" fontId="10" numFmtId="0" xfId="0" applyAlignment="1" applyBorder="1" applyFont="1">
      <alignment horizontal="center" readingOrder="0" vertical="bottom"/>
    </xf>
    <xf borderId="0" fillId="9" fontId="10" numFmtId="0" xfId="0" applyAlignment="1" applyFont="1">
      <alignment vertical="bottom"/>
    </xf>
    <xf borderId="0" fillId="12" fontId="11" numFmtId="0" xfId="0" applyAlignment="1" applyFont="1">
      <alignment horizontal="center" readingOrder="0" shrinkToFit="0" vertical="center" wrapText="1"/>
    </xf>
    <xf borderId="5" fillId="10" fontId="10" numFmtId="0" xfId="0" applyAlignment="1" applyBorder="1" applyFont="1">
      <alignment readingOrder="0" vertical="bottom"/>
    </xf>
    <xf borderId="5" fillId="10" fontId="10" numFmtId="0" xfId="0" applyAlignment="1" applyBorder="1" applyFont="1">
      <alignment horizontal="center" readingOrder="0" vertical="center"/>
    </xf>
    <xf borderId="5" fillId="12" fontId="10" numFmtId="0" xfId="0" applyAlignment="1" applyBorder="1" applyFont="1">
      <alignment horizontal="center" readingOrder="0" vertical="bottom"/>
    </xf>
    <xf borderId="5" fillId="12" fontId="10" numFmtId="0" xfId="0" applyAlignment="1" applyBorder="1" applyFont="1">
      <alignment readingOrder="0" vertical="bottom"/>
    </xf>
    <xf borderId="5" fillId="12" fontId="2" numFmtId="165" xfId="0" applyAlignment="1" applyBorder="1" applyFont="1" applyNumberFormat="1">
      <alignment horizontal="center" readingOrder="0" shrinkToFit="0" vertical="center" wrapText="1"/>
    </xf>
    <xf borderId="5" fillId="12" fontId="10" numFmtId="0" xfId="0" applyAlignment="1" applyBorder="1" applyFont="1">
      <alignment horizontal="center" readingOrder="0" vertical="center"/>
    </xf>
    <xf borderId="5" fillId="0" fontId="10" numFmtId="0" xfId="0" applyAlignment="1" applyBorder="1" applyFont="1">
      <alignment horizontal="center" readingOrder="0" vertical="center"/>
    </xf>
    <xf borderId="5" fillId="9" fontId="10" numFmtId="0" xfId="0" applyAlignment="1" applyBorder="1" applyFont="1">
      <alignment readingOrder="0" vertical="bottom"/>
    </xf>
    <xf borderId="5" fillId="9" fontId="10" numFmtId="0" xfId="0" applyAlignment="1" applyBorder="1" applyFont="1">
      <alignment horizontal="center" readingOrder="0" vertical="center"/>
    </xf>
    <xf borderId="5" fillId="12" fontId="2" numFmtId="0" xfId="0" applyAlignment="1" applyBorder="1" applyFont="1">
      <alignment horizontal="center" readingOrder="0" vertical="center"/>
    </xf>
    <xf borderId="0" fillId="0" fontId="12" numFmtId="0" xfId="0" applyAlignment="1" applyFont="1">
      <alignment vertical="center"/>
    </xf>
    <xf borderId="5" fillId="12" fontId="2" numFmtId="0" xfId="0" applyAlignment="1" applyBorder="1" applyFont="1">
      <alignment horizontal="center" readingOrder="0" shrinkToFit="0" vertical="center" wrapText="1"/>
    </xf>
    <xf borderId="5" fillId="9" fontId="2" numFmtId="0" xfId="0" applyAlignment="1" applyBorder="1" applyFont="1">
      <alignment horizontal="center" readingOrder="0" shrinkToFit="0" vertical="center" wrapText="1"/>
    </xf>
    <xf borderId="5" fillId="10" fontId="2" numFmtId="165" xfId="0" applyAlignment="1" applyBorder="1" applyFont="1" applyNumberFormat="1">
      <alignment horizontal="center" readingOrder="0" shrinkToFit="0" vertical="center" wrapText="1"/>
    </xf>
    <xf borderId="5" fillId="9" fontId="2" numFmtId="165" xfId="0" applyAlignment="1" applyBorder="1" applyFont="1" applyNumberFormat="1">
      <alignment horizontal="center" readingOrder="0" shrinkToFit="0" vertical="center" wrapText="1"/>
    </xf>
    <xf borderId="0" fillId="2" fontId="13" numFmtId="0" xfId="0" applyAlignment="1" applyFont="1">
      <alignment horizontal="center" readingOrder="0" shrinkToFit="0" vertical="center" wrapText="1"/>
    </xf>
    <xf borderId="5" fillId="2" fontId="13" numFmtId="0" xfId="0" applyAlignment="1" applyBorder="1" applyFont="1">
      <alignment horizontal="center" readingOrder="0" shrinkToFit="0" vertical="center" wrapText="1"/>
    </xf>
    <xf borderId="5" fillId="3" fontId="1" numFmtId="0" xfId="0" applyAlignment="1" applyBorder="1" applyFont="1">
      <alignment horizontal="center" readingOrder="0" shrinkToFit="0" vertical="center" wrapText="1"/>
    </xf>
    <xf borderId="5" fillId="3" fontId="13" numFmtId="0" xfId="0" applyAlignment="1" applyBorder="1" applyFont="1">
      <alignment horizontal="center" readingOrder="0" shrinkToFit="0" vertical="center" wrapText="1"/>
    </xf>
    <xf borderId="5" fillId="4" fontId="1" numFmtId="0" xfId="0" applyAlignment="1" applyBorder="1" applyFont="1">
      <alignment horizontal="center" readingOrder="0" shrinkToFit="0" vertical="center" wrapText="1"/>
    </xf>
    <xf borderId="5" fillId="5" fontId="1" numFmtId="0" xfId="0" applyAlignment="1" applyBorder="1" applyFont="1">
      <alignment horizontal="center" readingOrder="0" shrinkToFit="0" vertical="center" wrapText="1"/>
    </xf>
    <xf borderId="0" fillId="10" fontId="13" numFmtId="0" xfId="0" applyAlignment="1" applyFont="1">
      <alignment horizontal="center" readingOrder="0" shrinkToFit="0" vertical="center" wrapText="1"/>
    </xf>
    <xf borderId="1" fillId="10" fontId="13" numFmtId="0" xfId="0" applyAlignment="1" applyBorder="1" applyFont="1">
      <alignment horizontal="center" readingOrder="0" shrinkToFit="0" vertical="center" wrapText="1"/>
    </xf>
    <xf borderId="1" fillId="3" fontId="13" numFmtId="0" xfId="0" applyAlignment="1" applyBorder="1" applyFont="1">
      <alignment horizontal="center" readingOrder="0" shrinkToFit="0" vertical="center" wrapText="1"/>
    </xf>
    <xf borderId="5" fillId="4" fontId="3" numFmtId="0" xfId="0" applyAlignment="1" applyBorder="1" applyFont="1">
      <alignment horizontal="center" readingOrder="0" shrinkToFit="0" vertical="center" wrapText="1"/>
    </xf>
    <xf borderId="0" fillId="0" fontId="0" numFmtId="0" xfId="0" applyAlignment="1" applyFont="1">
      <alignment horizontal="center" readingOrder="0" shrinkToFit="0" vertical="center" wrapText="0"/>
    </xf>
    <xf borderId="5" fillId="0" fontId="0" numFmtId="0" xfId="0" applyAlignment="1" applyBorder="1" applyFont="1">
      <alignment horizontal="center" readingOrder="0" shrinkToFit="0" vertical="center" wrapText="0"/>
    </xf>
    <xf borderId="5" fillId="0" fontId="0" numFmtId="0" xfId="0" applyAlignment="1" applyBorder="1" applyFont="1">
      <alignment horizontal="center" readingOrder="0" shrinkToFit="0" vertical="center" wrapText="1"/>
    </xf>
    <xf borderId="5" fillId="0" fontId="0" numFmtId="166" xfId="0" applyAlignment="1" applyBorder="1" applyFont="1" applyNumberFormat="1">
      <alignment horizontal="center" readingOrder="0" shrinkToFit="0" vertical="center" wrapText="1"/>
    </xf>
    <xf borderId="5" fillId="0" fontId="14" numFmtId="0" xfId="0" applyAlignment="1" applyBorder="1" applyFont="1">
      <alignment horizontal="center" readingOrder="0" shrinkToFit="0" vertical="center" wrapText="1"/>
    </xf>
    <xf borderId="5" fillId="0" fontId="15" numFmtId="0" xfId="0" applyAlignment="1" applyBorder="1" applyFont="1">
      <alignment horizontal="left" readingOrder="0" shrinkToFit="0" vertical="center" wrapText="1"/>
    </xf>
    <xf borderId="0" fillId="0" fontId="0" numFmtId="0" xfId="0" applyAlignment="1" applyFont="1">
      <alignment horizontal="center" shrinkToFit="0" vertical="center" wrapText="0"/>
    </xf>
    <xf borderId="5" fillId="0" fontId="2" numFmtId="0" xfId="0" applyAlignment="1" applyBorder="1" applyFont="1">
      <alignment horizontal="left" readingOrder="0" shrinkToFit="0" vertical="center" wrapText="1"/>
    </xf>
    <xf borderId="5" fillId="0" fontId="14" numFmtId="0" xfId="0" applyAlignment="1" applyBorder="1" applyFont="1">
      <alignment horizontal="center" readingOrder="0" vertical="center"/>
    </xf>
    <xf borderId="5" fillId="0" fontId="2" numFmtId="0" xfId="0" applyAlignment="1" applyBorder="1" applyFont="1">
      <alignment readingOrder="0" shrinkToFit="0" vertical="center" wrapText="1"/>
    </xf>
    <xf borderId="0" fillId="10" fontId="0" numFmtId="0" xfId="0" applyAlignment="1" applyFont="1">
      <alignment horizontal="center" readingOrder="0" shrinkToFit="0" vertical="center" wrapText="0"/>
    </xf>
    <xf borderId="5" fillId="10" fontId="0" numFmtId="0" xfId="0" applyAlignment="1" applyBorder="1" applyFont="1">
      <alignment horizontal="center" readingOrder="0" shrinkToFit="0" vertical="center" wrapText="0"/>
    </xf>
    <xf borderId="5" fillId="10" fontId="0" numFmtId="0" xfId="0" applyAlignment="1" applyBorder="1" applyFont="1">
      <alignment horizontal="center" readingOrder="0" shrinkToFit="0" vertical="center" wrapText="1"/>
    </xf>
    <xf borderId="5" fillId="10" fontId="0" numFmtId="166" xfId="0" applyAlignment="1" applyBorder="1" applyFont="1" applyNumberFormat="1">
      <alignment horizontal="center" readingOrder="0" shrinkToFit="0" vertical="center" wrapText="1"/>
    </xf>
    <xf borderId="5" fillId="10" fontId="14" numFmtId="0" xfId="0" applyAlignment="1" applyBorder="1" applyFont="1">
      <alignment horizontal="center" shrinkToFit="0" vertical="center" wrapText="1"/>
    </xf>
    <xf borderId="5" fillId="10" fontId="2" numFmtId="0" xfId="0" applyAlignment="1" applyBorder="1" applyFont="1">
      <alignment horizontal="left" shrinkToFit="0" vertical="center" wrapText="1"/>
    </xf>
    <xf borderId="5" fillId="10" fontId="11" numFmtId="0" xfId="0" applyAlignment="1" applyBorder="1" applyFont="1">
      <alignment horizontal="center" readingOrder="0" vertical="center"/>
    </xf>
    <xf borderId="0" fillId="13" fontId="0" numFmtId="0" xfId="0" applyAlignment="1" applyFill="1" applyFont="1">
      <alignment horizontal="center" shrinkToFit="0" vertical="center" wrapText="0"/>
    </xf>
    <xf borderId="5" fillId="13" fontId="0" numFmtId="0" xfId="0" applyAlignment="1" applyBorder="1" applyFont="1">
      <alignment horizontal="center" readingOrder="0" shrinkToFit="0" vertical="center" wrapText="0"/>
    </xf>
    <xf borderId="5" fillId="13" fontId="2" numFmtId="0" xfId="0" applyAlignment="1" applyBorder="1" applyFont="1">
      <alignment horizontal="center" readingOrder="0" shrinkToFit="0" vertical="center" wrapText="1"/>
    </xf>
    <xf borderId="5" fillId="13" fontId="0" numFmtId="0" xfId="0" applyAlignment="1" applyBorder="1" applyFont="1">
      <alignment horizontal="center" readingOrder="0" shrinkToFit="0" vertical="center" wrapText="1"/>
    </xf>
    <xf borderId="5" fillId="13" fontId="0" numFmtId="166" xfId="0" applyAlignment="1" applyBorder="1" applyFont="1" applyNumberFormat="1">
      <alignment horizontal="center" readingOrder="0" shrinkToFit="0" vertical="center" wrapText="1"/>
    </xf>
    <xf borderId="5" fillId="13" fontId="16" numFmtId="0" xfId="0" applyAlignment="1" applyBorder="1" applyFont="1">
      <alignment horizontal="center" readingOrder="0" shrinkToFit="0" vertical="center" wrapText="1"/>
    </xf>
    <xf borderId="5" fillId="13" fontId="14" numFmtId="0" xfId="0" applyAlignment="1" applyBorder="1" applyFont="1">
      <alignment horizontal="center" readingOrder="0" shrinkToFit="0" vertical="center" wrapText="1"/>
    </xf>
    <xf borderId="5" fillId="13" fontId="2" numFmtId="0" xfId="0" applyAlignment="1" applyBorder="1" applyFont="1">
      <alignment horizontal="left" readingOrder="0" shrinkToFit="0" vertical="center" wrapText="1"/>
    </xf>
    <xf borderId="5" fillId="13" fontId="2" numFmtId="0" xfId="0" applyAlignment="1" applyBorder="1" applyFont="1">
      <alignment horizontal="center" shrinkToFit="0" vertical="center" wrapText="1"/>
    </xf>
    <xf borderId="5" fillId="13" fontId="11" numFmtId="0" xfId="0" applyAlignment="1" applyBorder="1" applyFont="1">
      <alignment horizontal="center" readingOrder="0" vertical="center"/>
    </xf>
    <xf borderId="5" fillId="13" fontId="2" numFmtId="0" xfId="0" applyAlignment="1" applyBorder="1" applyFont="1">
      <alignment horizontal="center" shrinkToFit="0" vertical="center" wrapText="1"/>
    </xf>
    <xf borderId="5" fillId="10" fontId="14" numFmtId="0" xfId="0" applyAlignment="1" applyBorder="1" applyFont="1">
      <alignment horizontal="center" readingOrder="0" shrinkToFit="0" vertical="center" wrapText="1"/>
    </xf>
    <xf borderId="5" fillId="10" fontId="2" numFmtId="0" xfId="0" applyAlignment="1" applyBorder="1" applyFont="1">
      <alignment horizontal="left" readingOrder="0" shrinkToFit="0" vertical="center" wrapText="1"/>
    </xf>
    <xf borderId="5" fillId="13" fontId="0" numFmtId="0" xfId="0" applyAlignment="1" applyBorder="1" applyFont="1">
      <alignment horizontal="center" shrinkToFit="0" vertical="center" wrapText="0"/>
    </xf>
    <xf borderId="5" fillId="13" fontId="0" numFmtId="166" xfId="0" applyAlignment="1" applyBorder="1" applyFont="1" applyNumberFormat="1">
      <alignment horizontal="center" shrinkToFit="0" vertical="center" wrapText="1"/>
    </xf>
    <xf borderId="5" fillId="13" fontId="0" numFmtId="0" xfId="0" applyAlignment="1" applyBorder="1" applyFont="1">
      <alignment horizontal="center" shrinkToFit="0" vertical="center" wrapText="1"/>
    </xf>
    <xf borderId="5" fillId="13" fontId="11" numFmtId="0" xfId="0" applyAlignment="1" applyBorder="1" applyFont="1">
      <alignment horizontal="center" readingOrder="0" shrinkToFit="0" vertical="center" wrapText="1"/>
    </xf>
    <xf borderId="5" fillId="0" fontId="14" numFmtId="0" xfId="0" applyAlignment="1" applyBorder="1" applyFont="1">
      <alignment horizontal="center" shrinkToFit="0" vertical="center" wrapText="1"/>
    </xf>
    <xf borderId="5" fillId="0" fontId="2" numFmtId="0" xfId="0" applyAlignment="1" applyBorder="1" applyFont="1">
      <alignment horizontal="left" shrinkToFit="0" vertical="center" wrapText="1"/>
    </xf>
    <xf borderId="5" fillId="10" fontId="2" numFmtId="0" xfId="0" applyAlignment="1" applyBorder="1" applyFont="1">
      <alignment horizontal="center" readingOrder="0" shrinkToFit="0" vertical="center" wrapText="1"/>
    </xf>
    <xf borderId="5" fillId="10" fontId="17" numFmtId="0" xfId="0" applyAlignment="1" applyBorder="1" applyFont="1">
      <alignment readingOrder="0" shrinkToFit="0" vertical="bottom" wrapText="0"/>
    </xf>
    <xf borderId="5" fillId="0" fontId="0" numFmtId="0" xfId="0" applyAlignment="1" applyBorder="1" applyFont="1">
      <alignment horizontal="center" readingOrder="0" shrinkToFit="0" vertical="center" wrapText="1"/>
    </xf>
    <xf borderId="5" fillId="0" fontId="0" numFmtId="0" xfId="0" applyAlignment="1" applyBorder="1" applyFont="1">
      <alignment horizontal="center" readingOrder="0" shrinkToFit="0" vertical="center" wrapText="0"/>
    </xf>
    <xf borderId="5" fillId="10" fontId="0" numFmtId="0" xfId="0" applyAlignment="1" applyBorder="1" applyFont="1">
      <alignment horizontal="center" readingOrder="0" shrinkToFit="0" vertical="center" wrapText="0"/>
    </xf>
    <xf borderId="5" fillId="13" fontId="0" numFmtId="0" xfId="0" applyAlignment="1" applyBorder="1" applyFont="1">
      <alignment horizontal="center" readingOrder="0" shrinkToFit="0" vertical="center" wrapText="0"/>
    </xf>
    <xf borderId="5" fillId="0" fontId="0" numFmtId="0" xfId="0" applyAlignment="1" applyBorder="1" applyFont="1">
      <alignment horizontal="center" shrinkToFit="0" vertical="center" wrapText="0"/>
    </xf>
    <xf borderId="5" fillId="13" fontId="0" numFmtId="0" xfId="0" applyAlignment="1" applyBorder="1" applyFont="1">
      <alignment horizontal="center" shrinkToFit="0" vertical="center" wrapText="0"/>
    </xf>
    <xf borderId="5" fillId="13" fontId="2" numFmtId="0" xfId="0" applyAlignment="1" applyBorder="1" applyFont="1">
      <alignment horizontal="left" shrinkToFit="0" vertical="center" wrapText="1"/>
    </xf>
    <xf borderId="5" fillId="0" fontId="0" numFmtId="0" xfId="0" applyAlignment="1" applyBorder="1" applyFont="1">
      <alignment horizontal="center" shrinkToFit="0" vertical="center" wrapText="0"/>
    </xf>
    <xf borderId="5" fillId="0" fontId="2" numFmtId="0" xfId="0" applyAlignment="1" applyBorder="1" applyFont="1">
      <alignment horizontal="left" shrinkToFit="0" vertical="center" wrapText="1"/>
    </xf>
    <xf borderId="5" fillId="11" fontId="2" numFmtId="0" xfId="0" applyAlignment="1" applyBorder="1" applyFont="1">
      <alignment horizontal="center" shrinkToFit="0" vertical="center" wrapText="1"/>
    </xf>
    <xf borderId="0" fillId="2" fontId="1" numFmtId="0" xfId="0" applyAlignment="1" applyFont="1">
      <alignment horizontal="center" readingOrder="0" shrinkToFit="0" vertical="center" wrapText="1"/>
    </xf>
    <xf borderId="2" fillId="7" fontId="1" numFmtId="0" xfId="0" applyAlignment="1" applyBorder="1" applyFont="1">
      <alignment horizontal="center" readingOrder="0" vertical="center"/>
    </xf>
    <xf borderId="3" fillId="7" fontId="1" numFmtId="0" xfId="0" applyAlignment="1" applyBorder="1" applyFont="1">
      <alignment horizontal="center" readingOrder="0" vertical="center"/>
    </xf>
    <xf borderId="4" fillId="7" fontId="1" numFmtId="0" xfId="0" applyAlignment="1" applyBorder="1" applyFont="1">
      <alignment horizontal="center" readingOrder="0" vertical="center"/>
    </xf>
    <xf borderId="2" fillId="8" fontId="1" numFmtId="0" xfId="0" applyAlignment="1" applyBorder="1" applyFont="1">
      <alignment horizontal="center" readingOrder="0" shrinkToFit="0" vertical="center" wrapText="0"/>
    </xf>
    <xf borderId="4" fillId="8" fontId="1" numFmtId="0" xfId="0" applyAlignment="1" applyBorder="1" applyFont="1">
      <alignment horizontal="center" readingOrder="0" shrinkToFit="0" vertical="center" wrapText="0"/>
    </xf>
    <xf borderId="1" fillId="8" fontId="1" numFmtId="0" xfId="0" applyAlignment="1" applyBorder="1" applyFont="1">
      <alignment horizontal="center" readingOrder="0" shrinkToFit="0" vertical="center" wrapText="0"/>
    </xf>
    <xf borderId="6" fillId="7" fontId="1" numFmtId="0" xfId="0" applyAlignment="1" applyBorder="1" applyFont="1">
      <alignment horizontal="center" readingOrder="0" vertical="center"/>
    </xf>
    <xf borderId="9" fillId="7" fontId="1" numFmtId="0" xfId="0" applyAlignment="1" applyBorder="1" applyFont="1">
      <alignment horizontal="center" readingOrder="0" vertical="center"/>
    </xf>
    <xf borderId="0" fillId="10" fontId="4" numFmtId="0" xfId="0" applyAlignment="1" applyFont="1">
      <alignment horizontal="center" readingOrder="0" shrinkToFit="0" vertical="bottom" wrapText="0"/>
    </xf>
    <xf borderId="5" fillId="10" fontId="4" numFmtId="0" xfId="0" applyAlignment="1" applyBorder="1" applyFont="1">
      <alignment readingOrder="0" shrinkToFit="0" vertical="bottom" wrapText="0"/>
    </xf>
    <xf borderId="5" fillId="10" fontId="4" numFmtId="0" xfId="0" applyAlignment="1" applyBorder="1" applyFont="1">
      <alignment horizontal="right" readingOrder="0" shrinkToFit="0" vertical="bottom" wrapText="0"/>
    </xf>
    <xf borderId="5" fillId="10" fontId="4" numFmtId="164" xfId="0" applyAlignment="1" applyBorder="1" applyFont="1" applyNumberFormat="1">
      <alignment horizontal="right" readingOrder="0" shrinkToFit="0" vertical="bottom" wrapText="0"/>
    </xf>
    <xf borderId="5" fillId="10" fontId="18" numFmtId="0" xfId="0" applyAlignment="1" applyBorder="1" applyFont="1">
      <alignment horizontal="center" readingOrder="0" vertical="center"/>
    </xf>
    <xf borderId="5" fillId="10" fontId="2" numFmtId="0" xfId="0" applyAlignment="1" applyBorder="1" applyFont="1">
      <alignment horizontal="center" readingOrder="0" shrinkToFit="0" vertical="center" wrapText="0"/>
    </xf>
    <xf borderId="0" fillId="0" fontId="4" numFmtId="0" xfId="0" applyAlignment="1" applyFont="1">
      <alignment horizontal="center" shrinkToFit="0" vertical="bottom" wrapText="0"/>
    </xf>
    <xf borderId="5" fillId="0" fontId="4" numFmtId="0" xfId="0" applyAlignment="1" applyBorder="1" applyFont="1">
      <alignment readingOrder="0" shrinkToFit="0" vertical="bottom" wrapText="0"/>
    </xf>
    <xf borderId="5" fillId="0" fontId="4" numFmtId="0" xfId="0" applyAlignment="1" applyBorder="1" applyFont="1">
      <alignment horizontal="right" readingOrder="0" shrinkToFit="0" vertical="bottom" wrapText="0"/>
    </xf>
    <xf borderId="5" fillId="0" fontId="4" numFmtId="164" xfId="0" applyAlignment="1" applyBorder="1" applyFont="1" applyNumberFormat="1">
      <alignment horizontal="right" readingOrder="0" shrinkToFit="0" vertical="bottom" wrapText="0"/>
    </xf>
    <xf borderId="5" fillId="0" fontId="19" numFmtId="0" xfId="0" applyAlignment="1" applyBorder="1" applyFont="1">
      <alignment horizontal="center" readingOrder="0" vertical="center"/>
    </xf>
    <xf borderId="5" fillId="0" fontId="20" numFmtId="0" xfId="0" applyAlignment="1" applyBorder="1" applyFont="1">
      <alignment horizontal="right" readingOrder="0" shrinkToFit="0" vertical="bottom" wrapText="0"/>
    </xf>
    <xf borderId="5" fillId="0" fontId="2" numFmtId="0" xfId="0" applyAlignment="1" applyBorder="1" applyFont="1">
      <alignment horizontal="center" readingOrder="0" shrinkToFit="0" vertical="center" wrapText="0"/>
    </xf>
    <xf borderId="5" fillId="10" fontId="2" numFmtId="0" xfId="0" applyAlignment="1" applyBorder="1" applyFont="1">
      <alignment horizontal="center" shrinkToFit="0" vertical="center" wrapText="0"/>
    </xf>
    <xf borderId="5" fillId="0" fontId="2" numFmtId="0" xfId="0" applyAlignment="1" applyBorder="1" applyFont="1">
      <alignment horizontal="center" vertical="center"/>
    </xf>
    <xf borderId="0" fillId="9" fontId="4" numFmtId="0" xfId="0" applyAlignment="1" applyFont="1">
      <alignment horizontal="center" shrinkToFit="0" vertical="bottom" wrapText="0"/>
    </xf>
    <xf borderId="5" fillId="9" fontId="4" numFmtId="0" xfId="0" applyAlignment="1" applyBorder="1" applyFont="1">
      <alignment readingOrder="0" shrinkToFit="0" vertical="bottom" wrapText="0"/>
    </xf>
    <xf borderId="5" fillId="9" fontId="4" numFmtId="0" xfId="0" applyAlignment="1" applyBorder="1" applyFont="1">
      <alignment horizontal="right" readingOrder="0" shrinkToFit="0" vertical="bottom" wrapText="0"/>
    </xf>
    <xf borderId="5" fillId="9" fontId="4" numFmtId="164" xfId="0" applyAlignment="1" applyBorder="1" applyFont="1" applyNumberFormat="1">
      <alignment horizontal="right" readingOrder="0" shrinkToFit="0" vertical="bottom" wrapText="0"/>
    </xf>
    <xf borderId="5" fillId="9" fontId="21" numFmtId="0" xfId="0" applyAlignment="1" applyBorder="1" applyFont="1">
      <alignment horizontal="center" readingOrder="0" vertical="center"/>
    </xf>
    <xf borderId="5" fillId="9" fontId="2" numFmtId="0" xfId="0" applyAlignment="1" applyBorder="1" applyFont="1">
      <alignment horizontal="center" readingOrder="0" shrinkToFit="0" vertical="center" wrapText="0"/>
    </xf>
    <xf borderId="5" fillId="9" fontId="2" numFmtId="0" xfId="0" applyAlignment="1" applyBorder="1" applyFont="1">
      <alignment horizontal="center" vertical="center"/>
    </xf>
    <xf borderId="5" fillId="9" fontId="2" numFmtId="0" xfId="0" applyAlignment="1" applyBorder="1" applyFont="1">
      <alignment horizontal="center" shrinkToFit="0" vertical="center" wrapText="0"/>
    </xf>
    <xf borderId="5" fillId="0" fontId="2" numFmtId="0" xfId="0" applyAlignment="1" applyBorder="1" applyFont="1">
      <alignment horizontal="center" shrinkToFit="0" vertical="center" wrapText="0"/>
    </xf>
    <xf borderId="0" fillId="14" fontId="4" numFmtId="0" xfId="0" applyAlignment="1" applyFill="1" applyFont="1">
      <alignment horizontal="center" readingOrder="0" shrinkToFit="0" vertical="bottom" wrapText="0"/>
    </xf>
    <xf borderId="5" fillId="14" fontId="4" numFmtId="0" xfId="0" applyAlignment="1" applyBorder="1" applyFont="1">
      <alignment readingOrder="0" shrinkToFit="0" vertical="bottom" wrapText="0"/>
    </xf>
    <xf borderId="5" fillId="14" fontId="2" numFmtId="0" xfId="0" applyAlignment="1" applyBorder="1" applyFont="1">
      <alignment horizontal="center" readingOrder="0" vertical="center"/>
    </xf>
    <xf borderId="5" fillId="14" fontId="4" numFmtId="0" xfId="0" applyAlignment="1" applyBorder="1" applyFont="1">
      <alignment horizontal="right" readingOrder="0" shrinkToFit="0" vertical="bottom" wrapText="0"/>
    </xf>
    <xf borderId="5" fillId="14" fontId="22" numFmtId="0" xfId="0" applyAlignment="1" applyBorder="1" applyFont="1">
      <alignment horizontal="center" readingOrder="0" vertical="center"/>
    </xf>
    <xf borderId="5" fillId="14" fontId="2" numFmtId="0" xfId="0" applyAlignment="1" applyBorder="1" applyFont="1">
      <alignment horizontal="center" readingOrder="0" shrinkToFit="0" vertical="center" wrapText="0"/>
    </xf>
    <xf borderId="5" fillId="14" fontId="2" numFmtId="0" xfId="0" applyAlignment="1" applyBorder="1" applyFont="1">
      <alignment horizontal="center" vertical="center"/>
    </xf>
    <xf borderId="5" fillId="14" fontId="2" numFmtId="0" xfId="0" applyAlignment="1" applyBorder="1" applyFont="1">
      <alignment horizontal="center" shrinkToFit="0" vertical="center" wrapText="0"/>
    </xf>
    <xf borderId="5" fillId="14" fontId="2" numFmtId="0" xfId="0" applyAlignment="1" applyBorder="1" applyFont="1">
      <alignment horizontal="center" vertical="center"/>
    </xf>
    <xf borderId="0" fillId="14" fontId="2" numFmtId="0" xfId="0" applyAlignment="1" applyFont="1">
      <alignment horizontal="center" readingOrder="0" vertical="center"/>
    </xf>
    <xf borderId="0" fillId="14" fontId="2" numFmtId="0" xfId="0" applyAlignment="1" applyFont="1">
      <alignment horizontal="center" vertical="center"/>
    </xf>
    <xf borderId="0" fillId="12" fontId="11" numFmtId="0" xfId="0" applyAlignment="1" applyFont="1">
      <alignment horizontal="center" readingOrder="0"/>
    </xf>
    <xf borderId="5" fillId="11" fontId="2" numFmtId="0" xfId="0" applyAlignment="1" applyBorder="1" applyFont="1">
      <alignment horizontal="center" readingOrder="0" vertical="center"/>
    </xf>
    <xf borderId="0" fillId="9" fontId="10" numFmtId="0" xfId="0" applyAlignment="1" applyFont="1">
      <alignment horizontal="center" vertical="bottom"/>
    </xf>
    <xf borderId="0" fillId="9" fontId="10" numFmtId="0" xfId="0" applyAlignment="1" applyFont="1">
      <alignment vertical="bottom"/>
    </xf>
    <xf borderId="5" fillId="12" fontId="2" numFmtId="0" xfId="0" applyAlignment="1" applyBorder="1" applyFont="1">
      <alignment horizontal="center" readingOrder="0" shrinkToFit="0" vertical="center" wrapText="0"/>
    </xf>
    <xf borderId="5" fillId="10" fontId="2" numFmtId="0" xfId="0" applyAlignment="1" applyBorder="1" applyFont="1">
      <alignment horizontal="center" vertical="center"/>
    </xf>
    <xf borderId="0" fillId="12" fontId="11" numFmtId="0" xfId="0" applyAlignment="1" applyFont="1">
      <alignment readingOrder="0"/>
    </xf>
    <xf borderId="5" fillId="9" fontId="23" numFmtId="0" xfId="0" applyAlignment="1" applyBorder="1" applyFont="1">
      <alignment horizontal="center" readingOrder="0" vertical="center"/>
    </xf>
    <xf borderId="5" fillId="14" fontId="4" numFmtId="164" xfId="0" applyAlignment="1" applyBorder="1" applyFont="1" applyNumberFormat="1">
      <alignment horizontal="right" readingOrder="0" shrinkToFit="0" vertical="bottom" wrapText="0"/>
    </xf>
    <xf borderId="0" fillId="14" fontId="10" numFmtId="0" xfId="0" applyAlignment="1" applyFont="1">
      <alignment vertical="bottom"/>
    </xf>
    <xf borderId="5" fillId="10" fontId="20" numFmtId="0" xfId="0" applyAlignment="1" applyBorder="1" applyFont="1">
      <alignment readingOrder="0" shrinkToFit="0" vertical="bottom" wrapText="0"/>
    </xf>
    <xf borderId="0" fillId="15" fontId="10" numFmtId="0" xfId="0" applyAlignment="1" applyFill="1" applyFont="1">
      <alignment horizontal="center" vertical="bottom"/>
    </xf>
    <xf borderId="0" fillId="15" fontId="10" numFmtId="0" xfId="0" applyAlignment="1" applyFont="1">
      <alignment vertical="bottom"/>
    </xf>
    <xf borderId="5" fillId="15" fontId="2" numFmtId="0" xfId="0" applyAlignment="1" applyBorder="1" applyFont="1">
      <alignment horizontal="center" readingOrder="0" vertical="center"/>
    </xf>
    <xf borderId="5" fillId="15" fontId="4" numFmtId="0" xfId="0" applyAlignment="1" applyBorder="1" applyFont="1">
      <alignment horizontal="right" readingOrder="0" shrinkToFit="0" vertical="bottom" wrapText="0"/>
    </xf>
    <xf borderId="5" fillId="15" fontId="24" numFmtId="0" xfId="0" applyAlignment="1" applyBorder="1" applyFont="1">
      <alignment horizontal="center" readingOrder="0" vertical="center"/>
    </xf>
    <xf borderId="5" fillId="15" fontId="4" numFmtId="0" xfId="0" applyAlignment="1" applyBorder="1" applyFont="1">
      <alignment readingOrder="0" shrinkToFit="0" vertical="bottom" wrapText="0"/>
    </xf>
    <xf borderId="5" fillId="15" fontId="2" numFmtId="0" xfId="0" applyAlignment="1" applyBorder="1" applyFont="1">
      <alignment horizontal="center" readingOrder="0" shrinkToFit="0" vertical="center" wrapText="0"/>
    </xf>
    <xf borderId="5" fillId="15" fontId="2" numFmtId="0" xfId="0" applyAlignment="1" applyBorder="1" applyFont="1">
      <alignment horizontal="center" vertical="center"/>
    </xf>
    <xf borderId="5" fillId="15" fontId="2" numFmtId="0" xfId="0" applyAlignment="1" applyBorder="1" applyFont="1">
      <alignment horizontal="center" shrinkToFit="0" vertical="center" wrapText="0"/>
    </xf>
    <xf borderId="5" fillId="15" fontId="2" numFmtId="0" xfId="0" applyAlignment="1" applyBorder="1" applyFont="1">
      <alignment horizontal="center" vertical="center"/>
    </xf>
    <xf borderId="0" fillId="15" fontId="2" numFmtId="0" xfId="0" applyAlignment="1" applyFont="1">
      <alignment horizontal="center" readingOrder="0" vertical="center"/>
    </xf>
    <xf borderId="0" fillId="15" fontId="2" numFmtId="0" xfId="0" applyAlignment="1" applyFont="1">
      <alignment horizontal="center" vertical="center"/>
    </xf>
    <xf borderId="5" fillId="9" fontId="25" numFmtId="0" xfId="0" applyAlignment="1" applyBorder="1" applyFont="1">
      <alignment horizontal="center" readingOrder="0" shrinkToFit="0" vertical="center" wrapText="0"/>
    </xf>
    <xf borderId="0" fillId="0" fontId="10" numFmtId="0" xfId="0" applyAlignment="1" applyFont="1">
      <alignment horizontal="center" vertical="bottom"/>
    </xf>
    <xf borderId="0" fillId="0" fontId="10" numFmtId="0" xfId="0" applyAlignment="1" applyFont="1">
      <alignment vertical="bottom"/>
    </xf>
    <xf borderId="5" fillId="12" fontId="4" numFmtId="164" xfId="0" applyAlignment="1" applyBorder="1" applyFont="1" applyNumberFormat="1">
      <alignment horizontal="right" readingOrder="0" shrinkToFit="0" vertical="bottom" wrapText="0"/>
    </xf>
    <xf borderId="0" fillId="10" fontId="10" numFmtId="0" xfId="0" applyAlignment="1" applyFont="1">
      <alignment horizontal="center" readingOrder="0" vertical="bottom"/>
    </xf>
    <xf borderId="0" fillId="10" fontId="10" numFmtId="0" xfId="0" applyAlignment="1" applyFont="1">
      <alignment vertical="bottom"/>
    </xf>
    <xf borderId="0" fillId="14" fontId="2" numFmtId="0" xfId="0" applyAlignment="1" applyFont="1">
      <alignment readingOrder="0"/>
    </xf>
    <xf borderId="0" fillId="14" fontId="2" numFmtId="167" xfId="0" applyAlignment="1" applyFont="1" applyNumberFormat="1">
      <alignment readingOrder="0"/>
    </xf>
    <xf borderId="0" fillId="14" fontId="26" numFmtId="0" xfId="0" applyAlignment="1" applyFont="1">
      <alignment horizontal="center" readingOrder="0" vertical="center"/>
    </xf>
    <xf borderId="0" fillId="14" fontId="2" numFmtId="0" xfId="0" applyAlignment="1" applyFont="1">
      <alignment horizontal="center" readingOrder="0" shrinkToFit="0" vertical="center" wrapText="0"/>
    </xf>
    <xf borderId="0" fillId="14" fontId="2" numFmtId="0" xfId="0" applyAlignment="1" applyFont="1">
      <alignment horizontal="center" vertical="center"/>
    </xf>
    <xf borderId="0" fillId="14" fontId="2" numFmtId="0" xfId="0" applyAlignment="1" applyFont="1">
      <alignment horizontal="center" shrinkToFit="0" vertical="center" wrapText="0"/>
    </xf>
    <xf borderId="0" fillId="10" fontId="2" numFmtId="0" xfId="0" applyAlignment="1" applyFont="1">
      <alignment horizontal="center" readingOrder="0"/>
    </xf>
    <xf borderId="0" fillId="10" fontId="2" numFmtId="0" xfId="0" applyAlignment="1" applyFont="1">
      <alignment readingOrder="0"/>
    </xf>
    <xf borderId="0" fillId="10" fontId="2" numFmtId="167" xfId="0" applyAlignment="1" applyFont="1" applyNumberFormat="1">
      <alignment readingOrder="0"/>
    </xf>
    <xf borderId="0" fillId="10" fontId="27" numFmtId="0" xfId="0" applyAlignment="1" applyFont="1">
      <alignment horizontal="center" readingOrder="0" vertical="center"/>
    </xf>
    <xf borderId="0" fillId="10" fontId="2" numFmtId="0" xfId="0" applyAlignment="1" applyFont="1">
      <alignment horizontal="center" shrinkToFit="0" vertical="center" wrapText="0"/>
    </xf>
    <xf borderId="0" fillId="0" fontId="2" numFmtId="0" xfId="0" applyAlignment="1" applyFont="1">
      <alignment horizontal="center"/>
    </xf>
    <xf borderId="0" fillId="0" fontId="2" numFmtId="0" xfId="0" applyAlignment="1" applyFont="1">
      <alignment readingOrder="0"/>
    </xf>
    <xf borderId="0" fillId="0" fontId="28" numFmtId="0" xfId="0" applyAlignment="1" applyFont="1">
      <alignment horizontal="center" readingOrder="0" vertical="center"/>
    </xf>
    <xf borderId="0" fillId="12" fontId="29" numFmtId="0" xfId="0" applyAlignment="1" applyFont="1">
      <alignment readingOrder="0"/>
    </xf>
    <xf borderId="0" fillId="0" fontId="2" numFmtId="0" xfId="0" applyAlignment="1" applyFont="1">
      <alignment horizontal="center" vertical="center"/>
    </xf>
    <xf borderId="0" fillId="0" fontId="2" numFmtId="0" xfId="0" applyAlignment="1" applyFont="1">
      <alignment horizontal="center" shrinkToFit="0" vertical="center" wrapText="0"/>
    </xf>
    <xf borderId="0" fillId="10" fontId="2" numFmtId="166" xfId="0" applyAlignment="1" applyFont="1" applyNumberFormat="1">
      <alignment readingOrder="0"/>
    </xf>
    <xf borderId="0" fillId="10" fontId="30" numFmtId="0" xfId="0" applyAlignment="1" applyFont="1">
      <alignment readingOrder="0"/>
    </xf>
    <xf borderId="0" fillId="10" fontId="31" numFmtId="0" xfId="0" applyAlignment="1" applyFont="1">
      <alignment readingOrder="0"/>
    </xf>
    <xf borderId="0" fillId="10" fontId="32" numFmtId="0" xfId="0" applyAlignment="1" applyFont="1">
      <alignment readingOrder="0"/>
    </xf>
    <xf borderId="0" fillId="14" fontId="10" numFmtId="0" xfId="0" applyAlignment="1" applyFont="1">
      <alignment readingOrder="0" vertical="bottom"/>
    </xf>
    <xf borderId="0" fillId="14" fontId="2" numFmtId="166" xfId="0" applyAlignment="1" applyFont="1" applyNumberFormat="1">
      <alignment readingOrder="0"/>
    </xf>
    <xf borderId="0" fillId="14" fontId="30" numFmtId="0" xfId="0" applyAlignment="1" applyFont="1">
      <alignment readingOrder="0"/>
    </xf>
    <xf borderId="0" fillId="14" fontId="10" numFmtId="0" xfId="0" applyAlignment="1" applyFont="1">
      <alignment horizontal="right" readingOrder="0" vertical="bottom"/>
    </xf>
    <xf borderId="0" fillId="14" fontId="29" numFmtId="0" xfId="0" applyAlignment="1" applyFont="1">
      <alignment readingOrder="0"/>
    </xf>
    <xf borderId="0" fillId="0" fontId="2" numFmtId="166" xfId="0" applyAlignment="1" applyFont="1" applyNumberFormat="1">
      <alignment readingOrder="0"/>
    </xf>
    <xf borderId="0" fillId="0" fontId="30" numFmtId="0" xfId="0" applyAlignment="1" applyFont="1">
      <alignment readingOrder="0"/>
    </xf>
    <xf borderId="0" fillId="0" fontId="2" numFmtId="0" xfId="0" applyAlignment="1" applyFont="1">
      <alignment horizontal="center" readingOrder="0" shrinkToFit="0" vertical="center" wrapText="0"/>
    </xf>
    <xf borderId="0" fillId="9" fontId="10" numFmtId="0" xfId="0" applyAlignment="1" applyFont="1">
      <alignment readingOrder="0" vertical="bottom"/>
    </xf>
    <xf borderId="0" fillId="9" fontId="2" numFmtId="0" xfId="0" applyAlignment="1" applyFont="1">
      <alignment readingOrder="0"/>
    </xf>
    <xf borderId="0" fillId="9" fontId="2" numFmtId="166" xfId="0" applyAlignment="1" applyFont="1" applyNumberFormat="1">
      <alignment readingOrder="0"/>
    </xf>
    <xf borderId="0" fillId="9" fontId="30" numFmtId="0" xfId="0" applyAlignment="1" applyFont="1">
      <alignment readingOrder="0"/>
    </xf>
    <xf borderId="0" fillId="9" fontId="33" numFmtId="0" xfId="0" applyAlignment="1" applyFont="1">
      <alignment horizontal="center" readingOrder="0" vertical="center"/>
    </xf>
    <xf borderId="0" fillId="9" fontId="10" numFmtId="0" xfId="0" applyAlignment="1" applyFont="1">
      <alignment horizontal="right" readingOrder="0" vertical="bottom"/>
    </xf>
    <xf borderId="0" fillId="9" fontId="2" numFmtId="0" xfId="0" applyAlignment="1" applyFont="1">
      <alignment horizontal="center" readingOrder="0" shrinkToFit="0" vertical="center" wrapText="0"/>
    </xf>
    <xf borderId="0" fillId="9" fontId="2" numFmtId="0" xfId="0" applyAlignment="1" applyFont="1">
      <alignment horizontal="center" vertical="center"/>
    </xf>
    <xf borderId="0" fillId="0" fontId="30" numFmtId="0" xfId="0" applyAlignment="1" applyFont="1">
      <alignment readingOrder="0"/>
    </xf>
    <xf borderId="0" fillId="9" fontId="10" numFmtId="0" xfId="0" applyAlignment="1" applyFont="1">
      <alignment horizontal="center" vertical="bottom"/>
    </xf>
    <xf borderId="0" fillId="9" fontId="2" numFmtId="0" xfId="0" applyAlignment="1" applyFont="1">
      <alignment horizontal="center" shrinkToFit="0" vertical="center" wrapText="0"/>
    </xf>
    <xf borderId="0" fillId="9" fontId="34" numFmtId="0" xfId="0" applyAlignment="1" applyFont="1">
      <alignment readingOrder="0"/>
    </xf>
    <xf borderId="0" fillId="0" fontId="2" numFmtId="0" xfId="0" applyAlignment="1" applyFont="1">
      <alignment horizontal="center"/>
    </xf>
    <xf borderId="0" fillId="0" fontId="15" numFmtId="0" xfId="0" applyAlignment="1" applyFont="1">
      <alignment readingOrder="0"/>
    </xf>
    <xf borderId="0" fillId="10" fontId="2" numFmtId="0" xfId="0" applyAlignment="1" applyFont="1">
      <alignment horizontal="center" readingOrder="0" shrinkToFit="0" vertical="center" wrapText="0"/>
    </xf>
    <xf borderId="0" fillId="14" fontId="35" numFmtId="0" xfId="0" applyAlignment="1" applyFont="1">
      <alignment readingOrder="0"/>
    </xf>
    <xf borderId="0" fillId="12" fontId="36" numFmtId="0" xfId="0" applyAlignment="1" applyFont="1">
      <alignment horizontal="left" readingOrder="0"/>
    </xf>
    <xf borderId="0" fillId="12" fontId="37" numFmtId="0" xfId="0" applyAlignment="1" applyFont="1">
      <alignment horizontal="left" readingOrder="0"/>
    </xf>
    <xf borderId="0" fillId="12" fontId="35" numFmtId="0" xfId="0" applyAlignment="1" applyFont="1">
      <alignment readingOrder="0"/>
    </xf>
    <xf borderId="0" fillId="7" fontId="1" numFmtId="0" xfId="0" applyAlignment="1" applyFont="1">
      <alignment horizontal="center" readingOrder="0" vertical="center"/>
    </xf>
    <xf borderId="1" fillId="3" fontId="1" numFmtId="0" xfId="0" applyAlignment="1" applyBorder="1" applyFont="1">
      <alignment horizontal="center" readingOrder="0" shrinkToFit="0" vertical="center" wrapText="1"/>
    </xf>
    <xf borderId="1" fillId="7" fontId="1" numFmtId="0" xfId="0" applyAlignment="1" applyBorder="1" applyFont="1">
      <alignment horizontal="center" readingOrder="0" vertical="center"/>
    </xf>
    <xf borderId="5" fillId="0" fontId="2" numFmtId="0" xfId="0" applyBorder="1" applyFont="1"/>
    <xf borderId="5" fillId="0" fontId="2" numFmtId="164" xfId="0" applyAlignment="1" applyBorder="1" applyFont="1" applyNumberFormat="1">
      <alignment horizontal="center" readingOrder="0" vertical="center"/>
    </xf>
    <xf borderId="5" fillId="0" fontId="2" numFmtId="0" xfId="0" applyAlignment="1" applyBorder="1" applyFont="1">
      <alignment horizontal="center" readingOrder="0" vertical="center"/>
    </xf>
    <xf borderId="5" fillId="12" fontId="38" numFmtId="0" xfId="0" applyAlignment="1" applyBorder="1" applyFont="1">
      <alignment horizontal="center" readingOrder="0"/>
    </xf>
    <xf borderId="5" fillId="0" fontId="2" numFmtId="0" xfId="0" applyAlignment="1" applyBorder="1" applyFont="1">
      <alignment readingOrder="0"/>
    </xf>
    <xf borderId="0" fillId="10" fontId="2" numFmtId="0" xfId="0" applyAlignment="1" applyFont="1">
      <alignment horizontal="center" readingOrder="0" shrinkToFit="0" vertical="center" wrapText="0"/>
    </xf>
    <xf borderId="5" fillId="10" fontId="2" numFmtId="0" xfId="0" applyAlignment="1" applyBorder="1" applyFont="1">
      <alignment horizontal="center" shrinkToFit="0" vertical="center" wrapText="0"/>
    </xf>
    <xf borderId="5" fillId="10" fontId="2" numFmtId="0" xfId="0" applyAlignment="1" applyBorder="1" applyFont="1">
      <alignment horizontal="center" readingOrder="0" vertical="center"/>
    </xf>
    <xf borderId="0" fillId="0" fontId="38" numFmtId="0" xfId="0" applyAlignment="1" applyFont="1">
      <alignment horizontal="center"/>
    </xf>
    <xf borderId="5" fillId="0" fontId="38" numFmtId="0" xfId="0" applyAlignment="1" applyBorder="1" applyFont="1">
      <alignment readingOrder="0"/>
    </xf>
    <xf borderId="5" fillId="9" fontId="2" numFmtId="0" xfId="0" applyAlignment="1" applyBorder="1" applyFont="1">
      <alignment horizontal="center" readingOrder="0" vertical="center"/>
    </xf>
    <xf borderId="5" fillId="9" fontId="2" numFmtId="0" xfId="0" applyAlignment="1" applyBorder="1" applyFont="1">
      <alignment horizontal="center" readingOrder="0"/>
    </xf>
    <xf borderId="5" fillId="0" fontId="2" numFmtId="0" xfId="0" applyAlignment="1" applyBorder="1" applyFont="1">
      <alignment horizontal="center" shrinkToFit="0" vertical="center" wrapText="0"/>
    </xf>
    <xf borderId="5" fillId="10" fontId="2" numFmtId="164" xfId="0" applyAlignment="1" applyBorder="1" applyFont="1" applyNumberFormat="1">
      <alignment horizontal="center" readingOrder="0" vertical="center"/>
    </xf>
    <xf borderId="5" fillId="9" fontId="2" numFmtId="168" xfId="0" applyAlignment="1" applyBorder="1" applyFont="1" applyNumberFormat="1">
      <alignment horizontal="center" readingOrder="0" vertical="center"/>
    </xf>
    <xf borderId="0" fillId="0" fontId="10" numFmtId="0" xfId="0" applyAlignment="1" applyFont="1">
      <alignment horizontal="center" vertical="bottom"/>
    </xf>
    <xf borderId="5" fillId="0" fontId="10" numFmtId="0" xfId="0" applyAlignment="1" applyBorder="1" applyFont="1">
      <alignment vertical="bottom"/>
    </xf>
    <xf borderId="5" fillId="0" fontId="30" numFmtId="0" xfId="0" applyAlignment="1" applyBorder="1" applyFont="1">
      <alignment horizontal="center" readingOrder="0" vertical="center"/>
    </xf>
    <xf borderId="5" fillId="10" fontId="10" numFmtId="0" xfId="0" applyAlignment="1" applyBorder="1" applyFont="1">
      <alignment vertical="bottom"/>
    </xf>
    <xf borderId="0" fillId="12" fontId="38" numFmtId="0" xfId="0" applyAlignment="1" applyFont="1">
      <alignment readingOrder="0"/>
    </xf>
    <xf borderId="5" fillId="0" fontId="10" numFmtId="169" xfId="0" applyAlignment="1" applyBorder="1" applyFont="1" applyNumberFormat="1">
      <alignment horizontal="right" vertical="bottom"/>
    </xf>
    <xf borderId="5" fillId="10" fontId="10" numFmtId="169" xfId="0" applyAlignment="1" applyBorder="1" applyFont="1" applyNumberFormat="1">
      <alignment horizontal="right" vertical="bottom"/>
    </xf>
    <xf borderId="5" fillId="9" fontId="10" numFmtId="169" xfId="0" applyAlignment="1" applyBorder="1" applyFont="1" applyNumberFormat="1">
      <alignment horizontal="right" readingOrder="0" vertical="bottom"/>
    </xf>
    <xf borderId="0" fillId="12" fontId="10" numFmtId="0" xfId="0" applyAlignment="1" applyFont="1">
      <alignment horizontal="center" vertical="bottom"/>
    </xf>
    <xf borderId="5" fillId="12" fontId="10" numFmtId="0" xfId="0" applyAlignment="1" applyBorder="1" applyFont="1">
      <alignment vertical="bottom"/>
    </xf>
    <xf borderId="5" fillId="12" fontId="10" numFmtId="169" xfId="0" applyAlignment="1" applyBorder="1" applyFont="1" applyNumberFormat="1">
      <alignment horizontal="right" vertical="bottom"/>
    </xf>
    <xf borderId="5" fillId="12" fontId="39" numFmtId="0" xfId="0" applyAlignment="1" applyBorder="1" applyFont="1">
      <alignment horizontal="center" readingOrder="0" vertical="center"/>
    </xf>
    <xf borderId="5" fillId="12" fontId="2" numFmtId="0" xfId="0" applyAlignment="1" applyBorder="1" applyFont="1">
      <alignment horizontal="center" readingOrder="0" vertical="center"/>
    </xf>
    <xf borderId="0" fillId="12" fontId="2" numFmtId="0" xfId="0" applyAlignment="1" applyFont="1">
      <alignment horizontal="center" vertical="center"/>
    </xf>
    <xf borderId="5" fillId="9" fontId="10" numFmtId="169" xfId="0" applyAlignment="1" applyBorder="1" applyFont="1" applyNumberFormat="1">
      <alignment horizontal="right" vertical="bottom"/>
    </xf>
    <xf borderId="0" fillId="0" fontId="10" numFmtId="0" xfId="0" applyAlignment="1" applyFont="1">
      <alignment horizontal="center" readingOrder="0" vertical="bottom"/>
    </xf>
    <xf borderId="5" fillId="9" fontId="10" numFmtId="0" xfId="0" applyAlignment="1" applyBorder="1" applyFont="1">
      <alignment horizontal="right" readingOrder="0" vertical="bottom"/>
    </xf>
    <xf borderId="11" fillId="9" fontId="10" numFmtId="0" xfId="0" applyAlignment="1" applyBorder="1" applyFont="1">
      <alignment vertical="bottom"/>
    </xf>
    <xf borderId="5" fillId="0" fontId="2" numFmtId="170" xfId="0" applyAlignment="1" applyBorder="1" applyFont="1" applyNumberFormat="1">
      <alignment horizontal="center" readingOrder="0" vertical="center"/>
    </xf>
    <xf borderId="0" fillId="0" fontId="0" numFmtId="0" xfId="0" applyAlignment="1" applyFont="1">
      <alignment readingOrder="0"/>
    </xf>
    <xf borderId="0" fillId="9" fontId="11" numFmtId="0" xfId="0" applyAlignment="1" applyFont="1">
      <alignment horizontal="center" readingOrder="0"/>
    </xf>
    <xf borderId="5" fillId="9" fontId="10" numFmtId="0" xfId="0" applyAlignment="1" applyBorder="1" applyFont="1">
      <alignment vertical="bottom"/>
    </xf>
    <xf borderId="0" fillId="9" fontId="40" numFmtId="0" xfId="0" applyAlignment="1" applyFont="1">
      <alignment readingOrder="0"/>
    </xf>
    <xf borderId="0" fillId="9" fontId="10" numFmtId="0" xfId="0" applyAlignment="1" applyFont="1">
      <alignment horizontal="right" vertical="bottom"/>
    </xf>
    <xf borderId="0" fillId="12" fontId="15" numFmtId="0" xfId="0" applyAlignment="1" applyFont="1">
      <alignment readingOrder="0"/>
    </xf>
    <xf borderId="0" fillId="0" fontId="41" numFmtId="0" xfId="0" applyAlignment="1" applyFont="1">
      <alignment readingOrder="0"/>
    </xf>
    <xf borderId="5" fillId="0" fontId="30" numFmtId="0" xfId="0" applyAlignment="1" applyBorder="1" applyFont="1">
      <alignment horizontal="center" readingOrder="0" shrinkToFit="0" vertical="center" wrapText="0"/>
    </xf>
    <xf borderId="5" fillId="10" fontId="42" numFmtId="0" xfId="0" applyAlignment="1" applyBorder="1" applyFont="1">
      <alignment horizontal="center" readingOrder="0" vertical="center"/>
    </xf>
    <xf borderId="4" fillId="9" fontId="10" numFmtId="0" xfId="0" applyAlignment="1" applyBorder="1" applyFont="1">
      <alignment vertical="bottom"/>
    </xf>
    <xf borderId="4" fillId="9" fontId="43" numFmtId="0" xfId="0" applyAlignment="1" applyBorder="1" applyFont="1">
      <alignment horizontal="center"/>
    </xf>
    <xf borderId="4" fillId="9" fontId="10" numFmtId="169" xfId="0" applyAlignment="1" applyBorder="1" applyFont="1" applyNumberFormat="1">
      <alignment horizontal="right" vertical="bottom"/>
    </xf>
    <xf borderId="4" fillId="9" fontId="44" numFmtId="0" xfId="0" applyAlignment="1" applyBorder="1" applyFont="1">
      <alignment horizontal="center"/>
    </xf>
    <xf borderId="4" fillId="9" fontId="43" numFmtId="0" xfId="0" applyAlignment="1" applyBorder="1" applyFont="1">
      <alignment horizontal="center"/>
    </xf>
    <xf borderId="4" fillId="9" fontId="43" numFmtId="0" xfId="0" applyAlignment="1" applyBorder="1" applyFont="1">
      <alignment readingOrder="0"/>
    </xf>
    <xf borderId="4" fillId="9" fontId="43" numFmtId="0" xfId="0" applyAlignment="1" applyBorder="1" applyFont="1">
      <alignment horizontal="center" readingOrder="0"/>
    </xf>
    <xf borderId="4" fillId="9" fontId="43" numFmtId="0" xfId="0" applyBorder="1" applyFont="1"/>
    <xf borderId="0" fillId="9" fontId="43" numFmtId="0" xfId="0" applyAlignment="1" applyFont="1">
      <alignment horizontal="center"/>
    </xf>
    <xf borderId="0" fillId="10" fontId="2" numFmtId="0" xfId="0" applyFont="1"/>
    <xf borderId="5" fillId="10" fontId="2" numFmtId="166" xfId="0" applyAlignment="1" applyBorder="1" applyFont="1" applyNumberFormat="1">
      <alignment horizontal="center" readingOrder="0" vertical="center"/>
    </xf>
    <xf borderId="0" fillId="0" fontId="10" numFmtId="0" xfId="0" applyAlignment="1" applyFont="1">
      <alignment readingOrder="0" vertical="bottom"/>
    </xf>
    <xf borderId="0" fillId="0" fontId="10" numFmtId="166" xfId="0" applyAlignment="1" applyFont="1" applyNumberFormat="1">
      <alignment readingOrder="0" vertical="bottom"/>
    </xf>
    <xf borderId="0" fillId="10" fontId="10" numFmtId="0" xfId="0" applyAlignment="1" applyFont="1">
      <alignment readingOrder="0" vertical="bottom"/>
    </xf>
    <xf borderId="0" fillId="10" fontId="10" numFmtId="166" xfId="0" applyAlignment="1" applyFont="1" applyNumberFormat="1">
      <alignment readingOrder="0" vertical="bottom"/>
    </xf>
    <xf borderId="0" fillId="9" fontId="10" numFmtId="166" xfId="0" applyAlignment="1" applyFont="1" applyNumberFormat="1">
      <alignment readingOrder="0" vertical="bottom"/>
    </xf>
    <xf borderId="0" fillId="9" fontId="10" numFmtId="0" xfId="0" applyAlignment="1" applyFont="1">
      <alignment horizontal="center" readingOrder="0" vertical="bottom"/>
    </xf>
    <xf borderId="5" fillId="9" fontId="2" numFmtId="166" xfId="0" applyAlignment="1" applyBorder="1" applyFont="1" applyNumberFormat="1">
      <alignment horizontal="center" readingOrder="0" vertical="center"/>
    </xf>
    <xf borderId="5" fillId="0" fontId="2" numFmtId="166" xfId="0" applyAlignment="1" applyBorder="1" applyFont="1" applyNumberFormat="1">
      <alignment horizontal="center" readingOrder="0" vertical="center"/>
    </xf>
    <xf borderId="0" fillId="0" fontId="2" numFmtId="0" xfId="0" applyFont="1"/>
    <xf borderId="4" fillId="4" fontId="1" numFmtId="0" xfId="0" applyAlignment="1" applyBorder="1" applyFont="1">
      <alignment horizontal="center" readingOrder="0" shrinkToFit="0" vertical="center" wrapText="1"/>
    </xf>
    <xf borderId="9" fillId="4" fontId="1" numFmtId="0" xfId="0" applyAlignment="1" applyBorder="1" applyFont="1">
      <alignment horizontal="center" readingOrder="0" shrinkToFit="0" vertical="center" wrapText="1"/>
    </xf>
    <xf borderId="5" fillId="8" fontId="1" numFmtId="0" xfId="0" applyAlignment="1" applyBorder="1" applyFont="1">
      <alignment horizontal="center" readingOrder="0" shrinkToFit="0" vertical="center" wrapText="1"/>
    </xf>
    <xf borderId="5" fillId="8" fontId="1" numFmtId="0" xfId="0" applyAlignment="1" applyBorder="1" applyFont="1">
      <alignment horizontal="center" readingOrder="0" shrinkToFit="0" vertical="center" wrapText="0"/>
    </xf>
    <xf borderId="5" fillId="7" fontId="1" numFmtId="0" xfId="0" applyAlignment="1" applyBorder="1" applyFont="1">
      <alignment horizontal="center" readingOrder="0" shrinkToFit="0" vertical="center" wrapText="1"/>
    </xf>
    <xf borderId="5" fillId="7" fontId="1" numFmtId="0" xfId="0" applyAlignment="1" applyBorder="1" applyFont="1">
      <alignment horizontal="center" readingOrder="0" vertical="center"/>
    </xf>
    <xf borderId="0" fillId="10" fontId="45" numFmtId="0" xfId="0" applyAlignment="1" applyFont="1">
      <alignment horizontal="center" readingOrder="0" shrinkToFit="0" wrapText="0"/>
    </xf>
    <xf borderId="0" fillId="10" fontId="45" numFmtId="0" xfId="0" applyAlignment="1" applyFont="1">
      <alignment readingOrder="0" shrinkToFit="0" wrapText="0"/>
    </xf>
    <xf borderId="0" fillId="10" fontId="11" numFmtId="0" xfId="0" applyAlignment="1" applyFont="1">
      <alignment horizontal="center" readingOrder="0"/>
    </xf>
    <xf borderId="0" fillId="0" fontId="45" numFmtId="0" xfId="0" applyAlignment="1" applyFont="1">
      <alignment horizontal="center" shrinkToFit="0" wrapText="0"/>
    </xf>
    <xf borderId="0" fillId="0" fontId="45" numFmtId="0" xfId="0" applyAlignment="1" applyFont="1">
      <alignment readingOrder="0" shrinkToFit="0" wrapText="0"/>
    </xf>
    <xf borderId="0" fillId="9" fontId="4" numFmtId="0" xfId="0" applyAlignment="1" applyFont="1">
      <alignment readingOrder="0" shrinkToFit="0" vertical="bottom" wrapText="0"/>
    </xf>
    <xf borderId="0" fillId="10" fontId="2" numFmtId="3" xfId="0" applyAlignment="1" applyFont="1" applyNumberFormat="1">
      <alignment horizontal="center" readingOrder="0" vertical="center"/>
    </xf>
    <xf borderId="5" fillId="10" fontId="2" numFmtId="171" xfId="0" applyAlignment="1" applyBorder="1" applyFont="1" applyNumberFormat="1">
      <alignment horizontal="center" readingOrder="0" vertical="center"/>
    </xf>
    <xf borderId="5" fillId="9" fontId="2" numFmtId="164" xfId="0" applyAlignment="1" applyBorder="1" applyFont="1" applyNumberFormat="1">
      <alignment horizontal="center" readingOrder="0" vertical="center"/>
    </xf>
    <xf borderId="0" fillId="9" fontId="2" numFmtId="164" xfId="0" applyAlignment="1" applyFont="1" applyNumberFormat="1">
      <alignment readingOrder="0"/>
    </xf>
    <xf borderId="0" fillId="0" fontId="11" numFmtId="0" xfId="0" applyAlignment="1" applyFont="1">
      <alignment horizontal="center" readingOrder="0"/>
    </xf>
    <xf borderId="0" fillId="9" fontId="2" numFmtId="0" xfId="0" applyAlignment="1" applyFont="1">
      <alignment horizontal="center" readingOrder="0"/>
    </xf>
    <xf borderId="12" fillId="0" fontId="2" numFmtId="0" xfId="0" applyAlignment="1" applyBorder="1" applyFont="1">
      <alignment readingOrder="0"/>
    </xf>
    <xf borderId="5" fillId="9" fontId="4" numFmtId="0" xfId="0" applyAlignment="1" applyBorder="1" applyFont="1">
      <alignment shrinkToFit="0" vertical="bottom" wrapText="0"/>
    </xf>
    <xf borderId="5" fillId="10" fontId="2" numFmtId="0" xfId="0" applyBorder="1" applyFont="1"/>
    <xf borderId="0" fillId="0" fontId="4" numFmtId="0" xfId="0" applyAlignment="1" applyFont="1">
      <alignment readingOrder="0" shrinkToFit="0" vertical="bottom" wrapText="0"/>
    </xf>
    <xf borderId="0" fillId="0" fontId="2" numFmtId="0" xfId="0" applyAlignment="1" applyFont="1">
      <alignment horizontal="center" readingOrder="0"/>
    </xf>
    <xf borderId="5" fillId="10" fontId="2" numFmtId="0" xfId="0" applyAlignment="1" applyBorder="1" applyFont="1">
      <alignment readingOrder="0"/>
    </xf>
    <xf borderId="5" fillId="10" fontId="2" numFmtId="165" xfId="0" applyAlignment="1" applyBorder="1" applyFont="1" applyNumberFormat="1">
      <alignment horizontal="center" readingOrder="0" vertical="center"/>
    </xf>
    <xf borderId="5" fillId="0" fontId="2" numFmtId="165" xfId="0" applyAlignment="1" applyBorder="1" applyFont="1" applyNumberFormat="1">
      <alignment horizontal="center" readingOrder="0" vertical="center"/>
    </xf>
    <xf borderId="5" fillId="0" fontId="2" numFmtId="0" xfId="0" applyAlignment="1" applyBorder="1" applyFont="1">
      <alignment horizontal="center" readingOrder="0" shrinkToFit="0" vertical="center" wrapText="0"/>
    </xf>
    <xf borderId="5" fillId="9" fontId="2" numFmtId="165" xfId="0" applyAlignment="1" applyBorder="1" applyFont="1" applyNumberFormat="1">
      <alignment horizontal="center" readingOrder="0" vertical="center"/>
    </xf>
    <xf borderId="5" fillId="0" fontId="2" numFmtId="0" xfId="0" applyAlignment="1" applyBorder="1" applyFont="1">
      <alignment horizontal="center" readingOrder="0"/>
    </xf>
    <xf borderId="5" fillId="0" fontId="2" numFmtId="0" xfId="0" applyAlignment="1" applyBorder="1" applyFont="1">
      <alignment horizontal="center"/>
    </xf>
    <xf borderId="1" fillId="10" fontId="2" numFmtId="0" xfId="0" applyAlignment="1" applyBorder="1" applyFont="1">
      <alignment horizontal="center" vertical="center"/>
    </xf>
    <xf borderId="0" fillId="12" fontId="4" numFmtId="0" xfId="0" applyAlignment="1" applyFont="1">
      <alignment horizontal="center" shrinkToFit="0" vertical="bottom" wrapText="0"/>
    </xf>
    <xf borderId="0" fillId="12" fontId="4" numFmtId="0" xfId="0" applyAlignment="1" applyFont="1">
      <alignment readingOrder="0" shrinkToFit="0" vertical="bottom" wrapText="0"/>
    </xf>
    <xf borderId="5" fillId="12" fontId="2" numFmtId="164" xfId="0" applyAlignment="1" applyBorder="1" applyFont="1" applyNumberFormat="1">
      <alignment horizontal="center" readingOrder="0" vertical="center"/>
    </xf>
    <xf borderId="5" fillId="12" fontId="2" numFmtId="0" xfId="0" applyAlignment="1" applyBorder="1" applyFont="1">
      <alignment horizontal="center" vertical="center"/>
    </xf>
    <xf borderId="0" fillId="10" fontId="4" numFmtId="0" xfId="0" applyAlignment="1" applyFont="1">
      <alignment readingOrder="0" shrinkToFit="0" vertical="bottom" wrapText="0"/>
    </xf>
    <xf borderId="0" fillId="10" fontId="11" numFmtId="0" xfId="0" applyAlignment="1" applyFont="1">
      <alignment horizontal="center" readingOrder="0" vertical="center"/>
    </xf>
    <xf borderId="0" fillId="9" fontId="11" numFmtId="0" xfId="0" applyAlignment="1" applyFont="1">
      <alignment horizontal="center" readingOrder="0" vertical="center"/>
    </xf>
    <xf borderId="5" fillId="12" fontId="2" numFmtId="0" xfId="0" applyAlignment="1" applyBorder="1" applyFont="1">
      <alignment horizontal="center" shrinkToFit="0" vertical="center" wrapText="0"/>
    </xf>
    <xf borderId="0" fillId="0" fontId="4" numFmtId="0" xfId="0" applyAlignment="1" applyFont="1">
      <alignment horizontal="center" readingOrder="0" shrinkToFit="0" vertical="bottom" wrapText="0"/>
    </xf>
    <xf borderId="0" fillId="10" fontId="4" numFmtId="3" xfId="0" applyAlignment="1" applyFont="1" applyNumberFormat="1">
      <alignment horizontal="center" readingOrder="0" shrinkToFit="0" vertical="bottom" wrapText="0"/>
    </xf>
    <xf borderId="0" fillId="10" fontId="4" numFmtId="171" xfId="0" applyAlignment="1" applyFont="1" applyNumberFormat="1">
      <alignment readingOrder="0" shrinkToFit="0" vertical="bottom" wrapText="0"/>
    </xf>
    <xf borderId="5" fillId="10" fontId="2" numFmtId="171" xfId="0" applyAlignment="1" applyBorder="1" applyFont="1" applyNumberFormat="1">
      <alignment horizontal="center" vertical="center"/>
    </xf>
    <xf borderId="5" fillId="10" fontId="46" numFmtId="171" xfId="0" applyAlignment="1" applyBorder="1" applyFont="1" applyNumberFormat="1">
      <alignment horizontal="center" readingOrder="0" vertical="center"/>
    </xf>
    <xf borderId="5" fillId="10" fontId="2" numFmtId="171" xfId="0" applyAlignment="1" applyBorder="1" applyFont="1" applyNumberFormat="1">
      <alignment horizontal="center" shrinkToFit="0" vertical="center" wrapText="0"/>
    </xf>
    <xf borderId="0" fillId="10" fontId="4" numFmtId="0" xfId="0" applyAlignment="1" applyFont="1">
      <alignment horizontal="center" readingOrder="0" shrinkToFit="0" vertical="bottom" wrapText="0"/>
    </xf>
    <xf borderId="0" fillId="10" fontId="4" numFmtId="0" xfId="0" applyAlignment="1" applyFont="1">
      <alignment readingOrder="0" shrinkToFit="0" vertical="bottom" wrapText="0"/>
    </xf>
    <xf borderId="5" fillId="10" fontId="47" numFmtId="0" xfId="0" applyAlignment="1" applyBorder="1" applyFont="1">
      <alignment horizontal="center" readingOrder="0" vertical="center"/>
    </xf>
    <xf borderId="13" fillId="9" fontId="4" numFmtId="0" xfId="0" applyAlignment="1" applyBorder="1" applyFont="1">
      <alignment readingOrder="0" shrinkToFit="0" vertical="bottom" wrapText="0"/>
    </xf>
    <xf borderId="0" fillId="11" fontId="4" numFmtId="0" xfId="0" applyAlignment="1" applyFont="1">
      <alignment horizontal="center" shrinkToFit="0" vertical="bottom" wrapText="0"/>
    </xf>
    <xf borderId="13" fillId="11" fontId="4" numFmtId="0" xfId="0" applyAlignment="1" applyBorder="1" applyFont="1">
      <alignment readingOrder="0" shrinkToFit="0" vertical="bottom" wrapText="0"/>
    </xf>
    <xf borderId="0" fillId="0" fontId="4" numFmtId="0" xfId="0" applyAlignment="1" applyFont="1">
      <alignment horizontal="center" shrinkToFit="0" vertical="bottom" wrapText="0"/>
    </xf>
    <xf borderId="13" fillId="0" fontId="4" numFmtId="0" xfId="0" applyAlignment="1" applyBorder="1" applyFont="1">
      <alignment readingOrder="0" shrinkToFit="0" vertical="bottom" wrapText="0"/>
    </xf>
    <xf borderId="5" fillId="0" fontId="2" numFmtId="0" xfId="0" applyAlignment="1" applyBorder="1" applyFont="1">
      <alignment horizontal="center" readingOrder="0" vertical="center"/>
    </xf>
    <xf borderId="5" fillId="0" fontId="48" numFmtId="0" xfId="0" applyAlignment="1" applyBorder="1" applyFont="1">
      <alignment horizontal="center" readingOrder="0" vertical="center"/>
    </xf>
    <xf borderId="5" fillId="0" fontId="2" numFmtId="0" xfId="0" applyAlignment="1" applyBorder="1" applyFont="1">
      <alignment horizontal="center" readingOrder="0" shrinkToFit="0" vertical="center" wrapText="0"/>
    </xf>
    <xf borderId="5" fillId="0" fontId="2" numFmtId="0" xfId="0" applyAlignment="1" applyBorder="1" applyFont="1">
      <alignment horizontal="center" vertical="center"/>
    </xf>
    <xf borderId="5" fillId="0" fontId="2" numFmtId="0" xfId="0" applyAlignment="1" applyBorder="1" applyFont="1">
      <alignment horizontal="center" shrinkToFit="0" vertical="center" wrapText="0"/>
    </xf>
    <xf borderId="5" fillId="0" fontId="2" numFmtId="0" xfId="0" applyAlignment="1" applyBorder="1" applyFont="1">
      <alignment horizontal="center" vertical="center"/>
    </xf>
    <xf borderId="13" fillId="10" fontId="4" numFmtId="0" xfId="0" applyAlignment="1" applyBorder="1" applyFont="1">
      <alignment readingOrder="0" shrinkToFit="0" vertical="bottom" wrapText="0"/>
    </xf>
    <xf borderId="13" fillId="0" fontId="4" numFmtId="0" xfId="0" applyAlignment="1" applyBorder="1" applyFont="1">
      <alignment readingOrder="0" shrinkToFit="0" vertical="bottom" wrapText="0"/>
    </xf>
    <xf borderId="0" fillId="11" fontId="11" numFmtId="0" xfId="0" applyAlignment="1" applyFont="1">
      <alignment horizontal="center" readingOrder="0" vertical="center"/>
    </xf>
    <xf borderId="0" fillId="11" fontId="9" numFmtId="0" xfId="0" applyAlignment="1" applyFont="1">
      <alignment readingOrder="0"/>
    </xf>
    <xf borderId="5" fillId="11" fontId="49" numFmtId="0" xfId="0" applyAlignment="1" applyBorder="1" applyFont="1">
      <alignment horizontal="center" readingOrder="0" vertical="center"/>
    </xf>
    <xf borderId="5" fillId="11" fontId="2" numFmtId="0" xfId="0" applyAlignment="1" applyBorder="1" applyFont="1">
      <alignment horizontal="center" readingOrder="0" shrinkToFit="0" vertical="center" wrapText="0"/>
    </xf>
    <xf borderId="5" fillId="11" fontId="2" numFmtId="0" xfId="0" applyAlignment="1" applyBorder="1" applyFont="1">
      <alignment horizontal="center" vertical="center"/>
    </xf>
    <xf borderId="5" fillId="11" fontId="2" numFmtId="0" xfId="0" applyAlignment="1" applyBorder="1" applyFont="1">
      <alignment horizontal="center" shrinkToFit="0" vertical="center" wrapText="0"/>
    </xf>
    <xf borderId="5" fillId="11" fontId="2" numFmtId="0" xfId="0" applyAlignment="1" applyBorder="1" applyFont="1">
      <alignment horizontal="center" vertical="center"/>
    </xf>
    <xf borderId="0" fillId="11" fontId="11" numFmtId="0" xfId="0" applyAlignment="1" applyFont="1">
      <alignment horizontal="center" readingOrder="0"/>
    </xf>
    <xf borderId="0" fillId="0" fontId="11" numFmtId="0" xfId="0" applyAlignment="1" applyFont="1">
      <alignment horizontal="center" readingOrder="0" vertical="center"/>
    </xf>
    <xf borderId="12" fillId="0" fontId="11" numFmtId="0" xfId="0" applyAlignment="1" applyBorder="1" applyFont="1">
      <alignment readingOrder="0"/>
    </xf>
    <xf borderId="0" fillId="9" fontId="4" numFmtId="0" xfId="0" applyAlignment="1" applyFont="1">
      <alignment horizontal="center" readingOrder="0" shrinkToFit="0" vertical="bottom" wrapText="0"/>
    </xf>
    <xf borderId="0" fillId="9" fontId="50" numFmtId="166" xfId="0" applyAlignment="1" applyFont="1" applyNumberFormat="1">
      <alignment horizontal="left" readingOrder="0"/>
    </xf>
    <xf borderId="0" fillId="11" fontId="4" numFmtId="0" xfId="0" applyAlignment="1" applyFont="1">
      <alignment horizontal="center" readingOrder="0" shrinkToFit="0" vertical="bottom" wrapText="0"/>
    </xf>
    <xf borderId="0" fillId="11" fontId="4" numFmtId="0" xfId="0" applyAlignment="1" applyFont="1">
      <alignment readingOrder="0" shrinkToFit="0" vertical="bottom" wrapText="0"/>
    </xf>
    <xf borderId="0" fillId="11" fontId="2" numFmtId="0" xfId="0" applyAlignment="1" applyFont="1">
      <alignment horizontal="center" vertical="center"/>
    </xf>
    <xf borderId="0" fillId="0" fontId="11" numFmtId="0" xfId="0" applyAlignment="1" applyFont="1">
      <alignment horizontal="center" readingOrder="0"/>
    </xf>
    <xf borderId="0" fillId="0" fontId="2" numFmtId="164" xfId="0" applyAlignment="1" applyFont="1" applyNumberFormat="1">
      <alignment horizontal="center" readingOrder="0"/>
    </xf>
    <xf borderId="0" fillId="12" fontId="2" numFmtId="0" xfId="0" applyAlignment="1" applyFont="1">
      <alignment horizontal="center" readingOrder="0"/>
    </xf>
    <xf borderId="0" fillId="12" fontId="2" numFmtId="0" xfId="0" applyAlignment="1" applyFont="1">
      <alignment horizontal="left" readingOrder="0"/>
    </xf>
    <xf borderId="5" fillId="12" fontId="2" numFmtId="0" xfId="0" applyAlignment="1" applyBorder="1" applyFont="1">
      <alignment horizontal="left" readingOrder="0"/>
    </xf>
    <xf borderId="0" fillId="10" fontId="2" numFmtId="0" xfId="0" applyAlignment="1" applyFont="1">
      <alignment horizontal="left" readingOrder="0"/>
    </xf>
    <xf borderId="5" fillId="10" fontId="2" numFmtId="0" xfId="0" applyAlignment="1" applyBorder="1" applyFont="1">
      <alignment horizontal="left" readingOrder="0"/>
    </xf>
    <xf borderId="0" fillId="12" fontId="2" numFmtId="0" xfId="0" applyAlignment="1" applyFont="1">
      <alignment horizontal="center"/>
    </xf>
    <xf borderId="0" fillId="9" fontId="2" numFmtId="0" xfId="0" applyAlignment="1" applyFont="1">
      <alignment horizontal="left" readingOrder="0"/>
    </xf>
    <xf borderId="5" fillId="9" fontId="2" numFmtId="0" xfId="0" applyAlignment="1" applyBorder="1" applyFont="1">
      <alignment horizontal="left" readingOrder="0"/>
    </xf>
    <xf borderId="0" fillId="16" fontId="2" numFmtId="0" xfId="0" applyAlignment="1" applyFill="1" applyFont="1">
      <alignment horizontal="center"/>
    </xf>
    <xf borderId="0" fillId="16" fontId="2" numFmtId="0" xfId="0" applyAlignment="1" applyFont="1">
      <alignment horizontal="left" readingOrder="0"/>
    </xf>
    <xf borderId="5" fillId="16" fontId="2" numFmtId="0" xfId="0" applyAlignment="1" applyBorder="1" applyFont="1">
      <alignment horizontal="center" readingOrder="0" vertical="center"/>
    </xf>
    <xf borderId="5" fillId="16" fontId="51" numFmtId="0" xfId="0" applyAlignment="1" applyBorder="1" applyFont="1">
      <alignment horizontal="center" readingOrder="0" vertical="center"/>
    </xf>
    <xf borderId="5" fillId="16" fontId="2" numFmtId="0" xfId="0" applyAlignment="1" applyBorder="1" applyFont="1">
      <alignment horizontal="left" readingOrder="0"/>
    </xf>
    <xf borderId="5" fillId="16" fontId="2" numFmtId="0" xfId="0" applyAlignment="1" applyBorder="1" applyFont="1">
      <alignment horizontal="center" readingOrder="0" shrinkToFit="0" vertical="center" wrapText="0"/>
    </xf>
    <xf borderId="5" fillId="16" fontId="2" numFmtId="0" xfId="0" applyAlignment="1" applyBorder="1" applyFont="1">
      <alignment horizontal="center" vertical="center"/>
    </xf>
    <xf borderId="5" fillId="16" fontId="2" numFmtId="0" xfId="0" applyAlignment="1" applyBorder="1" applyFont="1">
      <alignment horizontal="center" shrinkToFit="0" vertical="center" wrapText="0"/>
    </xf>
    <xf borderId="5" fillId="16" fontId="2" numFmtId="0" xfId="0" applyAlignment="1" applyBorder="1" applyFont="1">
      <alignment horizontal="center" vertical="center"/>
    </xf>
    <xf borderId="0" fillId="16" fontId="2" numFmtId="0" xfId="0" applyAlignment="1" applyFont="1">
      <alignment horizontal="center" vertical="center"/>
    </xf>
    <xf borderId="0" fillId="9" fontId="2" numFmtId="0" xfId="0" applyAlignment="1" applyFont="1">
      <alignment horizontal="center"/>
    </xf>
    <xf borderId="5" fillId="16" fontId="2" numFmtId="164" xfId="0" applyAlignment="1" applyBorder="1" applyFont="1" applyNumberFormat="1">
      <alignment horizontal="center" readingOrder="0" vertical="center"/>
    </xf>
    <xf borderId="0" fillId="10" fontId="30" numFmtId="0" xfId="0" applyAlignment="1" applyFont="1">
      <alignment horizontal="center" readingOrder="0"/>
    </xf>
    <xf borderId="0" fillId="10" fontId="30" numFmtId="0" xfId="0" applyAlignment="1" applyFont="1">
      <alignment horizontal="left" readingOrder="0"/>
    </xf>
    <xf borderId="5" fillId="10" fontId="30" numFmtId="0" xfId="0" applyAlignment="1" applyBorder="1" applyFont="1">
      <alignment horizontal="center" readingOrder="0" vertical="center"/>
    </xf>
    <xf borderId="5" fillId="10" fontId="30" numFmtId="164" xfId="0" applyAlignment="1" applyBorder="1" applyFont="1" applyNumberFormat="1">
      <alignment horizontal="center" readingOrder="0" vertical="center"/>
    </xf>
    <xf borderId="5" fillId="10" fontId="52" numFmtId="0" xfId="0" applyAlignment="1" applyBorder="1" applyFont="1">
      <alignment horizontal="center" readingOrder="0" vertical="center"/>
    </xf>
    <xf borderId="5" fillId="10" fontId="30" numFmtId="0" xfId="0" applyAlignment="1" applyBorder="1" applyFont="1">
      <alignment horizontal="left" readingOrder="0"/>
    </xf>
    <xf borderId="5" fillId="10" fontId="30" numFmtId="0" xfId="0" applyAlignment="1" applyBorder="1" applyFont="1">
      <alignment horizontal="center" vertical="center"/>
    </xf>
    <xf borderId="5" fillId="10" fontId="30" numFmtId="0" xfId="0" applyAlignment="1" applyBorder="1" applyFont="1">
      <alignment horizontal="center" shrinkToFit="0" vertical="center" wrapText="0"/>
    </xf>
    <xf borderId="0" fillId="10" fontId="30" numFmtId="0" xfId="0" applyAlignment="1" applyFont="1">
      <alignment horizontal="center" vertical="center"/>
    </xf>
    <xf borderId="0" fillId="12" fontId="50" numFmtId="0" xfId="0" applyAlignment="1" applyFont="1">
      <alignment horizontal="left" readingOrder="0"/>
    </xf>
    <xf borderId="0" fillId="0" fontId="2" numFmtId="0" xfId="0" applyAlignment="1" applyFont="1">
      <alignment horizontal="left" readingOrder="0"/>
    </xf>
    <xf borderId="5" fillId="0" fontId="2" numFmtId="0" xfId="0" applyAlignment="1" applyBorder="1" applyFont="1">
      <alignment horizontal="left" readingOrder="0"/>
    </xf>
    <xf borderId="0" fillId="9" fontId="30" numFmtId="0" xfId="0" applyAlignment="1" applyFont="1">
      <alignment readingOrder="0"/>
    </xf>
    <xf borderId="1" fillId="0" fontId="2" numFmtId="0" xfId="0" applyAlignment="1" applyBorder="1" applyFont="1">
      <alignment horizontal="center" readingOrder="0" vertical="center"/>
    </xf>
    <xf borderId="0" fillId="0" fontId="2" numFmtId="0" xfId="0" applyAlignment="1" applyFont="1">
      <alignment horizontal="center" readingOrder="0" vertical="center"/>
    </xf>
    <xf borderId="0" fillId="0" fontId="53" numFmtId="0" xfId="0" applyAlignment="1" applyFont="1">
      <alignment horizontal="left" readingOrder="0"/>
    </xf>
    <xf borderId="0" fillId="0" fontId="53" numFmtId="0" xfId="0" applyAlignment="1" applyFont="1">
      <alignment horizontal="center" readingOrder="0"/>
    </xf>
    <xf borderId="0" fillId="0" fontId="53" numFmtId="0" xfId="0" applyAlignment="1" applyFont="1">
      <alignment horizontal="center" readingOrder="0" shrinkToFit="0" wrapText="0"/>
    </xf>
    <xf borderId="0" fillId="0" fontId="54" numFmtId="0" xfId="0" applyAlignment="1" applyFont="1">
      <alignment horizontal="left" readingOrder="0" shrinkToFit="0" wrapText="1"/>
    </xf>
    <xf borderId="0" fillId="0" fontId="55" numFmtId="0" xfId="0" applyAlignment="1" applyFont="1">
      <alignment horizontal="center" readingOrder="0" shrinkToFit="0" wrapText="0"/>
    </xf>
    <xf borderId="0" fillId="17" fontId="54" numFmtId="0" xfId="0" applyAlignment="1" applyFill="1" applyFont="1">
      <alignment horizontal="left" readingOrder="0" shrinkToFit="0" wrapText="1"/>
    </xf>
    <xf borderId="2" fillId="18" fontId="53" numFmtId="0" xfId="0" applyAlignment="1" applyBorder="1" applyFill="1" applyFont="1">
      <alignment horizontal="center" readingOrder="0"/>
    </xf>
    <xf borderId="2" fillId="18" fontId="53" numFmtId="0" xfId="0" applyAlignment="1" applyBorder="1" applyFont="1">
      <alignment horizontal="center" readingOrder="0" shrinkToFit="0" wrapText="0"/>
    </xf>
    <xf borderId="5" fillId="0" fontId="2" numFmtId="0" xfId="0" applyBorder="1" applyFont="1"/>
    <xf borderId="5" fillId="18" fontId="56" numFmtId="0" xfId="0" applyAlignment="1" applyBorder="1" applyFont="1">
      <alignment horizontal="left" readingOrder="0"/>
    </xf>
    <xf borderId="5" fillId="18" fontId="56" numFmtId="0" xfId="0" applyAlignment="1" applyBorder="1" applyFont="1">
      <alignment horizontal="center" readingOrder="0"/>
    </xf>
    <xf borderId="5" fillId="18" fontId="56" numFmtId="0" xfId="0" applyAlignment="1" applyBorder="1" applyFont="1">
      <alignment horizontal="center" readingOrder="0" shrinkToFit="0" wrapText="0"/>
    </xf>
    <xf borderId="5" fillId="18" fontId="56" numFmtId="0" xfId="0" applyAlignment="1" applyBorder="1" applyFont="1">
      <alignment horizontal="center" shrinkToFit="0" wrapText="0"/>
    </xf>
    <xf borderId="5" fillId="18" fontId="56" numFmtId="0" xfId="0" applyAlignment="1" applyBorder="1" applyFont="1">
      <alignment horizontal="center"/>
    </xf>
    <xf borderId="5" fillId="0" fontId="56" numFmtId="0" xfId="0" applyAlignment="1" applyBorder="1" applyFont="1">
      <alignment horizontal="center"/>
    </xf>
    <xf borderId="0" fillId="0" fontId="56" numFmtId="0" xfId="0" applyAlignment="1" applyFont="1">
      <alignment horizontal="center"/>
    </xf>
    <xf borderId="5" fillId="19" fontId="4" numFmtId="0" xfId="0" applyAlignment="1" applyBorder="1" applyFill="1" applyFont="1">
      <alignment horizontal="left" readingOrder="0" shrinkToFit="0" vertical="bottom" wrapText="0"/>
    </xf>
    <xf borderId="5" fillId="19" fontId="57" numFmtId="0" xfId="0" applyAlignment="1" applyBorder="1" applyFont="1">
      <alignment readingOrder="0" shrinkToFit="0" vertical="bottom" wrapText="0"/>
    </xf>
    <xf borderId="5" fillId="19" fontId="4" numFmtId="0" xfId="0" applyAlignment="1" applyBorder="1" applyFont="1">
      <alignment readingOrder="0" shrinkToFit="0" vertical="bottom" wrapText="0"/>
    </xf>
    <xf borderId="5" fillId="11" fontId="4" numFmtId="0" xfId="0" applyAlignment="1" applyBorder="1" applyFont="1">
      <alignment readingOrder="0" shrinkToFit="0" vertical="bottom" wrapText="0"/>
    </xf>
    <xf borderId="5" fillId="11" fontId="4" numFmtId="0" xfId="0" applyAlignment="1" applyBorder="1" applyFont="1">
      <alignment horizontal="right" readingOrder="0" shrinkToFit="0" vertical="bottom" wrapText="0"/>
    </xf>
    <xf borderId="5" fillId="11" fontId="4" numFmtId="166" xfId="0" applyAlignment="1" applyBorder="1" applyFont="1" applyNumberFormat="1">
      <alignment readingOrder="0" shrinkToFit="0" vertical="bottom" wrapText="0"/>
    </xf>
    <xf borderId="5" fillId="11" fontId="58" numFmtId="0" xfId="0" applyAlignment="1" applyBorder="1" applyFont="1">
      <alignment readingOrder="0" shrinkToFit="0" vertical="bottom" wrapText="0"/>
    </xf>
    <xf borderId="5" fillId="19" fontId="59" numFmtId="0" xfId="0" applyAlignment="1" applyBorder="1" applyFont="1">
      <alignment readingOrder="0"/>
    </xf>
    <xf borderId="5" fillId="19" fontId="2" numFmtId="0" xfId="0" applyAlignment="1" applyBorder="1" applyFont="1">
      <alignment readingOrder="0"/>
    </xf>
    <xf borderId="0" fillId="11" fontId="4" numFmtId="0" xfId="0" applyAlignment="1" applyFont="1">
      <alignment horizontal="right" readingOrder="0" shrinkToFit="0" vertical="bottom" wrapText="0"/>
    </xf>
    <xf borderId="0" fillId="11" fontId="4" numFmtId="166" xfId="0" applyAlignment="1" applyFont="1" applyNumberFormat="1">
      <alignment readingOrder="0" shrinkToFit="0" vertical="bottom" wrapText="0"/>
    </xf>
    <xf borderId="0" fillId="11" fontId="60" numFmtId="0" xfId="0" applyAlignment="1" applyFont="1">
      <alignment readingOrder="0" shrinkToFit="0" vertical="bottom" wrapText="0"/>
    </xf>
    <xf borderId="0" fillId="11" fontId="61"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166" xfId="0" applyAlignment="1" applyFont="1" applyNumberFormat="1">
      <alignment readingOrder="0" shrinkToFit="0" vertical="bottom" wrapText="0"/>
    </xf>
    <xf borderId="0" fillId="0" fontId="62" numFmtId="0" xfId="0" applyAlignment="1" applyFont="1">
      <alignment readingOrder="0" shrinkToFit="0" vertical="bottom" wrapText="0"/>
    </xf>
    <xf borderId="5" fillId="19" fontId="0" numFmtId="0" xfId="0" applyAlignment="1" applyBorder="1" applyFont="1">
      <alignment horizontal="left" readingOrder="0" shrinkToFit="0" vertical="center" wrapText="0"/>
    </xf>
    <xf borderId="5" fillId="19" fontId="63" numFmtId="0" xfId="0" applyAlignment="1" applyBorder="1" applyFont="1">
      <alignment horizontal="center" readingOrder="0" shrinkToFit="0" vertical="center" wrapText="0"/>
    </xf>
    <xf borderId="5" fillId="19" fontId="2" numFmtId="0" xfId="0" applyAlignment="1" applyBorder="1" applyFont="1">
      <alignment horizontal="left" shrinkToFit="0" vertical="center" wrapText="0"/>
    </xf>
    <xf borderId="5" fillId="19" fontId="2" numFmtId="0" xfId="0" applyAlignment="1" applyBorder="1" applyFont="1">
      <alignment horizontal="left" vertical="center"/>
    </xf>
    <xf borderId="0" fillId="19" fontId="45" numFmtId="0" xfId="0" applyAlignment="1" applyFont="1">
      <alignment horizontal="left" readingOrder="0" shrinkToFit="0" wrapText="0"/>
    </xf>
    <xf borderId="5" fillId="19" fontId="2" numFmtId="0" xfId="0" applyAlignment="1" applyBorder="1" applyFont="1">
      <alignment horizontal="left" readingOrder="0" vertical="top"/>
    </xf>
    <xf borderId="5" fillId="19" fontId="64" numFmtId="0" xfId="0" applyAlignment="1" applyBorder="1" applyFont="1">
      <alignment readingOrder="0" vertical="top"/>
    </xf>
    <xf borderId="5" fillId="19" fontId="2" numFmtId="0" xfId="0" applyAlignment="1" applyBorder="1" applyFont="1">
      <alignment readingOrder="0" vertical="top"/>
    </xf>
    <xf borderId="0" fillId="11" fontId="4" numFmtId="0" xfId="0" applyAlignment="1" applyFont="1">
      <alignment readingOrder="0" shrinkToFit="0" vertical="top" wrapText="0"/>
    </xf>
    <xf borderId="0" fillId="11" fontId="4" numFmtId="0" xfId="0" applyAlignment="1" applyFont="1">
      <alignment horizontal="right" readingOrder="0" shrinkToFit="0" vertical="top" wrapText="0"/>
    </xf>
    <xf borderId="0" fillId="11" fontId="4" numFmtId="166" xfId="0" applyAlignment="1" applyFont="1" applyNumberFormat="1">
      <alignment readingOrder="0" shrinkToFit="0" vertical="top" wrapText="0"/>
    </xf>
    <xf borderId="0" fillId="11" fontId="65" numFmtId="0" xfId="0" applyAlignment="1" applyFont="1">
      <alignment readingOrder="0" shrinkToFit="0" vertical="top" wrapText="0"/>
    </xf>
    <xf borderId="0" fillId="0" fontId="2" numFmtId="0" xfId="0" applyAlignment="1" applyFont="1">
      <alignment vertical="top"/>
    </xf>
    <xf borderId="5" fillId="19" fontId="2" numFmtId="0" xfId="0" applyAlignment="1" applyBorder="1" applyFont="1">
      <alignment horizontal="left" readingOrder="0" vertical="center"/>
    </xf>
    <xf borderId="14" fillId="11" fontId="10" numFmtId="0" xfId="0" applyAlignment="1" applyBorder="1" applyFont="1">
      <alignment vertical="bottom"/>
    </xf>
    <xf borderId="14" fillId="11" fontId="10" numFmtId="0" xfId="0" applyAlignment="1" applyBorder="1" applyFont="1">
      <alignment horizontal="right" vertical="bottom"/>
    </xf>
    <xf borderId="14" fillId="11" fontId="10" numFmtId="166" xfId="0" applyAlignment="1" applyBorder="1" applyFont="1" applyNumberFormat="1">
      <alignment vertical="bottom"/>
    </xf>
    <xf borderId="15" fillId="11" fontId="10" numFmtId="0" xfId="0" applyAlignment="1" applyBorder="1" applyFont="1">
      <alignment vertical="bottom"/>
    </xf>
    <xf borderId="15" fillId="11" fontId="10" numFmtId="0" xfId="0" applyAlignment="1" applyBorder="1" applyFont="1">
      <alignment vertical="bottom"/>
    </xf>
    <xf borderId="14" fillId="11" fontId="10" numFmtId="0" xfId="0" applyAlignment="1" applyBorder="1" applyFont="1">
      <alignment vertical="bottom"/>
    </xf>
    <xf borderId="5" fillId="19" fontId="0" numFmtId="0" xfId="0" applyAlignment="1" applyBorder="1" applyFont="1">
      <alignment horizontal="center" readingOrder="0" shrinkToFit="0" vertical="center" wrapText="0"/>
    </xf>
    <xf borderId="5" fillId="19" fontId="66" numFmtId="0" xfId="0" applyAlignment="1" applyBorder="1" applyFont="1">
      <alignment horizontal="left" readingOrder="0" shrinkToFit="0" vertical="center" wrapText="0"/>
    </xf>
    <xf borderId="0" fillId="11" fontId="10" numFmtId="0" xfId="0" applyAlignment="1" applyFont="1">
      <alignment vertical="bottom"/>
    </xf>
    <xf borderId="0" fillId="11" fontId="10" numFmtId="0" xfId="0" applyAlignment="1" applyFont="1">
      <alignment horizontal="right" vertical="bottom"/>
    </xf>
    <xf borderId="16" fillId="11" fontId="10" numFmtId="0" xfId="0" applyAlignment="1" applyBorder="1" applyFont="1">
      <alignment shrinkToFit="0" vertical="bottom" wrapText="0"/>
    </xf>
    <xf borderId="16" fillId="11" fontId="10" numFmtId="0" xfId="0" applyAlignment="1" applyBorder="1" applyFont="1">
      <alignment vertical="bottom"/>
    </xf>
    <xf borderId="5" fillId="19" fontId="2" numFmtId="0" xfId="0" applyAlignment="1" applyBorder="1" applyFont="1">
      <alignment horizontal="left" readingOrder="0"/>
    </xf>
    <xf borderId="11" fillId="11" fontId="10" numFmtId="0" xfId="0" applyAlignment="1" applyBorder="1" applyFont="1">
      <alignment vertical="bottom"/>
    </xf>
    <xf borderId="11" fillId="11" fontId="10" numFmtId="0" xfId="0" applyAlignment="1" applyBorder="1" applyFont="1">
      <alignment horizontal="right" vertical="bottom"/>
    </xf>
    <xf borderId="17" fillId="11" fontId="10" numFmtId="0" xfId="0" applyAlignment="1" applyBorder="1" applyFont="1">
      <alignment shrinkToFit="0" vertical="bottom" wrapText="0"/>
    </xf>
    <xf borderId="17" fillId="11" fontId="10" numFmtId="0" xfId="0" applyAlignment="1" applyBorder="1" applyFont="1">
      <alignment vertical="bottom"/>
    </xf>
    <xf borderId="0" fillId="0" fontId="10" numFmtId="0" xfId="0" applyAlignment="1" applyFont="1">
      <alignment horizontal="right" vertical="bottom"/>
    </xf>
    <xf borderId="0" fillId="0" fontId="10" numFmtId="0" xfId="0" applyAlignment="1" applyFont="1">
      <alignment vertical="bottom"/>
    </xf>
    <xf borderId="16" fillId="0" fontId="10" numFmtId="0" xfId="0" applyAlignment="1" applyBorder="1" applyFont="1">
      <alignment shrinkToFit="0" vertical="bottom" wrapText="0"/>
    </xf>
    <xf borderId="16" fillId="0" fontId="10" numFmtId="0" xfId="0" applyAlignment="1" applyBorder="1" applyFont="1">
      <alignment vertical="bottom"/>
    </xf>
    <xf borderId="14" fillId="11" fontId="10" numFmtId="0" xfId="0" applyAlignment="1" applyBorder="1" applyFont="1">
      <alignment horizontal="right" vertical="bottom"/>
    </xf>
    <xf borderId="0" fillId="19" fontId="50" numFmtId="0" xfId="0" applyAlignment="1" applyFont="1">
      <alignment horizontal="left" readingOrder="0"/>
    </xf>
    <xf borderId="11" fillId="0" fontId="10" numFmtId="0" xfId="0" applyAlignment="1" applyBorder="1" applyFont="1">
      <alignment horizontal="right" vertical="bottom"/>
    </xf>
    <xf borderId="11" fillId="0" fontId="10" numFmtId="0" xfId="0" applyAlignment="1" applyBorder="1" applyFont="1">
      <alignment vertical="bottom"/>
    </xf>
    <xf borderId="17" fillId="0" fontId="10" numFmtId="0" xfId="0" applyAlignment="1" applyBorder="1" applyFont="1">
      <alignment shrinkToFit="0" vertical="bottom" wrapText="0"/>
    </xf>
    <xf borderId="17" fillId="0" fontId="10" numFmtId="0" xfId="0" applyAlignment="1" applyBorder="1" applyFont="1">
      <alignment vertical="bottom"/>
    </xf>
    <xf borderId="0" fillId="11" fontId="10" numFmtId="0" xfId="0" applyAlignment="1" applyFont="1">
      <alignment vertical="bottom"/>
    </xf>
    <xf borderId="0" fillId="19" fontId="38" numFmtId="0" xfId="0" applyAlignment="1" applyFont="1">
      <alignment readingOrder="0"/>
    </xf>
    <xf borderId="5" fillId="19" fontId="67" numFmtId="0" xfId="0" applyAlignment="1" applyBorder="1" applyFont="1">
      <alignment readingOrder="0"/>
    </xf>
    <xf borderId="18" fillId="11" fontId="10" numFmtId="0" xfId="0" applyAlignment="1" applyBorder="1" applyFont="1">
      <alignment vertical="bottom"/>
    </xf>
    <xf borderId="18" fillId="11" fontId="10" numFmtId="0" xfId="0" applyAlignment="1" applyBorder="1" applyFont="1">
      <alignment horizontal="right" vertical="bottom"/>
    </xf>
    <xf borderId="19" fillId="11" fontId="10" numFmtId="0" xfId="0" applyAlignment="1" applyBorder="1" applyFont="1">
      <alignment shrinkToFit="0" vertical="bottom" wrapText="0"/>
    </xf>
    <xf borderId="19" fillId="11" fontId="10" numFmtId="0" xfId="0" applyAlignment="1" applyBorder="1" applyFont="1">
      <alignment vertical="bottom"/>
    </xf>
    <xf borderId="5" fillId="19" fontId="10" numFmtId="0" xfId="0" applyAlignment="1" applyBorder="1" applyFont="1">
      <alignment vertical="bottom"/>
    </xf>
    <xf borderId="0" fillId="19" fontId="4" numFmtId="0" xfId="0" applyAlignment="1" applyFont="1">
      <alignment horizontal="left" readingOrder="0"/>
    </xf>
    <xf borderId="5" fillId="19" fontId="50" numFmtId="0" xfId="0" applyAlignment="1" applyBorder="1" applyFont="1">
      <alignment horizontal="left" readingOrder="0"/>
    </xf>
    <xf borderId="13" fillId="19" fontId="4" numFmtId="0" xfId="0" applyAlignment="1" applyBorder="1" applyFont="1">
      <alignment readingOrder="0" shrinkToFit="0" vertical="bottom" wrapText="0"/>
    </xf>
    <xf borderId="0" fillId="19" fontId="4" numFmtId="0" xfId="0" applyAlignment="1" applyFont="1">
      <alignment readingOrder="0" shrinkToFit="0" vertical="bottom" wrapText="0"/>
    </xf>
    <xf borderId="5" fillId="19" fontId="2" numFmtId="0" xfId="0" applyAlignment="1" applyBorder="1" applyFont="1">
      <alignment horizontal="center" readingOrder="0" vertical="center"/>
    </xf>
    <xf borderId="0" fillId="19" fontId="11" numFmtId="0" xfId="0" applyAlignment="1" applyFont="1">
      <alignment horizontal="center" readingOrder="0"/>
    </xf>
    <xf borderId="0" fillId="0" fontId="68" numFmtId="0" xfId="0" applyAlignment="1" applyFont="1">
      <alignment shrinkToFit="0" vertical="bottom" wrapText="1"/>
    </xf>
    <xf borderId="0" fillId="19" fontId="2" numFmtId="0" xfId="0" applyAlignment="1" applyFont="1">
      <alignment readingOrder="0"/>
    </xf>
    <xf borderId="0" fillId="19" fontId="69" numFmtId="0" xfId="0" applyAlignment="1" applyFont="1">
      <alignment readingOrder="0"/>
    </xf>
    <xf borderId="0" fillId="19" fontId="2" numFmtId="0" xfId="0" applyAlignment="1" applyFont="1">
      <alignment horizontal="left" readingOrder="0"/>
    </xf>
    <xf borderId="0" fillId="19" fontId="70" numFmtId="0" xfId="0" applyAlignment="1" applyFont="1">
      <alignment readingOrder="0"/>
    </xf>
    <xf borderId="5" fillId="19" fontId="4" numFmtId="0" xfId="0" applyAlignment="1" applyBorder="1" applyFont="1">
      <alignment horizontal="center" readingOrder="0" shrinkToFit="0" vertical="bottom" wrapText="1"/>
    </xf>
    <xf borderId="0" fillId="11" fontId="71" numFmtId="0" xfId="0" applyAlignment="1" applyFont="1">
      <alignment shrinkToFit="0" vertical="bottom" wrapText="1"/>
    </xf>
    <xf borderId="5" fillId="19" fontId="4" numFmtId="0" xfId="0" applyAlignment="1" applyBorder="1" applyFont="1">
      <alignment horizontal="center" readingOrder="0" shrinkToFit="0" vertical="center" wrapText="1"/>
    </xf>
    <xf borderId="0" fillId="11" fontId="10" numFmtId="0" xfId="0" applyAlignment="1" applyFont="1">
      <alignment readingOrder="0" vertical="bottom"/>
    </xf>
    <xf borderId="0" fillId="11" fontId="10" numFmtId="0" xfId="0" applyAlignment="1" applyFont="1">
      <alignment horizontal="right" readingOrder="0" vertical="bottom"/>
    </xf>
    <xf borderId="0" fillId="11" fontId="10" numFmtId="166" xfId="0" applyAlignment="1" applyFont="1" applyNumberFormat="1">
      <alignment readingOrder="0" vertical="bottom"/>
    </xf>
    <xf borderId="0" fillId="11" fontId="72" numFmtId="0" xfId="0" applyAlignment="1" applyFont="1">
      <alignment readingOrder="0" vertical="bottom"/>
    </xf>
    <xf borderId="16" fillId="11" fontId="10" numFmtId="0" xfId="0" applyAlignment="1" applyBorder="1" applyFont="1">
      <alignment readingOrder="0" shrinkToFit="0" vertical="bottom" wrapText="0"/>
    </xf>
    <xf borderId="5" fillId="19" fontId="2" numFmtId="0" xfId="0" applyAlignment="1" applyBorder="1" applyFont="1">
      <alignment horizontal="center" vertical="center"/>
    </xf>
    <xf borderId="5" fillId="19" fontId="2" numFmtId="0" xfId="0" applyAlignment="1" applyBorder="1" applyFont="1">
      <alignment horizontal="center" vertical="center"/>
    </xf>
    <xf borderId="16" fillId="11" fontId="10" numFmtId="0" xfId="0" applyAlignment="1" applyBorder="1" applyFont="1">
      <alignment readingOrder="0" vertical="bottom"/>
    </xf>
    <xf borderId="9" fillId="19" fontId="10" numFmtId="0" xfId="0" applyAlignment="1" applyBorder="1" applyFont="1">
      <alignment vertical="bottom"/>
    </xf>
    <xf borderId="0" fillId="19" fontId="11" numFmtId="0" xfId="0" applyAlignment="1" applyFont="1">
      <alignment horizontal="left" readingOrder="0"/>
    </xf>
    <xf borderId="5" fillId="19" fontId="43" numFmtId="0" xfId="0" applyAlignment="1" applyBorder="1" applyFont="1">
      <alignment horizontal="center"/>
    </xf>
    <xf borderId="0" fillId="0" fontId="10" numFmtId="0" xfId="0" applyAlignment="1" applyFont="1">
      <alignment horizontal="right" readingOrder="0" vertical="bottom"/>
    </xf>
    <xf borderId="16" fillId="0" fontId="10" numFmtId="0" xfId="0" applyAlignment="1" applyBorder="1" applyFont="1">
      <alignment readingOrder="0" shrinkToFit="0" vertical="bottom" wrapText="0"/>
    </xf>
    <xf borderId="5" fillId="19" fontId="10" numFmtId="0" xfId="0" applyAlignment="1" applyBorder="1" applyFont="1">
      <alignment readingOrder="0" vertical="bottom"/>
    </xf>
    <xf borderId="0" fillId="19" fontId="30" numFmtId="0" xfId="0" applyAlignment="1" applyFont="1">
      <alignment readingOrder="0"/>
    </xf>
    <xf quotePrefix="1" borderId="0" fillId="11" fontId="10" numFmtId="0" xfId="0" applyAlignment="1" applyFont="1">
      <alignment readingOrder="0" vertical="bottom"/>
    </xf>
    <xf borderId="0" fillId="19" fontId="2" numFmtId="0" xfId="0" applyFont="1"/>
    <xf borderId="0" fillId="19" fontId="10" numFmtId="0" xfId="0" applyAlignment="1" applyFont="1">
      <alignment readingOrder="0" vertical="bottom"/>
    </xf>
    <xf borderId="5" fillId="11" fontId="10" numFmtId="0" xfId="0" applyAlignment="1" applyBorder="1" applyFont="1">
      <alignment shrinkToFit="0" vertical="bottom" wrapText="0"/>
    </xf>
    <xf borderId="5" fillId="11" fontId="10" numFmtId="0" xfId="0" applyAlignment="1" applyBorder="1" applyFont="1">
      <alignment vertical="bottom"/>
    </xf>
    <xf borderId="0" fillId="19" fontId="30" numFmtId="0" xfId="0" applyAlignment="1" applyFont="1">
      <alignment horizontal="left" readingOrder="0"/>
    </xf>
    <xf borderId="0" fillId="0" fontId="2" numFmtId="0" xfId="0" applyAlignment="1" applyFont="1">
      <alignment horizontal="left"/>
    </xf>
  </cellXfs>
  <cellStyles count="1">
    <cellStyle xfId="0" name="Normal" builtinId="0"/>
  </cellStyles>
  <dxfs count="6">
    <dxf>
      <font/>
      <fill>
        <patternFill patternType="none"/>
      </fill>
      <border/>
    </dxf>
    <dxf>
      <font/>
      <fill>
        <patternFill patternType="solid">
          <fgColor rgb="FFFFFF00"/>
          <bgColor rgb="FFFFFF00"/>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FEF8E3"/>
          <bgColor rgb="FFFEF8E3"/>
        </patternFill>
      </fill>
      <border/>
    </dxf>
    <dxf>
      <font/>
      <fill>
        <patternFill patternType="solid">
          <fgColor rgb="FFE0F7FA"/>
          <bgColor rgb="FFE0F7FA"/>
        </patternFill>
      </fill>
      <border/>
    </dxf>
  </dxfs>
  <tableStyles count="54">
    <tableStyle count="3" pivot="0" name="Coder 6-style">
      <tableStyleElement dxfId="1" type="headerRow"/>
      <tableStyleElement dxfId="2" type="firstRowStripe"/>
      <tableStyleElement dxfId="3" type="secondRowStripe"/>
    </tableStyle>
    <tableStyle count="3" pivot="0" name="Coder 6-style 2">
      <tableStyleElement dxfId="1" type="headerRow"/>
      <tableStyleElement dxfId="2" type="firstRowStripe"/>
      <tableStyleElement dxfId="3" type="secondRowStripe"/>
    </tableStyle>
    <tableStyle count="3" pivot="0" name="Coder 6-style 3">
      <tableStyleElement dxfId="1" type="headerRow"/>
      <tableStyleElement dxfId="2" type="firstRowStripe"/>
      <tableStyleElement dxfId="3" type="secondRowStripe"/>
    </tableStyle>
    <tableStyle count="3" pivot="0" name="Coder 6-style 4">
      <tableStyleElement dxfId="1" type="headerRow"/>
      <tableStyleElement dxfId="2" type="firstRowStripe"/>
      <tableStyleElement dxfId="3" type="secondRowStripe"/>
    </tableStyle>
    <tableStyle count="3" pivot="0" name="Coder 6-style 5">
      <tableStyleElement dxfId="1" type="headerRow"/>
      <tableStyleElement dxfId="2" type="firstRowStripe"/>
      <tableStyleElement dxfId="3" type="secondRowStripe"/>
    </tableStyle>
    <tableStyle count="3" pivot="0" name="Coder 6-style 6">
      <tableStyleElement dxfId="1" type="headerRow"/>
      <tableStyleElement dxfId="2" type="firstRowStripe"/>
      <tableStyleElement dxfId="3" type="secondRowStripe"/>
    </tableStyle>
    <tableStyle count="3" pivot="0" name="Coder 6-style 7">
      <tableStyleElement dxfId="1" type="headerRow"/>
      <tableStyleElement dxfId="2" type="firstRowStripe"/>
      <tableStyleElement dxfId="3" type="secondRowStripe"/>
    </tableStyle>
    <tableStyle count="3" pivot="0" name="Coder 6-style 8">
      <tableStyleElement dxfId="1" type="headerRow"/>
      <tableStyleElement dxfId="2" type="firstRowStripe"/>
      <tableStyleElement dxfId="3" type="secondRowStripe"/>
    </tableStyle>
    <tableStyle count="3" pivot="0" name="Coder 6-style 9">
      <tableStyleElement dxfId="1" type="headerRow"/>
      <tableStyleElement dxfId="2" type="firstRowStripe"/>
      <tableStyleElement dxfId="3" type="secondRowStripe"/>
    </tableStyle>
    <tableStyle count="3" pivot="0" name="Coder 6-style 10">
      <tableStyleElement dxfId="1" type="headerRow"/>
      <tableStyleElement dxfId="2" type="firstRowStripe"/>
      <tableStyleElement dxfId="3" type="secondRowStripe"/>
    </tableStyle>
    <tableStyle count="3" pivot="0" name="Coder 6-style 11">
      <tableStyleElement dxfId="1" type="headerRow"/>
      <tableStyleElement dxfId="2" type="firstRowStripe"/>
      <tableStyleElement dxfId="3" type="secondRowStripe"/>
    </tableStyle>
    <tableStyle count="3" pivot="0" name="Coder 6-style 12">
      <tableStyleElement dxfId="1" type="headerRow"/>
      <tableStyleElement dxfId="2" type="firstRowStripe"/>
      <tableStyleElement dxfId="3" type="secondRowStripe"/>
    </tableStyle>
    <tableStyle count="3" pivot="0" name="Coder 6-style 13">
      <tableStyleElement dxfId="1" type="headerRow"/>
      <tableStyleElement dxfId="2" type="firstRowStripe"/>
      <tableStyleElement dxfId="3" type="secondRowStripe"/>
    </tableStyle>
    <tableStyle count="3" pivot="0" name="Coder 6-style 14">
      <tableStyleElement dxfId="1" type="headerRow"/>
      <tableStyleElement dxfId="2" type="firstRowStripe"/>
      <tableStyleElement dxfId="3" type="secondRowStripe"/>
    </tableStyle>
    <tableStyle count="3" pivot="0" name="Coder 6-style 15">
      <tableStyleElement dxfId="2" type="headerRow"/>
      <tableStyleElement dxfId="2" type="firstRowStripe"/>
      <tableStyleElement dxfId="4" type="secondRowStripe"/>
    </tableStyle>
    <tableStyle count="3" pivot="0" name="Coder 6-style 16">
      <tableStyleElement dxfId="1" type="headerRow"/>
      <tableStyleElement dxfId="2" type="firstRowStripe"/>
      <tableStyleElement dxfId="3" type="secondRowStripe"/>
    </tableStyle>
    <tableStyle count="3" pivot="0" name="Coder 6-style 17">
      <tableStyleElement dxfId="1" type="headerRow"/>
      <tableStyleElement dxfId="2" type="firstRowStripe"/>
      <tableStyleElement dxfId="3" type="secondRowStripe"/>
    </tableStyle>
    <tableStyle count="3" pivot="0" name="Coder 6-style 18">
      <tableStyleElement dxfId="1" type="headerRow"/>
      <tableStyleElement dxfId="2" type="firstRowStripe"/>
      <tableStyleElement dxfId="3" type="secondRowStripe"/>
    </tableStyle>
    <tableStyle count="3" pivot="0" name="Coder 6-style 19">
      <tableStyleElement dxfId="1" type="headerRow"/>
      <tableStyleElement dxfId="2" type="firstRowStripe"/>
      <tableStyleElement dxfId="3" type="secondRowStripe"/>
    </tableStyle>
    <tableStyle count="3" pivot="0" name="Coder 6-style 20">
      <tableStyleElement dxfId="1" type="headerRow"/>
      <tableStyleElement dxfId="2" type="firstRowStripe"/>
      <tableStyleElement dxfId="3" type="secondRowStripe"/>
    </tableStyle>
    <tableStyle count="3" pivot="0" name="Coder 6-style 21">
      <tableStyleElement dxfId="1" type="headerRow"/>
      <tableStyleElement dxfId="2" type="firstRowStripe"/>
      <tableStyleElement dxfId="3" type="secondRowStripe"/>
    </tableStyle>
    <tableStyle count="3" pivot="0" name="Coder 6-style 22">
      <tableStyleElement dxfId="1" type="headerRow"/>
      <tableStyleElement dxfId="2" type="firstRowStripe"/>
      <tableStyleElement dxfId="3" type="secondRowStripe"/>
    </tableStyle>
    <tableStyle count="3" pivot="0" name="Coder 6-style 23">
      <tableStyleElement dxfId="1" type="headerRow"/>
      <tableStyleElement dxfId="2" type="firstRowStripe"/>
      <tableStyleElement dxfId="3" type="secondRowStripe"/>
    </tableStyle>
    <tableStyle count="3" pivot="0" name="Coder 6-style 24">
      <tableStyleElement dxfId="1" type="headerRow"/>
      <tableStyleElement dxfId="2" type="firstRowStripe"/>
      <tableStyleElement dxfId="3" type="secondRowStripe"/>
    </tableStyle>
    <tableStyle count="3" pivot="0" name="Coder 6-style 25">
      <tableStyleElement dxfId="1" type="headerRow"/>
      <tableStyleElement dxfId="2" type="firstRowStripe"/>
      <tableStyleElement dxfId="3" type="secondRowStripe"/>
    </tableStyle>
    <tableStyle count="3" pivot="0" name="Coder 6-style 26">
      <tableStyleElement dxfId="1" type="headerRow"/>
      <tableStyleElement dxfId="2" type="firstRowStripe"/>
      <tableStyleElement dxfId="3" type="secondRowStripe"/>
    </tableStyle>
    <tableStyle count="3" pivot="0" name="Coder 6-style 27">
      <tableStyleElement dxfId="1" type="headerRow"/>
      <tableStyleElement dxfId="2" type="firstRowStripe"/>
      <tableStyleElement dxfId="3" type="secondRowStripe"/>
    </tableStyle>
    <tableStyle count="3" pivot="0" name="Coder 6-style 28">
      <tableStyleElement dxfId="1" type="headerRow"/>
      <tableStyleElement dxfId="2" type="firstRowStripe"/>
      <tableStyleElement dxfId="3" type="secondRowStripe"/>
    </tableStyle>
    <tableStyle count="3" pivot="0" name="Coder 6-style 29">
      <tableStyleElement dxfId="1" type="headerRow"/>
      <tableStyleElement dxfId="2" type="firstRowStripe"/>
      <tableStyleElement dxfId="3" type="secondRowStripe"/>
    </tableStyle>
    <tableStyle count="3" pivot="0" name="Coder 6-style 30">
      <tableStyleElement dxfId="1" type="headerRow"/>
      <tableStyleElement dxfId="2" type="firstRowStripe"/>
      <tableStyleElement dxfId="3" type="secondRowStripe"/>
    </tableStyle>
    <tableStyle count="3" pivot="0" name="Coder 6-style 31">
      <tableStyleElement dxfId="1" type="headerRow"/>
      <tableStyleElement dxfId="2" type="firstRowStripe"/>
      <tableStyleElement dxfId="3" type="secondRowStripe"/>
    </tableStyle>
    <tableStyle count="3" pivot="0" name="Coder 6-style 32">
      <tableStyleElement dxfId="1" type="headerRow"/>
      <tableStyleElement dxfId="2" type="firstRowStripe"/>
      <tableStyleElement dxfId="3" type="secondRowStripe"/>
    </tableStyle>
    <tableStyle count="3" pivot="0" name="Coder 6-style 33">
      <tableStyleElement dxfId="1" type="headerRow"/>
      <tableStyleElement dxfId="2" type="firstRowStripe"/>
      <tableStyleElement dxfId="3" type="secondRowStripe"/>
    </tableStyle>
    <tableStyle count="3" pivot="0" name="Coder 6-style 34">
      <tableStyleElement dxfId="1" type="headerRow"/>
      <tableStyleElement dxfId="2" type="firstRowStripe"/>
      <tableStyleElement dxfId="3" type="secondRowStripe"/>
    </tableStyle>
    <tableStyle count="3" pivot="0" name="Coder 6-style 35">
      <tableStyleElement dxfId="1" type="headerRow"/>
      <tableStyleElement dxfId="2" type="firstRowStripe"/>
      <tableStyleElement dxfId="3" type="secondRowStripe"/>
    </tableStyle>
    <tableStyle count="3" pivot="0" name="Coder 6-style 36">
      <tableStyleElement dxfId="1" type="headerRow"/>
      <tableStyleElement dxfId="2" type="firstRowStripe"/>
      <tableStyleElement dxfId="3" type="secondRowStripe"/>
    </tableStyle>
    <tableStyle count="3" pivot="0" name="Coder 6-style 37">
      <tableStyleElement dxfId="1" type="headerRow"/>
      <tableStyleElement dxfId="2" type="firstRowStripe"/>
      <tableStyleElement dxfId="3" type="secondRowStripe"/>
    </tableStyle>
    <tableStyle count="3" pivot="0" name="Coder 6-style 38">
      <tableStyleElement dxfId="1" type="headerRow"/>
      <tableStyleElement dxfId="2" type="firstRowStripe"/>
      <tableStyleElement dxfId="3" type="secondRowStripe"/>
    </tableStyle>
    <tableStyle count="3" pivot="0" name="Coder 6-style 39">
      <tableStyleElement dxfId="1" type="headerRow"/>
      <tableStyleElement dxfId="2" type="firstRowStripe"/>
      <tableStyleElement dxfId="3" type="secondRowStripe"/>
    </tableStyle>
    <tableStyle count="3" pivot="0" name="Coder 6-style 40">
      <tableStyleElement dxfId="1" type="headerRow"/>
      <tableStyleElement dxfId="2" type="firstRowStripe"/>
      <tableStyleElement dxfId="3" type="secondRowStripe"/>
    </tableStyle>
    <tableStyle count="3" pivot="0" name="Coder 6-style 41">
      <tableStyleElement dxfId="1" type="headerRow"/>
      <tableStyleElement dxfId="2" type="firstRowStripe"/>
      <tableStyleElement dxfId="3" type="secondRowStripe"/>
    </tableStyle>
    <tableStyle count="3" pivot="0" name="Coder 6-style 42">
      <tableStyleElement dxfId="1" type="headerRow"/>
      <tableStyleElement dxfId="2" type="firstRowStripe"/>
      <tableStyleElement dxfId="3" type="secondRowStripe"/>
    </tableStyle>
    <tableStyle count="3" pivot="0" name="Coder 6-style 43">
      <tableStyleElement dxfId="2" type="headerRow"/>
      <tableStyleElement dxfId="2" type="firstRowStripe"/>
      <tableStyleElement dxfId="5" type="secondRowStripe"/>
    </tableStyle>
    <tableStyle count="3" pivot="0" name="Coder 6-style 44">
      <tableStyleElement dxfId="1" type="headerRow"/>
      <tableStyleElement dxfId="2" type="firstRowStripe"/>
      <tableStyleElement dxfId="3" type="secondRowStripe"/>
    </tableStyle>
    <tableStyle count="3" pivot="0" name="Coder 6-style 45">
      <tableStyleElement dxfId="1" type="headerRow"/>
      <tableStyleElement dxfId="2" type="firstRowStripe"/>
      <tableStyleElement dxfId="3" type="secondRowStripe"/>
    </tableStyle>
    <tableStyle count="3" pivot="0" name="Coder 6-style 46">
      <tableStyleElement dxfId="1" type="headerRow"/>
      <tableStyleElement dxfId="2" type="firstRowStripe"/>
      <tableStyleElement dxfId="3" type="secondRowStripe"/>
    </tableStyle>
    <tableStyle count="3" pivot="0" name="Coder 6-style 47">
      <tableStyleElement dxfId="1" type="headerRow"/>
      <tableStyleElement dxfId="2" type="firstRowStripe"/>
      <tableStyleElement dxfId="3" type="secondRowStripe"/>
    </tableStyle>
    <tableStyle count="3" pivot="0" name="Coder 6-style 48">
      <tableStyleElement dxfId="1" type="headerRow"/>
      <tableStyleElement dxfId="2" type="firstRowStripe"/>
      <tableStyleElement dxfId="3" type="secondRowStripe"/>
    </tableStyle>
    <tableStyle count="3" pivot="0" name="Coder 6-style 49">
      <tableStyleElement dxfId="1" type="headerRow"/>
      <tableStyleElement dxfId="2" type="firstRowStripe"/>
      <tableStyleElement dxfId="3" type="secondRowStripe"/>
    </tableStyle>
    <tableStyle count="3" pivot="0" name="Coder 6-style 50">
      <tableStyleElement dxfId="1" type="headerRow"/>
      <tableStyleElement dxfId="2" type="firstRowStripe"/>
      <tableStyleElement dxfId="3" type="secondRowStripe"/>
    </tableStyle>
    <tableStyle count="3" pivot="0" name="Coder 6-style 51">
      <tableStyleElement dxfId="1" type="headerRow"/>
      <tableStyleElement dxfId="2" type="firstRowStripe"/>
      <tableStyleElement dxfId="3" type="secondRowStripe"/>
    </tableStyle>
    <tableStyle count="3" pivot="0" name="Coder 6-style 52">
      <tableStyleElement dxfId="1" type="headerRow"/>
      <tableStyleElement dxfId="2" type="firstRowStripe"/>
      <tableStyleElement dxfId="3" type="secondRowStripe"/>
    </tableStyle>
    <tableStyle count="3" pivot="0" name="Coder 6-style 53">
      <tableStyleElement dxfId="1" type="headerRow"/>
      <tableStyleElement dxfId="2" type="firstRowStripe"/>
      <tableStyleElement dxfId="3" type="secondRowStripe"/>
    </tableStyle>
    <tableStyle count="3" pivot="0" name="Coder 6-style 54">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65:Y65"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56:Y56" displayName="Table_10" id="10">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10"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105:B106" displayName="Table_11" id="11">
  <tableColumns count="2">
    <tableColumn name="Column1" id="1"/>
    <tableColumn name="Column2" id="2"/>
  </tableColumns>
  <tableStyleInfo name="Coder 6-style 11"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A104:Y104" displayName="Table_12" id="12">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12"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122:Y122" displayName="Table_13" id="13">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13"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A117:Y117" displayName="Table_14" id="14">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14"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A5:Y5" displayName="Table_15" id="15">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15"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A147:Y147" displayName="Table_16" id="16">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16"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A194:Y194" displayName="Table_17" id="17">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17"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A189:Y189" displayName="Table_18" id="18">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18"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193:Y193" displayName="Table_19" id="19">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19"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61:Y61" displayName="Table_2" id="2">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2" showColumnStripes="0" showFirstColumn="1" showLastColumn="1" showRowStripes="1"/>
  <extLst>
    <ext uri="GoogleSheetsCustomDataVersion1">
      <go:sheetsCustomData xmlns:go="http://customooxmlschemas.google.com/" headerRowCount="1"/>
    </ext>
  </extLst>
</table>
</file>

<file path=xl/tables/table20.xml><?xml version="1.0" encoding="utf-8"?>
<table xmlns="http://schemas.openxmlformats.org/spreadsheetml/2006/main" headerRowCount="0" ref="A161:Y161" displayName="Table_20" id="20">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20"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71:Y71" displayName="Table_21" id="2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21"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A84:Y84" displayName="Table_22" id="22">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22"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A94:Y94" displayName="Table_23" id="23">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23"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A92:Y92" displayName="Table_24" id="24">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24"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A103:Y103" displayName="Table_25" id="25">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25"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A176:Y176" displayName="Table_26" id="26">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26"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A31:Y31" displayName="Table_27" id="27">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27"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A27:Y27" displayName="Table_28" id="28">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28"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140:Y140" displayName="Table_29" id="29">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29"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50:Y150" displayName="Table_3" id="3">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3" showColumnStripes="0" showFirstColumn="1" showLastColumn="1" showRowStripes="1"/>
  <extLst>
    <ext uri="GoogleSheetsCustomDataVersion1">
      <go:sheetsCustomData xmlns:go="http://customooxmlschemas.google.com/" headerRowCount="1"/>
    </ext>
  </extLst>
</table>
</file>

<file path=xl/tables/table30.xml><?xml version="1.0" encoding="utf-8"?>
<table xmlns="http://schemas.openxmlformats.org/spreadsheetml/2006/main" headerRowCount="0" ref="A214:Y214" displayName="Table_30" id="30">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30"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A216:Y216" displayName="Table_31" id="3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31" showColumnStripes="0" showFirstColumn="1" showLastColumn="1" showRowStripes="1"/>
  <extLst>
    <ext uri="GoogleSheetsCustomDataVersion1">
      <go:sheetsCustomData xmlns:go="http://customooxmlschemas.google.com/" headerRowCount="1"/>
    </ext>
  </extLst>
</table>
</file>

<file path=xl/tables/table32.xml><?xml version="1.0" encoding="utf-8"?>
<table xmlns="http://schemas.openxmlformats.org/spreadsheetml/2006/main" headerRowCount="0" ref="A222:Y222" displayName="Table_32" id="32">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32" showColumnStripes="0" showFirstColumn="1" showLastColumn="1" showRowStripes="1"/>
  <extLst>
    <ext uri="GoogleSheetsCustomDataVersion1">
      <go:sheetsCustomData xmlns:go="http://customooxmlschemas.google.com/" headerRowCount="1"/>
    </ext>
  </extLst>
</table>
</file>

<file path=xl/tables/table33.xml><?xml version="1.0" encoding="utf-8"?>
<table xmlns="http://schemas.openxmlformats.org/spreadsheetml/2006/main" headerRowCount="0" ref="A225:Y225" displayName="Table_33" id="33">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33"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A192:Y192" displayName="Table_34" id="34">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34"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A208:Y208" displayName="Table_35" id="35">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35"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A207:Y207" displayName="Table_36" id="36">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36"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A76:Y76" displayName="Table_37" id="37">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37"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A170:Y170" displayName="Table_38" id="38">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38"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A217:Y217" displayName="Table_39" id="39">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39"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56:Y156" displayName="Table_4" id="4">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4"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203:B203" displayName="Table_40" id="40">
  <tableColumns count="2">
    <tableColumn name="Column1" id="1"/>
    <tableColumn name="Column2" id="2"/>
  </tableColumns>
  <tableStyleInfo name="Coder 6-style 40"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C203:Y203" displayName="Table_41" id="41">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der 6-style 41" showColumnStripes="0" showFirstColumn="1" showLastColumn="1" showRowStripes="1"/>
  <extLst>
    <ext uri="GoogleSheetsCustomDataVersion1">
      <go:sheetsCustomData xmlns:go="http://customooxmlschemas.google.com/" headerRowCount="1"/>
    </ext>
  </extLst>
</table>
</file>

<file path=xl/tables/table42.xml><?xml version="1.0" encoding="utf-8"?>
<table xmlns="http://schemas.openxmlformats.org/spreadsheetml/2006/main" headerRowCount="0" ref="A132:Y132" displayName="Table_42" id="42">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42" showColumnStripes="0" showFirstColumn="1" showLastColumn="1" showRowStripes="1"/>
  <extLst>
    <ext uri="GoogleSheetsCustomDataVersion1">
      <go:sheetsCustomData xmlns:go="http://customooxmlschemas.google.com/" headerRowCount="1"/>
    </ext>
  </extLst>
</table>
</file>

<file path=xl/tables/table43.xml><?xml version="1.0" encoding="utf-8"?>
<table xmlns="http://schemas.openxmlformats.org/spreadsheetml/2006/main" headerRowCount="0" ref="A107:Y107" displayName="Table_43" id="43">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43" showColumnStripes="0" showFirstColumn="1" showLastColumn="1" showRowStripes="1"/>
  <extLst>
    <ext uri="GoogleSheetsCustomDataVersion1">
      <go:sheetsCustomData xmlns:go="http://customooxmlschemas.google.com/" headerRowCount="1"/>
    </ext>
  </extLst>
</table>
</file>

<file path=xl/tables/table44.xml><?xml version="1.0" encoding="utf-8"?>
<table xmlns="http://schemas.openxmlformats.org/spreadsheetml/2006/main" headerRowCount="0" ref="A123:Y123" displayName="Table_44" id="44">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44"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C106:Y106" displayName="Table_45" id="45">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der 6-style 45"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A96:Y96" displayName="Table_46" id="46">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46"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A109:Y109" displayName="Table_47" id="47">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47"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A97:Y97" displayName="Table_48" id="48">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48"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105:Y105" displayName="Table_49" id="49">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der 6-style 49"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75:Y175" displayName="Table_5" id="5">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5"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113:Y113" displayName="Table_50" id="50">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50"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A108:X108" displayName="Table_51" id="51">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Coder 6-style 51" showColumnStripes="0" showFirstColumn="1" showLastColumn="1" showRowStripes="1"/>
  <extLst>
    <ext uri="GoogleSheetsCustomDataVersion1">
      <go:sheetsCustomData xmlns:go="http://customooxmlschemas.google.com/" headerRowCount="1"/>
    </ext>
  </extLst>
</table>
</file>

<file path=xl/tables/table52.xml><?xml version="1.0" encoding="utf-8"?>
<table xmlns="http://schemas.openxmlformats.org/spreadsheetml/2006/main" headerRowCount="0" ref="A167:Y167" displayName="Table_52" id="52">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52" showColumnStripes="0" showFirstColumn="1" showLastColumn="1" showRowStripes="1"/>
  <extLst>
    <ext uri="GoogleSheetsCustomDataVersion1">
      <go:sheetsCustomData xmlns:go="http://customooxmlschemas.google.com/" headerRowCount="1"/>
    </ext>
  </extLst>
</table>
</file>

<file path=xl/tables/table53.xml><?xml version="1.0" encoding="utf-8"?>
<table xmlns="http://schemas.openxmlformats.org/spreadsheetml/2006/main" headerRowCount="0" ref="A98:Y98" displayName="Table_53" id="53">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53" showColumnStripes="0" showFirstColumn="1" showLastColumn="1" showRowStripes="1"/>
  <extLst>
    <ext uri="GoogleSheetsCustomDataVersion1">
      <go:sheetsCustomData xmlns:go="http://customooxmlschemas.google.com/" headerRowCount="1"/>
    </ext>
  </extLst>
</table>
</file>

<file path=xl/tables/table54.xml><?xml version="1.0" encoding="utf-8"?>
<table xmlns="http://schemas.openxmlformats.org/spreadsheetml/2006/main" headerRowCount="0" ref="A145:Y145" displayName="Table_54" id="54">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54"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163:Y163" displayName="Table_6" id="6">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6"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169:Y169" displayName="Table_7" id="7">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7"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165:Y165" displayName="Table_8" id="8">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8"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162:Y162" displayName="Table_9" id="9">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der 6-style 9"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tirto.id/jbtf-akses-bagi-penyandang-disabilitas-di-pemilu-belum-memadai-dmt8" TargetMode="External"/><Relationship Id="rId3" Type="http://schemas.openxmlformats.org/officeDocument/2006/relationships/hyperlink" Target="http://seattlechildren.org" TargetMode="External"/><Relationship Id="rId4" Type="http://schemas.openxmlformats.org/officeDocument/2006/relationships/drawing" Target="../drawings/drawing3.xml"/><Relationship Id="rId5"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liputan6.com/showbiz/read/3967404/putri-indonesia-lingkungan-2019-rayakan-ultah-bersama-penyandang-disabilitas" TargetMode="External"/><Relationship Id="rId3" Type="http://schemas.openxmlformats.org/officeDocument/2006/relationships/hyperlink" Target="https://tirto.id/link-live-streaming-my-only-one-episode-75-76-trans-tv-29-agustus-ehcK" TargetMode="External"/><Relationship Id="rId4" Type="http://schemas.openxmlformats.org/officeDocument/2006/relationships/hyperlink" Target="https://nasional.republika.co.id/berita/q17b8w335/ulama-minta-pelaku-pelempar-sperma-disembuhkan" TargetMode="External"/><Relationship Id="rId5" Type="http://schemas.openxmlformats.org/officeDocument/2006/relationships/hyperlink" Target="https://senggang.republika.co.id/berita/q1f0i7335/drama-musikal-jypa-beri-dukungan-untuk-korban-kdrt" TargetMode="External"/><Relationship Id="rId6" Type="http://schemas.openxmlformats.org/officeDocument/2006/relationships/drawing" Target="../drawings/drawing4.xml"/><Relationship Id="rId7"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genderspectrum.org" TargetMode="External"/><Relationship Id="rId3" Type="http://schemas.openxmlformats.org/officeDocument/2006/relationships/drawing" Target="../drawings/drawing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84" Type="http://schemas.openxmlformats.org/officeDocument/2006/relationships/table" Target="../tables/table26.xml"/><Relationship Id="rId83" Type="http://schemas.openxmlformats.org/officeDocument/2006/relationships/table" Target="../tables/table25.xml"/><Relationship Id="rId86" Type="http://schemas.openxmlformats.org/officeDocument/2006/relationships/table" Target="../tables/table28.xml"/><Relationship Id="rId85" Type="http://schemas.openxmlformats.org/officeDocument/2006/relationships/table" Target="../tables/table27.xml"/><Relationship Id="rId88" Type="http://schemas.openxmlformats.org/officeDocument/2006/relationships/table" Target="../tables/table30.xml"/><Relationship Id="rId87" Type="http://schemas.openxmlformats.org/officeDocument/2006/relationships/table" Target="../tables/table29.xml"/><Relationship Id="rId89" Type="http://schemas.openxmlformats.org/officeDocument/2006/relationships/table" Target="../tables/table31.xml"/><Relationship Id="rId80" Type="http://schemas.openxmlformats.org/officeDocument/2006/relationships/table" Target="../tables/table22.xml"/><Relationship Id="rId82" Type="http://schemas.openxmlformats.org/officeDocument/2006/relationships/table" Target="../tables/table24.xml"/><Relationship Id="rId81" Type="http://schemas.openxmlformats.org/officeDocument/2006/relationships/table" Target="../tables/table23.xml"/><Relationship Id="rId1" Type="http://schemas.openxmlformats.org/officeDocument/2006/relationships/comments" Target="../comments6.xml"/><Relationship Id="rId107" Type="http://schemas.openxmlformats.org/officeDocument/2006/relationships/table" Target="../tables/table49.xml"/><Relationship Id="rId2" Type="http://schemas.openxmlformats.org/officeDocument/2006/relationships/hyperlink" Target="https://news.detik.com/berita/d-4617341/penjara-bikin-napi-jadi-gay-pernah-menyulut-kontroversi-di-as" TargetMode="External"/><Relationship Id="rId106" Type="http://schemas.openxmlformats.org/officeDocument/2006/relationships/table" Target="../tables/table48.xml"/><Relationship Id="rId3" Type="http://schemas.openxmlformats.org/officeDocument/2006/relationships/drawing" Target="../drawings/drawing6.xml"/><Relationship Id="rId105" Type="http://schemas.openxmlformats.org/officeDocument/2006/relationships/table" Target="../tables/table47.xml"/><Relationship Id="rId4" Type="http://schemas.openxmlformats.org/officeDocument/2006/relationships/vmlDrawing" Target="../drawings/vmlDrawing6.vml"/><Relationship Id="rId104" Type="http://schemas.openxmlformats.org/officeDocument/2006/relationships/table" Target="../tables/table46.xml"/><Relationship Id="rId109" Type="http://schemas.openxmlformats.org/officeDocument/2006/relationships/table" Target="../tables/table51.xml"/><Relationship Id="rId108" Type="http://schemas.openxmlformats.org/officeDocument/2006/relationships/table" Target="../tables/table50.xml"/><Relationship Id="rId103" Type="http://schemas.openxmlformats.org/officeDocument/2006/relationships/table" Target="../tables/table45.xml"/><Relationship Id="rId102" Type="http://schemas.openxmlformats.org/officeDocument/2006/relationships/table" Target="../tables/table44.xml"/><Relationship Id="rId101" Type="http://schemas.openxmlformats.org/officeDocument/2006/relationships/table" Target="../tables/table43.xml"/><Relationship Id="rId100" Type="http://schemas.openxmlformats.org/officeDocument/2006/relationships/table" Target="../tables/table42.xml"/><Relationship Id="rId73" Type="http://schemas.openxmlformats.org/officeDocument/2006/relationships/table" Target="../tables/table15.xml"/><Relationship Id="rId72" Type="http://schemas.openxmlformats.org/officeDocument/2006/relationships/table" Target="../tables/table14.xml"/><Relationship Id="rId75" Type="http://schemas.openxmlformats.org/officeDocument/2006/relationships/table" Target="../tables/table17.xml"/><Relationship Id="rId74" Type="http://schemas.openxmlformats.org/officeDocument/2006/relationships/table" Target="../tables/table16.xml"/><Relationship Id="rId77" Type="http://schemas.openxmlformats.org/officeDocument/2006/relationships/table" Target="../tables/table19.xml"/><Relationship Id="rId76" Type="http://schemas.openxmlformats.org/officeDocument/2006/relationships/table" Target="../tables/table18.xml"/><Relationship Id="rId79" Type="http://schemas.openxmlformats.org/officeDocument/2006/relationships/table" Target="../tables/table21.xml"/><Relationship Id="rId78" Type="http://schemas.openxmlformats.org/officeDocument/2006/relationships/table" Target="../tables/table20.xml"/><Relationship Id="rId71" Type="http://schemas.openxmlformats.org/officeDocument/2006/relationships/table" Target="../tables/table13.xml"/><Relationship Id="rId70" Type="http://schemas.openxmlformats.org/officeDocument/2006/relationships/table" Target="../tables/table12.xml"/><Relationship Id="rId62" Type="http://schemas.openxmlformats.org/officeDocument/2006/relationships/table" Target="../tables/table4.xml"/><Relationship Id="rId61" Type="http://schemas.openxmlformats.org/officeDocument/2006/relationships/table" Target="../tables/table3.xml"/><Relationship Id="rId64" Type="http://schemas.openxmlformats.org/officeDocument/2006/relationships/table" Target="../tables/table6.xml"/><Relationship Id="rId63" Type="http://schemas.openxmlformats.org/officeDocument/2006/relationships/table" Target="../tables/table5.xml"/><Relationship Id="rId66" Type="http://schemas.openxmlformats.org/officeDocument/2006/relationships/table" Target="../tables/table8.xml"/><Relationship Id="rId65" Type="http://schemas.openxmlformats.org/officeDocument/2006/relationships/table" Target="../tables/table7.xml"/><Relationship Id="rId68" Type="http://schemas.openxmlformats.org/officeDocument/2006/relationships/table" Target="../tables/table10.xml"/><Relationship Id="rId67" Type="http://schemas.openxmlformats.org/officeDocument/2006/relationships/table" Target="../tables/table9.xml"/><Relationship Id="rId60" Type="http://schemas.openxmlformats.org/officeDocument/2006/relationships/table" Target="../tables/table2.xml"/><Relationship Id="rId69" Type="http://schemas.openxmlformats.org/officeDocument/2006/relationships/table" Target="../tables/table11.xml"/><Relationship Id="rId95" Type="http://schemas.openxmlformats.org/officeDocument/2006/relationships/table" Target="../tables/table37.xml"/><Relationship Id="rId94" Type="http://schemas.openxmlformats.org/officeDocument/2006/relationships/table" Target="../tables/table36.xml"/><Relationship Id="rId97" Type="http://schemas.openxmlformats.org/officeDocument/2006/relationships/table" Target="../tables/table39.xml"/><Relationship Id="rId96" Type="http://schemas.openxmlformats.org/officeDocument/2006/relationships/table" Target="../tables/table38.xml"/><Relationship Id="rId99" Type="http://schemas.openxmlformats.org/officeDocument/2006/relationships/table" Target="../tables/table41.xml"/><Relationship Id="rId98" Type="http://schemas.openxmlformats.org/officeDocument/2006/relationships/table" Target="../tables/table40.xml"/><Relationship Id="rId91" Type="http://schemas.openxmlformats.org/officeDocument/2006/relationships/table" Target="../tables/table33.xml"/><Relationship Id="rId90" Type="http://schemas.openxmlformats.org/officeDocument/2006/relationships/table" Target="../tables/table32.xml"/><Relationship Id="rId93" Type="http://schemas.openxmlformats.org/officeDocument/2006/relationships/table" Target="../tables/table35.xml"/><Relationship Id="rId92" Type="http://schemas.openxmlformats.org/officeDocument/2006/relationships/table" Target="../tables/table34.xml"/><Relationship Id="rId59" Type="http://schemas.openxmlformats.org/officeDocument/2006/relationships/table" Target="../tables/table1.xml"/><Relationship Id="rId110" Type="http://schemas.openxmlformats.org/officeDocument/2006/relationships/table" Target="../tables/table52.xml"/><Relationship Id="rId112" Type="http://schemas.openxmlformats.org/officeDocument/2006/relationships/table" Target="../tables/table54.xml"/><Relationship Id="rId111" Type="http://schemas.openxmlformats.org/officeDocument/2006/relationships/table" Target="../tables/table53.xml"/></Relationships>
</file>

<file path=xl/worksheets/_rels/sheet7.xml.rels><?xml version="1.0" encoding="UTF-8" standalone="yes"?><Relationships xmlns="http://schemas.openxmlformats.org/package/2006/relationships"><Relationship Id="rId190" Type="http://schemas.openxmlformats.org/officeDocument/2006/relationships/hyperlink" Target="http://tribunnews.com" TargetMode="External"/><Relationship Id="rId194" Type="http://schemas.openxmlformats.org/officeDocument/2006/relationships/hyperlink" Target="http://suara.com" TargetMode="External"/><Relationship Id="rId193" Type="http://schemas.openxmlformats.org/officeDocument/2006/relationships/hyperlink" Target="http://cnnindonesia.com" TargetMode="External"/><Relationship Id="rId192" Type="http://schemas.openxmlformats.org/officeDocument/2006/relationships/hyperlink" Target="https://tirto.id/kpu-diminta-lebih-perhatian-ke-pemilih-penyandang-disabilitas-dg2s" TargetMode="External"/><Relationship Id="rId191" Type="http://schemas.openxmlformats.org/officeDocument/2006/relationships/hyperlink" Target="http://tirto.id" TargetMode="External"/><Relationship Id="rId187" Type="http://schemas.openxmlformats.org/officeDocument/2006/relationships/hyperlink" Target="https://sport.tempo.co/read/1172315/ada-penghargaan-atlet-disabilitas-di-anugerah-olahraga-siwo-pwi" TargetMode="External"/><Relationship Id="rId186" Type="http://schemas.openxmlformats.org/officeDocument/2006/relationships/hyperlink" Target="http://tempo.co" TargetMode="External"/><Relationship Id="rId185" Type="http://schemas.openxmlformats.org/officeDocument/2006/relationships/hyperlink" Target="http://detik.com" TargetMode="External"/><Relationship Id="rId184" Type="http://schemas.openxmlformats.org/officeDocument/2006/relationships/hyperlink" Target="http://tirto.id" TargetMode="External"/><Relationship Id="rId189" Type="http://schemas.openxmlformats.org/officeDocument/2006/relationships/hyperlink" Target="https://difabel.tempo.co/read/1180487/ternyata-anak-jenius-masuk-anak-berkebutuhan-khusus" TargetMode="External"/><Relationship Id="rId188" Type="http://schemas.openxmlformats.org/officeDocument/2006/relationships/hyperlink" Target="http://tempo.co" TargetMode="External"/><Relationship Id="rId183" Type="http://schemas.openxmlformats.org/officeDocument/2006/relationships/hyperlink" Target="https://regional.kompas.com/read/2019/02/13/15354131/pengidap-gangguang-jiwa-mengamuk-kades-dan-warganya-dibacok" TargetMode="External"/><Relationship Id="rId182" Type="http://schemas.openxmlformats.org/officeDocument/2006/relationships/hyperlink" Target="http://kompas.com" TargetMode="External"/><Relationship Id="rId181" Type="http://schemas.openxmlformats.org/officeDocument/2006/relationships/hyperlink" Target="https://www.liputan6.com/health/read/3890746/kusta-bukan-penyakit-kutukan-dari-dewa-juga-bukan-karena-keturunan" TargetMode="External"/><Relationship Id="rId180" Type="http://schemas.openxmlformats.org/officeDocument/2006/relationships/hyperlink" Target="http://liputan6.com" TargetMode="External"/><Relationship Id="rId176" Type="http://schemas.openxmlformats.org/officeDocument/2006/relationships/hyperlink" Target="http://okezone.com" TargetMode="External"/><Relationship Id="rId297" Type="http://schemas.openxmlformats.org/officeDocument/2006/relationships/hyperlink" Target="http://detik.com" TargetMode="External"/><Relationship Id="rId175" Type="http://schemas.openxmlformats.org/officeDocument/2006/relationships/hyperlink" Target="http://detik.com" TargetMode="External"/><Relationship Id="rId296" Type="http://schemas.openxmlformats.org/officeDocument/2006/relationships/hyperlink" Target="http://suara.com" TargetMode="External"/><Relationship Id="rId174" Type="http://schemas.openxmlformats.org/officeDocument/2006/relationships/hyperlink" Target="http://tirto.id" TargetMode="External"/><Relationship Id="rId295" Type="http://schemas.openxmlformats.org/officeDocument/2006/relationships/hyperlink" Target="http://cnnindonesia.com" TargetMode="External"/><Relationship Id="rId173" Type="http://schemas.openxmlformats.org/officeDocument/2006/relationships/hyperlink" Target="http://detik.com" TargetMode="External"/><Relationship Id="rId294" Type="http://schemas.openxmlformats.org/officeDocument/2006/relationships/hyperlink" Target="http://kompas.com" TargetMode="External"/><Relationship Id="rId179" Type="http://schemas.openxmlformats.org/officeDocument/2006/relationships/hyperlink" Target="https://www.suara.com/lifestyle/2019/02/01/133702/kabar-baik-machu-piccu-bisa-diakses-pengunjung-berkursi-roda" TargetMode="External"/><Relationship Id="rId178" Type="http://schemas.openxmlformats.org/officeDocument/2006/relationships/hyperlink" Target="http://suara.com" TargetMode="External"/><Relationship Id="rId299" Type="http://schemas.openxmlformats.org/officeDocument/2006/relationships/hyperlink" Target="http://suara.com" TargetMode="External"/><Relationship Id="rId177" Type="http://schemas.openxmlformats.org/officeDocument/2006/relationships/hyperlink" Target="http://tribunnews.com" TargetMode="External"/><Relationship Id="rId298" Type="http://schemas.openxmlformats.org/officeDocument/2006/relationships/hyperlink" Target="http://tempo.co" TargetMode="External"/><Relationship Id="rId198" Type="http://schemas.openxmlformats.org/officeDocument/2006/relationships/hyperlink" Target="http://www.tribunnews.com/section/2019/03/10/dibuka-hingga-17-maret-simak-alur-pendaftaran-rekrutmen-bersama-bumn-2019" TargetMode="External"/><Relationship Id="rId197" Type="http://schemas.openxmlformats.org/officeDocument/2006/relationships/hyperlink" Target="http://tribunnews.com" TargetMode="External"/><Relationship Id="rId196" Type="http://schemas.openxmlformats.org/officeDocument/2006/relationships/hyperlink" Target="http://tirto.id" TargetMode="External"/><Relationship Id="rId195" Type="http://schemas.openxmlformats.org/officeDocument/2006/relationships/hyperlink" Target="http://detik.com" TargetMode="External"/><Relationship Id="rId199" Type="http://schemas.openxmlformats.org/officeDocument/2006/relationships/hyperlink" Target="http://detik.com" TargetMode="External"/><Relationship Id="rId150" Type="http://schemas.openxmlformats.org/officeDocument/2006/relationships/hyperlink" Target="https://nasional.kompas.com/read/2019/02/27/09234291/wapres-kalla-ingatkan-agar-hak-kependudukan-penghayat-kepercayaan-tak" TargetMode="External"/><Relationship Id="rId271" Type="http://schemas.openxmlformats.org/officeDocument/2006/relationships/hyperlink" Target="http://detik.com" TargetMode="External"/><Relationship Id="rId392" Type="http://schemas.openxmlformats.org/officeDocument/2006/relationships/hyperlink" Target="http://tribunnews.com" TargetMode="External"/><Relationship Id="rId270" Type="http://schemas.openxmlformats.org/officeDocument/2006/relationships/hyperlink" Target="http://tirto.id" TargetMode="External"/><Relationship Id="rId391" Type="http://schemas.openxmlformats.org/officeDocument/2006/relationships/hyperlink" Target="http://liputan6.com" TargetMode="External"/><Relationship Id="rId390" Type="http://schemas.openxmlformats.org/officeDocument/2006/relationships/hyperlink" Target="http://liputan6.com" TargetMode="External"/><Relationship Id="rId1" Type="http://schemas.openxmlformats.org/officeDocument/2006/relationships/hyperlink" Target="http://liputan6.com" TargetMode="External"/><Relationship Id="rId2" Type="http://schemas.openxmlformats.org/officeDocument/2006/relationships/hyperlink" Target="https://www.liputan6.com/regional/read/3865651/lbh-bandung-protes-pembubaran-acara-peluncuran-buku-jemaah-ahmadiyah" TargetMode="External"/><Relationship Id="rId3" Type="http://schemas.openxmlformats.org/officeDocument/2006/relationships/hyperlink" Target="http://okezone.com" TargetMode="External"/><Relationship Id="rId149" Type="http://schemas.openxmlformats.org/officeDocument/2006/relationships/hyperlink" Target="http://kompas.com" TargetMode="External"/><Relationship Id="rId4" Type="http://schemas.openxmlformats.org/officeDocument/2006/relationships/hyperlink" Target="http://suara.com" TargetMode="External"/><Relationship Id="rId148" Type="http://schemas.openxmlformats.org/officeDocument/2006/relationships/hyperlink" Target="http://tribunnews.com" TargetMode="External"/><Relationship Id="rId269" Type="http://schemas.openxmlformats.org/officeDocument/2006/relationships/hyperlink" Target="http://tribunnews.com" TargetMode="External"/><Relationship Id="rId9" Type="http://schemas.openxmlformats.org/officeDocument/2006/relationships/hyperlink" Target="http://tirto.id" TargetMode="External"/><Relationship Id="rId143" Type="http://schemas.openxmlformats.org/officeDocument/2006/relationships/hyperlink" Target="http://tempo.co" TargetMode="External"/><Relationship Id="rId264" Type="http://schemas.openxmlformats.org/officeDocument/2006/relationships/hyperlink" Target="http://tempo.co" TargetMode="External"/><Relationship Id="rId385" Type="http://schemas.openxmlformats.org/officeDocument/2006/relationships/hyperlink" Target="http://tribunnews.com" TargetMode="External"/><Relationship Id="rId142" Type="http://schemas.openxmlformats.org/officeDocument/2006/relationships/hyperlink" Target="http://detik.com" TargetMode="External"/><Relationship Id="rId263" Type="http://schemas.openxmlformats.org/officeDocument/2006/relationships/hyperlink" Target="http://tempo.co" TargetMode="External"/><Relationship Id="rId384" Type="http://schemas.openxmlformats.org/officeDocument/2006/relationships/hyperlink" Target="http://detik.com" TargetMode="External"/><Relationship Id="rId141" Type="http://schemas.openxmlformats.org/officeDocument/2006/relationships/hyperlink" Target="http://www.tribunnews.com/metropolitan/2019/01/03/pria-diduga-mengidap-gangguan-jiwa-aniaya-bayi-2-tahun-hingga-tewas-di-pasar-rebo" TargetMode="External"/><Relationship Id="rId262" Type="http://schemas.openxmlformats.org/officeDocument/2006/relationships/hyperlink" Target="http://cnnindonesia.com" TargetMode="External"/><Relationship Id="rId383" Type="http://schemas.openxmlformats.org/officeDocument/2006/relationships/hyperlink" Target="http://okezone.com" TargetMode="External"/><Relationship Id="rId140" Type="http://schemas.openxmlformats.org/officeDocument/2006/relationships/hyperlink" Target="http://tribunnews.com" TargetMode="External"/><Relationship Id="rId261" Type="http://schemas.openxmlformats.org/officeDocument/2006/relationships/hyperlink" Target="https://tirto.id/bagaimana-mendeteksi-dan-mencegah-gangguan-pendengaran-difi" TargetMode="External"/><Relationship Id="rId382" Type="http://schemas.openxmlformats.org/officeDocument/2006/relationships/hyperlink" Target="http://tempo.co" TargetMode="External"/><Relationship Id="rId5" Type="http://schemas.openxmlformats.org/officeDocument/2006/relationships/hyperlink" Target="http://detik.com" TargetMode="External"/><Relationship Id="rId147" Type="http://schemas.openxmlformats.org/officeDocument/2006/relationships/hyperlink" Target="https://news.okezone.com/read/2019/02/26/337/2023119/soal-kolom-penghayat-kepercayaan-di-e-ktp-jk-mereka-juga-orang-indonesia" TargetMode="External"/><Relationship Id="rId268" Type="http://schemas.openxmlformats.org/officeDocument/2006/relationships/hyperlink" Target="http://liputan6.com" TargetMode="External"/><Relationship Id="rId389" Type="http://schemas.openxmlformats.org/officeDocument/2006/relationships/hyperlink" Target="http://suara.com" TargetMode="External"/><Relationship Id="rId6" Type="http://schemas.openxmlformats.org/officeDocument/2006/relationships/hyperlink" Target="http://detik.com" TargetMode="External"/><Relationship Id="rId146" Type="http://schemas.openxmlformats.org/officeDocument/2006/relationships/hyperlink" Target="http://okezone.com" TargetMode="External"/><Relationship Id="rId267" Type="http://schemas.openxmlformats.org/officeDocument/2006/relationships/hyperlink" Target="http://tribunnews.com" TargetMode="External"/><Relationship Id="rId388" Type="http://schemas.openxmlformats.org/officeDocument/2006/relationships/hyperlink" Target="http://republika.co.id" TargetMode="External"/><Relationship Id="rId7" Type="http://schemas.openxmlformats.org/officeDocument/2006/relationships/hyperlink" Target="http://okezone.com" TargetMode="External"/><Relationship Id="rId145" Type="http://schemas.openxmlformats.org/officeDocument/2006/relationships/hyperlink" Target="http://kompas.com" TargetMode="External"/><Relationship Id="rId266" Type="http://schemas.openxmlformats.org/officeDocument/2006/relationships/hyperlink" Target="http://suara.com" TargetMode="External"/><Relationship Id="rId387" Type="http://schemas.openxmlformats.org/officeDocument/2006/relationships/hyperlink" Target="http://tirto.id" TargetMode="External"/><Relationship Id="rId8" Type="http://schemas.openxmlformats.org/officeDocument/2006/relationships/hyperlink" Target="http://cnnindonesia.com" TargetMode="External"/><Relationship Id="rId144" Type="http://schemas.openxmlformats.org/officeDocument/2006/relationships/hyperlink" Target="https://nasional.tempo.co/read/1178219/pemerintah-bandung-terbitkan-ktp-pertama-untuk-penghayat" TargetMode="External"/><Relationship Id="rId265" Type="http://schemas.openxmlformats.org/officeDocument/2006/relationships/hyperlink" Target="https://nasional.tempo.co/read/1186291/prabowo-kita-lebaran-di-tps-jangan-sampai-tuyul-nyoblos" TargetMode="External"/><Relationship Id="rId386" Type="http://schemas.openxmlformats.org/officeDocument/2006/relationships/hyperlink" Target="http://cnn.com" TargetMode="External"/><Relationship Id="rId260" Type="http://schemas.openxmlformats.org/officeDocument/2006/relationships/hyperlink" Target="http://tirto.id" TargetMode="External"/><Relationship Id="rId381" Type="http://schemas.openxmlformats.org/officeDocument/2006/relationships/hyperlink" Target="http://tirto.id" TargetMode="External"/><Relationship Id="rId380" Type="http://schemas.openxmlformats.org/officeDocument/2006/relationships/hyperlink" Target="http://okezone.com" TargetMode="External"/><Relationship Id="rId139" Type="http://schemas.openxmlformats.org/officeDocument/2006/relationships/hyperlink" Target="http://liputan6.com" TargetMode="External"/><Relationship Id="rId138" Type="http://schemas.openxmlformats.org/officeDocument/2006/relationships/hyperlink" Target="http://www.tribunnews.com/regional/2019/01/15/seorang-kakek-tak-beridentitas-tiba-tiba-ambruk-lalu-meninggal-di-jalan-raya-babat-bojonegoro" TargetMode="External"/><Relationship Id="rId259" Type="http://schemas.openxmlformats.org/officeDocument/2006/relationships/hyperlink" Target="http://kompas.com" TargetMode="External"/><Relationship Id="rId137" Type="http://schemas.openxmlformats.org/officeDocument/2006/relationships/hyperlink" Target="http://tribunnews.com" TargetMode="External"/><Relationship Id="rId258" Type="http://schemas.openxmlformats.org/officeDocument/2006/relationships/hyperlink" Target="https://megapolitan.kompas.com/read/2019/03/16/20555471/cerita-cheta-penyandang-disabilitas-jajal-mrt" TargetMode="External"/><Relationship Id="rId379" Type="http://schemas.openxmlformats.org/officeDocument/2006/relationships/hyperlink" Target="http://tirto.id" TargetMode="External"/><Relationship Id="rId132" Type="http://schemas.openxmlformats.org/officeDocument/2006/relationships/hyperlink" Target="http://detik.com" TargetMode="External"/><Relationship Id="rId253" Type="http://schemas.openxmlformats.org/officeDocument/2006/relationships/hyperlink" Target="http://okezone.com" TargetMode="External"/><Relationship Id="rId374" Type="http://schemas.openxmlformats.org/officeDocument/2006/relationships/hyperlink" Target="http://liputan6.com" TargetMode="External"/><Relationship Id="rId495" Type="http://schemas.openxmlformats.org/officeDocument/2006/relationships/hyperlink" Target="https://difabel.tempo.co/read/1256428/google-tambah-fitur-aksesibilitas-untuk-difabel-gerak-terbatas" TargetMode="External"/><Relationship Id="rId131" Type="http://schemas.openxmlformats.org/officeDocument/2006/relationships/hyperlink" Target="http://tribunnews.com" TargetMode="External"/><Relationship Id="rId252" Type="http://schemas.openxmlformats.org/officeDocument/2006/relationships/hyperlink" Target="https://www.liputan6.com/lifestyle/read/3924460/sosok-inspiratif-dea-valencia-pengusaha-muda-pemilik-batik-kultur" TargetMode="External"/><Relationship Id="rId373" Type="http://schemas.openxmlformats.org/officeDocument/2006/relationships/hyperlink" Target="http://kompas.com" TargetMode="External"/><Relationship Id="rId494" Type="http://schemas.openxmlformats.org/officeDocument/2006/relationships/hyperlink" Target="http://tempo.co" TargetMode="External"/><Relationship Id="rId130" Type="http://schemas.openxmlformats.org/officeDocument/2006/relationships/hyperlink" Target="https://www.liputan6.com/citizen6/read/3889513/alih-alih-sembuh-bayi-malang-buta-permanen-setelah-operasi" TargetMode="External"/><Relationship Id="rId251" Type="http://schemas.openxmlformats.org/officeDocument/2006/relationships/hyperlink" Target="http://liputan6.com" TargetMode="External"/><Relationship Id="rId372" Type="http://schemas.openxmlformats.org/officeDocument/2006/relationships/hyperlink" Target="http://tempo.co" TargetMode="External"/><Relationship Id="rId493" Type="http://schemas.openxmlformats.org/officeDocument/2006/relationships/hyperlink" Target="https://www.liputan6.com/health/read/4078473/dulu-orang-dengan-gangguan-jiwa-di-desa-gitik-banyuwangi-dipasung" TargetMode="External"/><Relationship Id="rId250" Type="http://schemas.openxmlformats.org/officeDocument/2006/relationships/hyperlink" Target="https://megapolitan.kompas.com/read/2019/03/15/12121511/status-hukum-pelaku-penusukan-di-halte-transjakarta-tunggu-hasil" TargetMode="External"/><Relationship Id="rId371" Type="http://schemas.openxmlformats.org/officeDocument/2006/relationships/hyperlink" Target="http://okezone.com" TargetMode="External"/><Relationship Id="rId492" Type="http://schemas.openxmlformats.org/officeDocument/2006/relationships/hyperlink" Target="https://www.tribunnews.com/internasional/2019/12/25/peringkat-kebebasan-beragama-terendah-pakistan-malah-kecam-as" TargetMode="External"/><Relationship Id="rId136" Type="http://schemas.openxmlformats.org/officeDocument/2006/relationships/hyperlink" Target="https://www.suara.com/lifestyle/2019/01/29/100500/pengguna-kursi-roda-dilarang-naik-pesawat" TargetMode="External"/><Relationship Id="rId257" Type="http://schemas.openxmlformats.org/officeDocument/2006/relationships/hyperlink" Target="http://kompas.com" TargetMode="External"/><Relationship Id="rId378" Type="http://schemas.openxmlformats.org/officeDocument/2006/relationships/hyperlink" Target="http://tirto.id" TargetMode="External"/><Relationship Id="rId499" Type="http://schemas.openxmlformats.org/officeDocument/2006/relationships/hyperlink" Target="http://tempo.co" TargetMode="External"/><Relationship Id="rId135" Type="http://schemas.openxmlformats.org/officeDocument/2006/relationships/hyperlink" Target="http://suara.com" TargetMode="External"/><Relationship Id="rId256" Type="http://schemas.openxmlformats.org/officeDocument/2006/relationships/hyperlink" Target="http://tirto.id" TargetMode="External"/><Relationship Id="rId377" Type="http://schemas.openxmlformats.org/officeDocument/2006/relationships/hyperlink" Target="http://tempo.co" TargetMode="External"/><Relationship Id="rId498" Type="http://schemas.openxmlformats.org/officeDocument/2006/relationships/hyperlink" Target="https://tirto.id/menpanrb-buka-formasi-cpns-khusus-difabel-el34" TargetMode="External"/><Relationship Id="rId134" Type="http://schemas.openxmlformats.org/officeDocument/2006/relationships/hyperlink" Target="http://detik.com" TargetMode="External"/><Relationship Id="rId255" Type="http://schemas.openxmlformats.org/officeDocument/2006/relationships/hyperlink" Target="http://liputan6.com" TargetMode="External"/><Relationship Id="rId376" Type="http://schemas.openxmlformats.org/officeDocument/2006/relationships/hyperlink" Target="http://tempo.co" TargetMode="External"/><Relationship Id="rId497" Type="http://schemas.openxmlformats.org/officeDocument/2006/relationships/hyperlink" Target="https://cantik.tempo.co/read/1257649/ibu-hamil-depresi-berisiko-lahirkan-anak-dengan-gangguan-kejiwaan" TargetMode="External"/><Relationship Id="rId133" Type="http://schemas.openxmlformats.org/officeDocument/2006/relationships/hyperlink" Target="http://tribunnews.com" TargetMode="External"/><Relationship Id="rId254" Type="http://schemas.openxmlformats.org/officeDocument/2006/relationships/hyperlink" Target="https://news.okezone.com/read/2019/03/20/340/2032667/audi-tewas-usai-loncat-dari-jembatan-di-manado" TargetMode="External"/><Relationship Id="rId375" Type="http://schemas.openxmlformats.org/officeDocument/2006/relationships/hyperlink" Target="http://tirto.id" TargetMode="External"/><Relationship Id="rId496" Type="http://schemas.openxmlformats.org/officeDocument/2006/relationships/hyperlink" Target="http://tempo.co" TargetMode="External"/><Relationship Id="rId172" Type="http://schemas.openxmlformats.org/officeDocument/2006/relationships/hyperlink" Target="http://tempo.co" TargetMode="External"/><Relationship Id="rId293" Type="http://schemas.openxmlformats.org/officeDocument/2006/relationships/hyperlink" Target="http://detik.com" TargetMode="External"/><Relationship Id="rId171" Type="http://schemas.openxmlformats.org/officeDocument/2006/relationships/hyperlink" Target="http://kompas.com" TargetMode="External"/><Relationship Id="rId292" Type="http://schemas.openxmlformats.org/officeDocument/2006/relationships/hyperlink" Target="http://kompas.com" TargetMode="External"/><Relationship Id="rId170" Type="http://schemas.openxmlformats.org/officeDocument/2006/relationships/hyperlink" Target="http://okezone.com" TargetMode="External"/><Relationship Id="rId291" Type="http://schemas.openxmlformats.org/officeDocument/2006/relationships/hyperlink" Target="http://tempo.co" TargetMode="External"/><Relationship Id="rId290" Type="http://schemas.openxmlformats.org/officeDocument/2006/relationships/hyperlink" Target="http://suara.com" TargetMode="External"/><Relationship Id="rId165" Type="http://schemas.openxmlformats.org/officeDocument/2006/relationships/hyperlink" Target="http://tirto.id" TargetMode="External"/><Relationship Id="rId286" Type="http://schemas.openxmlformats.org/officeDocument/2006/relationships/hyperlink" Target="http://kompas.com" TargetMode="External"/><Relationship Id="rId164" Type="http://schemas.openxmlformats.org/officeDocument/2006/relationships/hyperlink" Target="http://liputan6.com" TargetMode="External"/><Relationship Id="rId285" Type="http://schemas.openxmlformats.org/officeDocument/2006/relationships/hyperlink" Target="http://tribunnews.com" TargetMode="External"/><Relationship Id="rId163" Type="http://schemas.openxmlformats.org/officeDocument/2006/relationships/hyperlink" Target="http://kompas.com" TargetMode="External"/><Relationship Id="rId284" Type="http://schemas.openxmlformats.org/officeDocument/2006/relationships/hyperlink" Target="http://okezone.com" TargetMode="External"/><Relationship Id="rId162" Type="http://schemas.openxmlformats.org/officeDocument/2006/relationships/hyperlink" Target="http://tempo.co" TargetMode="External"/><Relationship Id="rId283" Type="http://schemas.openxmlformats.org/officeDocument/2006/relationships/hyperlink" Target="http://republika.co.id" TargetMode="External"/><Relationship Id="rId169" Type="http://schemas.openxmlformats.org/officeDocument/2006/relationships/hyperlink" Target="http://tirto.id" TargetMode="External"/><Relationship Id="rId168" Type="http://schemas.openxmlformats.org/officeDocument/2006/relationships/hyperlink" Target="http://republika.co.id" TargetMode="External"/><Relationship Id="rId289" Type="http://schemas.openxmlformats.org/officeDocument/2006/relationships/hyperlink" Target="http://suara.com" TargetMode="External"/><Relationship Id="rId167" Type="http://schemas.openxmlformats.org/officeDocument/2006/relationships/hyperlink" Target="http://tempo.co" TargetMode="External"/><Relationship Id="rId288" Type="http://schemas.openxmlformats.org/officeDocument/2006/relationships/hyperlink" Target="http://republika.co.id" TargetMode="External"/><Relationship Id="rId166" Type="http://schemas.openxmlformats.org/officeDocument/2006/relationships/hyperlink" Target="http://tribunnews.com" TargetMode="External"/><Relationship Id="rId287" Type="http://schemas.openxmlformats.org/officeDocument/2006/relationships/hyperlink" Target="http://cnnindonesia.com" TargetMode="External"/><Relationship Id="rId161" Type="http://schemas.openxmlformats.org/officeDocument/2006/relationships/hyperlink" Target="http://republika.co.id" TargetMode="External"/><Relationship Id="rId282" Type="http://schemas.openxmlformats.org/officeDocument/2006/relationships/hyperlink" Target="http://liputan6.com" TargetMode="External"/><Relationship Id="rId160" Type="http://schemas.openxmlformats.org/officeDocument/2006/relationships/hyperlink" Target="http://tribunnews.com" TargetMode="External"/><Relationship Id="rId281" Type="http://schemas.openxmlformats.org/officeDocument/2006/relationships/hyperlink" Target="http://cnnindonesia.com" TargetMode="External"/><Relationship Id="rId280" Type="http://schemas.openxmlformats.org/officeDocument/2006/relationships/hyperlink" Target="http://tempo.co" TargetMode="External"/><Relationship Id="rId159" Type="http://schemas.openxmlformats.org/officeDocument/2006/relationships/hyperlink" Target="https://nasional.republika.co.id/berita/nasional/news-analysis/pqjkrd415/muslim-sri-lanka-berjuang-tepis-tudingan" TargetMode="External"/><Relationship Id="rId154" Type="http://schemas.openxmlformats.org/officeDocument/2006/relationships/hyperlink" Target="http://liputan6.com" TargetMode="External"/><Relationship Id="rId275" Type="http://schemas.openxmlformats.org/officeDocument/2006/relationships/hyperlink" Target="http://okezone.com" TargetMode="External"/><Relationship Id="rId396" Type="http://schemas.openxmlformats.org/officeDocument/2006/relationships/hyperlink" Target="http://tempo.co" TargetMode="External"/><Relationship Id="rId153" Type="http://schemas.openxmlformats.org/officeDocument/2006/relationships/hyperlink" Target="http://kompas.com" TargetMode="External"/><Relationship Id="rId274" Type="http://schemas.openxmlformats.org/officeDocument/2006/relationships/hyperlink" Target="http://detik.com" TargetMode="External"/><Relationship Id="rId395" Type="http://schemas.openxmlformats.org/officeDocument/2006/relationships/hyperlink" Target="http://okezone.com" TargetMode="External"/><Relationship Id="rId152" Type="http://schemas.openxmlformats.org/officeDocument/2006/relationships/hyperlink" Target="http://detik.com" TargetMode="External"/><Relationship Id="rId273" Type="http://schemas.openxmlformats.org/officeDocument/2006/relationships/hyperlink" Target="http://liputan6.com" TargetMode="External"/><Relationship Id="rId394" Type="http://schemas.openxmlformats.org/officeDocument/2006/relationships/hyperlink" Target="http://tirto.id" TargetMode="External"/><Relationship Id="rId151" Type="http://schemas.openxmlformats.org/officeDocument/2006/relationships/hyperlink" Target="http://tempo.co" TargetMode="External"/><Relationship Id="rId272" Type="http://schemas.openxmlformats.org/officeDocument/2006/relationships/hyperlink" Target="http://detik.com" TargetMode="External"/><Relationship Id="rId393" Type="http://schemas.openxmlformats.org/officeDocument/2006/relationships/hyperlink" Target="http://tempo.co" TargetMode="External"/><Relationship Id="rId158" Type="http://schemas.openxmlformats.org/officeDocument/2006/relationships/hyperlink" Target="http://republika.co.id" TargetMode="External"/><Relationship Id="rId279" Type="http://schemas.openxmlformats.org/officeDocument/2006/relationships/hyperlink" Target="http://republika.co.id" TargetMode="External"/><Relationship Id="rId157" Type="http://schemas.openxmlformats.org/officeDocument/2006/relationships/hyperlink" Target="http://liputan6.com" TargetMode="External"/><Relationship Id="rId278" Type="http://schemas.openxmlformats.org/officeDocument/2006/relationships/hyperlink" Target="http://liputan6.com" TargetMode="External"/><Relationship Id="rId399" Type="http://schemas.openxmlformats.org/officeDocument/2006/relationships/hyperlink" Target="http://tirto.id" TargetMode="External"/><Relationship Id="rId156" Type="http://schemas.openxmlformats.org/officeDocument/2006/relationships/hyperlink" Target="https://www.cnnindonesia.com/nasional/20190313140835-32-376888/kolom-agama-ktp-warga-baduy-diisi-penganut-kepercayaan" TargetMode="External"/><Relationship Id="rId277" Type="http://schemas.openxmlformats.org/officeDocument/2006/relationships/hyperlink" Target="http://tirto.id" TargetMode="External"/><Relationship Id="rId398" Type="http://schemas.openxmlformats.org/officeDocument/2006/relationships/hyperlink" Target="http://cnn.com" TargetMode="External"/><Relationship Id="rId155" Type="http://schemas.openxmlformats.org/officeDocument/2006/relationships/hyperlink" Target="http://cnnindonesia.com" TargetMode="External"/><Relationship Id="rId276" Type="http://schemas.openxmlformats.org/officeDocument/2006/relationships/hyperlink" Target="http://tribunnews.com" TargetMode="External"/><Relationship Id="rId397" Type="http://schemas.openxmlformats.org/officeDocument/2006/relationships/hyperlink" Target="http://tempo.co" TargetMode="External"/><Relationship Id="rId40" Type="http://schemas.openxmlformats.org/officeDocument/2006/relationships/hyperlink" Target="http://okezone.com" TargetMode="External"/><Relationship Id="rId42" Type="http://schemas.openxmlformats.org/officeDocument/2006/relationships/hyperlink" Target="http://republika.co.id" TargetMode="External"/><Relationship Id="rId41" Type="http://schemas.openxmlformats.org/officeDocument/2006/relationships/hyperlink" Target="http://suara.com" TargetMode="External"/><Relationship Id="rId44" Type="http://schemas.openxmlformats.org/officeDocument/2006/relationships/hyperlink" Target="http://republika.co.id" TargetMode="External"/><Relationship Id="rId43" Type="http://schemas.openxmlformats.org/officeDocument/2006/relationships/hyperlink" Target="http://liputan6.com" TargetMode="External"/><Relationship Id="rId46" Type="http://schemas.openxmlformats.org/officeDocument/2006/relationships/hyperlink" Target="http://tempo.co" TargetMode="External"/><Relationship Id="rId45" Type="http://schemas.openxmlformats.org/officeDocument/2006/relationships/hyperlink" Target="http://okezone.com" TargetMode="External"/><Relationship Id="rId509" Type="http://schemas.openxmlformats.org/officeDocument/2006/relationships/hyperlink" Target="https://www.suara.com/yoursay/2019/12/19/151548/kurangnya-kesadaran-masyarakat-terhadap-fasilitas-disabilitas" TargetMode="External"/><Relationship Id="rId508" Type="http://schemas.openxmlformats.org/officeDocument/2006/relationships/hyperlink" Target="https://republika.co.id/berita/q329lh366/wanita-dengan-gangguan-jiwa-ditemukan-tenggelam" TargetMode="External"/><Relationship Id="rId629" Type="http://schemas.openxmlformats.org/officeDocument/2006/relationships/hyperlink" Target="https://www.tribunnews.com/nasional/2019/11/26/simak-ini-rincian-tugas-pada-jabatan-pelamar-kategori-disabilitas-untuk-formasi-bkn-cpns-2019" TargetMode="External"/><Relationship Id="rId503" Type="http://schemas.openxmlformats.org/officeDocument/2006/relationships/hyperlink" Target="https://www.tribunnews.com/regional/2019/12/24/sebab-janda-ngawi-tewas-di-kebon-jagung-polisi-sebut-kondisi-jasad-lemas-korban-perkosaan" TargetMode="External"/><Relationship Id="rId624" Type="http://schemas.openxmlformats.org/officeDocument/2006/relationships/hyperlink" Target="https://jabar.suara.com/read/2019/12/30/223803/mahasiswi-telkom-university-diduga-jadi-korban-pencabulan-seniornya" TargetMode="External"/><Relationship Id="rId502" Type="http://schemas.openxmlformats.org/officeDocument/2006/relationships/hyperlink" Target="https://news.okezone.com/read/2019/11/25/609/2134290/pamerkan-kemaluan-ke-wanita-pria-ini-nyaris-diamuk-massa" TargetMode="External"/><Relationship Id="rId623" Type="http://schemas.openxmlformats.org/officeDocument/2006/relationships/hyperlink" Target="https://megapolitan.kompas.com/read/2019/12/20/18161721/pelaku-eksibisionis-ke-siswi-smk-sempat-dikejar-rombongan-pelajar" TargetMode="External"/><Relationship Id="rId501" Type="http://schemas.openxmlformats.org/officeDocument/2006/relationships/hyperlink" Target="https://news.detik.com/berita-jawa-tengah/d-4795875/biar-dikira-korban-perkosaan-pelaku-lucuti-celana-lily" TargetMode="External"/><Relationship Id="rId622" Type="http://schemas.openxmlformats.org/officeDocument/2006/relationships/hyperlink" Target="https://www.liputan6.com/bisnis/read/4140180/lawan-pelecehan-seksual-kementerian-bumn-luncurkan-gerakan-saya-berani" TargetMode="External"/><Relationship Id="rId500" Type="http://schemas.openxmlformats.org/officeDocument/2006/relationships/hyperlink" Target="https://www.tribunnews.com/internasional/2019/11/23/911-sempat-abaikan-perempuan-yang-pesan-pizza-akhirnya-selamatkan-ibu-yang-jadi-korban-kdrt" TargetMode="External"/><Relationship Id="rId621" Type="http://schemas.openxmlformats.org/officeDocument/2006/relationships/hyperlink" Target="http://tempo.co" TargetMode="External"/><Relationship Id="rId507" Type="http://schemas.openxmlformats.org/officeDocument/2006/relationships/hyperlink" Target="https://sport.detik.com/sport-lain/d-4826645/bonus-dari-pemkab-batal-cair-8-atlet-difabel-cianjur-pindah-daerah" TargetMode="External"/><Relationship Id="rId628" Type="http://schemas.openxmlformats.org/officeDocument/2006/relationships/hyperlink" Target="https://gaya.tempo.co/read/1257370/katarak-penyebab-tertinggi-kebutaan-di-indonesia" TargetMode="External"/><Relationship Id="rId506" Type="http://schemas.openxmlformats.org/officeDocument/2006/relationships/hyperlink" Target="https://www.liputan6.com/health/read/4138750/penyandang-autisme-memiliki-kesehatan-yang-rentan" TargetMode="External"/><Relationship Id="rId627" Type="http://schemas.openxmlformats.org/officeDocument/2006/relationships/hyperlink" Target="http://tempo.co" TargetMode="External"/><Relationship Id="rId505" Type="http://schemas.openxmlformats.org/officeDocument/2006/relationships/hyperlink" Target="https://cantik.tempo.co/read/1286708/hari-ibu-megawati-ajak-perempuan-berani-berpolitik" TargetMode="External"/><Relationship Id="rId626" Type="http://schemas.openxmlformats.org/officeDocument/2006/relationships/hyperlink" Target="https://cantik.tempo.co/read/1287141/dukungan-erick-thohir-untuk-perempuan-hentikan-pelecehan-seksual" TargetMode="External"/><Relationship Id="rId504" Type="http://schemas.openxmlformats.org/officeDocument/2006/relationships/hyperlink" Target="http://tempo.co" TargetMode="External"/><Relationship Id="rId625" Type="http://schemas.openxmlformats.org/officeDocument/2006/relationships/hyperlink" Target="http://tempo.co" TargetMode="External"/><Relationship Id="rId48" Type="http://schemas.openxmlformats.org/officeDocument/2006/relationships/hyperlink" Target="http://detik.com" TargetMode="External"/><Relationship Id="rId47" Type="http://schemas.openxmlformats.org/officeDocument/2006/relationships/hyperlink" Target="https://dunia.tempo.co/read/1215458/tak-jadi-dieksekusi-mati-remaja-arab-saudi-divonis-12-tahun" TargetMode="External"/><Relationship Id="rId49" Type="http://schemas.openxmlformats.org/officeDocument/2006/relationships/hyperlink" Target="https://news.detik.com/berita/d-4576804/tradisi-azan-magrib-dua-kali-di-lebanon" TargetMode="External"/><Relationship Id="rId620" Type="http://schemas.openxmlformats.org/officeDocument/2006/relationships/hyperlink" Target="https://news.okezone.com/read/2019/11/23/18/2133557/perempuan-korban-kdrt-minta-bantuan-dengan-pura-pura-memesan-piza" TargetMode="External"/><Relationship Id="rId31" Type="http://schemas.openxmlformats.org/officeDocument/2006/relationships/hyperlink" Target="http://tirto.id" TargetMode="External"/><Relationship Id="rId30" Type="http://schemas.openxmlformats.org/officeDocument/2006/relationships/hyperlink" Target="https://index.okezone.com/read/2019/05/15/614/2055778/7-aliran-dalam-islam-mayoritas-masih-eksis-hingga-kini" TargetMode="External"/><Relationship Id="rId33" Type="http://schemas.openxmlformats.org/officeDocument/2006/relationships/hyperlink" Target="http://tribunnews.com" TargetMode="External"/><Relationship Id="rId32" Type="http://schemas.openxmlformats.org/officeDocument/2006/relationships/hyperlink" Target="http://republika.co.id" TargetMode="External"/><Relationship Id="rId35" Type="http://schemas.openxmlformats.org/officeDocument/2006/relationships/hyperlink" Target="http://suara.com" TargetMode="External"/><Relationship Id="rId34" Type="http://schemas.openxmlformats.org/officeDocument/2006/relationships/hyperlink" Target="http://tempo.co" TargetMode="External"/><Relationship Id="rId619" Type="http://schemas.openxmlformats.org/officeDocument/2006/relationships/hyperlink" Target="https://regional.kompas.com/read/2019/11/21/05230081/akhir-perjalanan-sn-pelaku-pelemparan-sperma-dan-begal-payudara-di" TargetMode="External"/><Relationship Id="rId618" Type="http://schemas.openxmlformats.org/officeDocument/2006/relationships/hyperlink" Target="https://nasional.republika.co.id/berita/q17eo2335/pelempar-sperma-di-tasikmalaya-jadi-tersangka" TargetMode="External"/><Relationship Id="rId613" Type="http://schemas.openxmlformats.org/officeDocument/2006/relationships/hyperlink" Target="https://www.suara.com/entertainment/2019/12/16/061500/di-ktp-baru-lucinta-luna-masih-pakai-nama-muhammad-fatah" TargetMode="External"/><Relationship Id="rId612" Type="http://schemas.openxmlformats.org/officeDocument/2006/relationships/hyperlink" Target="https://www.tribunnews.com/nasional/2019/11/25/komnas-ham-minta-jaksa-agung-klarifikasi-dan-batalkan-syarat-cpns-2019-yang-dinilai-diskriminatif" TargetMode="External"/><Relationship Id="rId611" Type="http://schemas.openxmlformats.org/officeDocument/2006/relationships/hyperlink" Target="https://www.suara.com/health/2019/11/17/062451/benarkah-jenis-mainan-bisa-memicu-kelainan-orientasi-seksual-anak" TargetMode="External"/><Relationship Id="rId610" Type="http://schemas.openxmlformats.org/officeDocument/2006/relationships/hyperlink" Target="https://www.tribunnews.com/nasional/2019/11/21/tjahjo-sebut-penyandang-disabilitas-hingga-lgbt-boleh-daftar-cpns" TargetMode="External"/><Relationship Id="rId617" Type="http://schemas.openxmlformats.org/officeDocument/2006/relationships/hyperlink" Target="https://regional.kompas.com/read/2019/11/18/14152231/pelaku-pelemparan-sperma-di-tasikmalaya-ditangkap" TargetMode="External"/><Relationship Id="rId616" Type="http://schemas.openxmlformats.org/officeDocument/2006/relationships/hyperlink" Target="https://nasional.tempo.co/read/1257319/jaringan-prostitusi-dengan-konsumen-warga-timur-tengah-dibongkar" TargetMode="External"/><Relationship Id="rId615" Type="http://schemas.openxmlformats.org/officeDocument/2006/relationships/hyperlink" Target="http://tempo.co" TargetMode="External"/><Relationship Id="rId614" Type="http://schemas.openxmlformats.org/officeDocument/2006/relationships/hyperlink" Target="https://www.suara.com/health/2019/10/04/171500/alami-kdrt-wanita-ini-cedera-parah-sampai-butuh-transplantasi-wajah" TargetMode="External"/><Relationship Id="rId37" Type="http://schemas.openxmlformats.org/officeDocument/2006/relationships/hyperlink" Target="http://detik.com" TargetMode="External"/><Relationship Id="rId36" Type="http://schemas.openxmlformats.org/officeDocument/2006/relationships/hyperlink" Target="http://republika.co.id" TargetMode="External"/><Relationship Id="rId39" Type="http://schemas.openxmlformats.org/officeDocument/2006/relationships/hyperlink" Target="http://www.tribunnews.com/regional/2019/05/31/demi-bhineka-tunggal-ika-sudah-20-tahun-istri-gus-dur-ny-sinta-gelar-sahur-bareng-umat-lintas-agama" TargetMode="External"/><Relationship Id="rId38" Type="http://schemas.openxmlformats.org/officeDocument/2006/relationships/hyperlink" Target="http://tribunnews.com" TargetMode="External"/><Relationship Id="rId20" Type="http://schemas.openxmlformats.org/officeDocument/2006/relationships/hyperlink" Target="http://republika.co.id" TargetMode="External"/><Relationship Id="rId22" Type="http://schemas.openxmlformats.org/officeDocument/2006/relationships/hyperlink" Target="http://suara.com" TargetMode="External"/><Relationship Id="rId21" Type="http://schemas.openxmlformats.org/officeDocument/2006/relationships/hyperlink" Target="https://nasional.republika.co.id/berita/nasional/politik/ppeazb414/setelah-batal-ke-medan-prabowo-juga-tak-jadi-ke-aceh" TargetMode="External"/><Relationship Id="rId24" Type="http://schemas.openxmlformats.org/officeDocument/2006/relationships/hyperlink" Target="http://okezone.com" TargetMode="External"/><Relationship Id="rId23" Type="http://schemas.openxmlformats.org/officeDocument/2006/relationships/hyperlink" Target="https://microsite.suara.com/dpr/2019/04/01/140439/dpr-luncurkan-website-tentang-kebebasan-beragama-dan-berkeyakinan" TargetMode="External"/><Relationship Id="rId409" Type="http://schemas.openxmlformats.org/officeDocument/2006/relationships/hyperlink" Target="http://detik.com" TargetMode="External"/><Relationship Id="rId404" Type="http://schemas.openxmlformats.org/officeDocument/2006/relationships/hyperlink" Target="http://okezone.com" TargetMode="External"/><Relationship Id="rId525" Type="http://schemas.openxmlformats.org/officeDocument/2006/relationships/hyperlink" Target="http://tempo.co" TargetMode="External"/><Relationship Id="rId403" Type="http://schemas.openxmlformats.org/officeDocument/2006/relationships/hyperlink" Target="http://liputan6.com" TargetMode="External"/><Relationship Id="rId524" Type="http://schemas.openxmlformats.org/officeDocument/2006/relationships/hyperlink" Target="http://tempo.co" TargetMode="External"/><Relationship Id="rId402" Type="http://schemas.openxmlformats.org/officeDocument/2006/relationships/hyperlink" Target="http://republika.co.id" TargetMode="External"/><Relationship Id="rId523" Type="http://schemas.openxmlformats.org/officeDocument/2006/relationships/hyperlink" Target="https://money.kompas.com/read/2019/12/20/202508026/pgn-buka-kesempatan-kerja-bagi-penyandang-disabilitas" TargetMode="External"/><Relationship Id="rId401" Type="http://schemas.openxmlformats.org/officeDocument/2006/relationships/hyperlink" Target="http://tribunnews.com" TargetMode="External"/><Relationship Id="rId522" Type="http://schemas.openxmlformats.org/officeDocument/2006/relationships/hyperlink" Target="https://www.tribunnews.com/regional/2019/12/19/dari-cerita-viralnya-pria-stroke-dianiaya-istri-benarkah-mengasuh-orang-sakit-rentan-alami-stres" TargetMode="External"/><Relationship Id="rId408" Type="http://schemas.openxmlformats.org/officeDocument/2006/relationships/hyperlink" Target="http://okezone.com" TargetMode="External"/><Relationship Id="rId529" Type="http://schemas.openxmlformats.org/officeDocument/2006/relationships/hyperlink" Target="https://www.cnnindonesia.com/gaya-hidup/20191120094447-255-449880/dokter-jiwa-pelaku-teror-sperma-bisa-jadi-ekshibisionis" TargetMode="External"/><Relationship Id="rId407" Type="http://schemas.openxmlformats.org/officeDocument/2006/relationships/hyperlink" Target="http://okezone.com" TargetMode="External"/><Relationship Id="rId528" Type="http://schemas.openxmlformats.org/officeDocument/2006/relationships/hyperlink" Target="https://difabel.tempo.co/read/1273656/syarat-khusus-untuk-penyandang-disabilitas-saat-daftar-cpns-2019" TargetMode="External"/><Relationship Id="rId406" Type="http://schemas.openxmlformats.org/officeDocument/2006/relationships/hyperlink" Target="http://okezone.com" TargetMode="External"/><Relationship Id="rId527" Type="http://schemas.openxmlformats.org/officeDocument/2006/relationships/hyperlink" Target="http://tempo.co" TargetMode="External"/><Relationship Id="rId405" Type="http://schemas.openxmlformats.org/officeDocument/2006/relationships/hyperlink" Target="http://okezone.com" TargetMode="External"/><Relationship Id="rId526" Type="http://schemas.openxmlformats.org/officeDocument/2006/relationships/hyperlink" Target="https://www.tribunnews.com/regional/2019/10/06/sederet-fakta-bocah-12-tahun-dikurung-di-bekas-kandang-ayam" TargetMode="External"/><Relationship Id="rId26" Type="http://schemas.openxmlformats.org/officeDocument/2006/relationships/hyperlink" Target="http://okezone.com" TargetMode="External"/><Relationship Id="rId25" Type="http://schemas.openxmlformats.org/officeDocument/2006/relationships/hyperlink" Target="http://tribunnews.com" TargetMode="External"/><Relationship Id="rId28" Type="http://schemas.openxmlformats.org/officeDocument/2006/relationships/hyperlink" Target="https://www.liputan6.com/news/read/3969771/muhamadiyah-pembelaan-pada-muslim-ahmadiyah-adalah-sikap-adil-umat-beragama" TargetMode="External"/><Relationship Id="rId27" Type="http://schemas.openxmlformats.org/officeDocument/2006/relationships/hyperlink" Target="http://liputan6.com" TargetMode="External"/><Relationship Id="rId400" Type="http://schemas.openxmlformats.org/officeDocument/2006/relationships/hyperlink" Target="http://tirto.id" TargetMode="External"/><Relationship Id="rId521" Type="http://schemas.openxmlformats.org/officeDocument/2006/relationships/hyperlink" Target="https://www.kompas.com/tren/read/2019/11/24/182200365/studi-temukan-satu-dari-tujuh-anak-berpotensi-alami-penyakit-mental" TargetMode="External"/><Relationship Id="rId29" Type="http://schemas.openxmlformats.org/officeDocument/2006/relationships/hyperlink" Target="http://okezone.com" TargetMode="External"/><Relationship Id="rId520" Type="http://schemas.openxmlformats.org/officeDocument/2006/relationships/hyperlink" Target="https://www.cnnindonesia.com/teknologi/20191122103644-190-450535/cara-spesial-driver-grab-tunarungu-pahami-pelanggan" TargetMode="External"/><Relationship Id="rId11" Type="http://schemas.openxmlformats.org/officeDocument/2006/relationships/hyperlink" Target="https://www.suara.com/news/2019/03/02/162358/istilah-kafir-dihapus-kiai-luthfi-liberalis-mau-amandemen-alquran" TargetMode="External"/><Relationship Id="rId10" Type="http://schemas.openxmlformats.org/officeDocument/2006/relationships/hyperlink" Target="http://suara.com" TargetMode="External"/><Relationship Id="rId13" Type="http://schemas.openxmlformats.org/officeDocument/2006/relationships/hyperlink" Target="https://news.detik.com/berita/d-4451395/begini-upacara-pemakaman-bagi-penghayat-sapta-darma" TargetMode="External"/><Relationship Id="rId12" Type="http://schemas.openxmlformats.org/officeDocument/2006/relationships/hyperlink" Target="http://detik.com" TargetMode="External"/><Relationship Id="rId519" Type="http://schemas.openxmlformats.org/officeDocument/2006/relationships/hyperlink" Target="https://index.okezone.com/read/2019/11/21/612/2132853/dari-ria-ricis-hingga-nikita-mirzani-pamer-saldo-atm-tanda-gangguan-jiwa" TargetMode="External"/><Relationship Id="rId514" Type="http://schemas.openxmlformats.org/officeDocument/2006/relationships/hyperlink" Target="https://seleb.tempo.co/read/1288392/dituduh-transgender-istri-jerinx-sid-tak-terima" TargetMode="External"/><Relationship Id="rId635" Type="http://schemas.openxmlformats.org/officeDocument/2006/relationships/hyperlink" Target="http://tempo.co" TargetMode="External"/><Relationship Id="rId513" Type="http://schemas.openxmlformats.org/officeDocument/2006/relationships/hyperlink" Target="http://tempo.co" TargetMode="External"/><Relationship Id="rId634" Type="http://schemas.openxmlformats.org/officeDocument/2006/relationships/hyperlink" Target="http://tempo.co" TargetMode="External"/><Relationship Id="rId512" Type="http://schemas.openxmlformats.org/officeDocument/2006/relationships/hyperlink" Target="https://www.tribunnews.com/regional/2019/11/19/pensiunan-pns-di-binjai-meninggal-dunia-usai-kencani-waria-langganannya" TargetMode="External"/><Relationship Id="rId633" Type="http://schemas.openxmlformats.org/officeDocument/2006/relationships/hyperlink" Target="https://www.cnnindonesia.com/internasional/20191007124448-106-437417/perempuan-wni-dibakar-suami-di-kuwait-alami-cedera-serius" TargetMode="External"/><Relationship Id="rId511" Type="http://schemas.openxmlformats.org/officeDocument/2006/relationships/hyperlink" Target="https://www.kompas.com/hype/read/2019/11/21/173140566/kata-mondo-gascaro-soal-kontroversi-film-kucumbu-tubuh-indahku" TargetMode="External"/><Relationship Id="rId632" Type="http://schemas.openxmlformats.org/officeDocument/2006/relationships/hyperlink" Target="https://difabel.tempo.co/read/1284930/30-orang-menjadi-mata-bagi-sesama-di-sekolah-luar-biasa" TargetMode="External"/><Relationship Id="rId518" Type="http://schemas.openxmlformats.org/officeDocument/2006/relationships/hyperlink" Target="http://tempo.co" TargetMode="External"/><Relationship Id="rId639" Type="http://schemas.openxmlformats.org/officeDocument/2006/relationships/drawing" Target="../drawings/drawing7.xml"/><Relationship Id="rId517" Type="http://schemas.openxmlformats.org/officeDocument/2006/relationships/hyperlink" Target="http://tempo.co" TargetMode="External"/><Relationship Id="rId638" Type="http://schemas.openxmlformats.org/officeDocument/2006/relationships/hyperlink" Target="http://tempo.co" TargetMode="External"/><Relationship Id="rId516" Type="http://schemas.openxmlformats.org/officeDocument/2006/relationships/hyperlink" Target="https://www.cnnindonesia.com/internasional/20191120085026-134-449863/swedia-hentikan-penyidikan-kasus-pemerkosaan-julian-assange" TargetMode="External"/><Relationship Id="rId637" Type="http://schemas.openxmlformats.org/officeDocument/2006/relationships/hyperlink" Target="http://tempo.co" TargetMode="External"/><Relationship Id="rId515" Type="http://schemas.openxmlformats.org/officeDocument/2006/relationships/hyperlink" Target="http://tempo.co" TargetMode="External"/><Relationship Id="rId636" Type="http://schemas.openxmlformats.org/officeDocument/2006/relationships/hyperlink" Target="http://tempo.co" TargetMode="External"/><Relationship Id="rId15" Type="http://schemas.openxmlformats.org/officeDocument/2006/relationships/hyperlink" Target="http://detik.com" TargetMode="External"/><Relationship Id="rId14" Type="http://schemas.openxmlformats.org/officeDocument/2006/relationships/hyperlink" Target="http://okezone.com" TargetMode="External"/><Relationship Id="rId17" Type="http://schemas.openxmlformats.org/officeDocument/2006/relationships/hyperlink" Target="http://tirto.id" TargetMode="External"/><Relationship Id="rId16" Type="http://schemas.openxmlformats.org/officeDocument/2006/relationships/hyperlink" Target="http://okezone.com" TargetMode="External"/><Relationship Id="rId19" Type="http://schemas.openxmlformats.org/officeDocument/2006/relationships/hyperlink" Target="http://detik.com" TargetMode="External"/><Relationship Id="rId510" Type="http://schemas.openxmlformats.org/officeDocument/2006/relationships/hyperlink" Target="https://news.okezone.com/read/2019/10/03/340/2112194/bocah-6-tahun-tewas-dianiaya-pacar-sesama-jenis-tantenya-di-samarinda" TargetMode="External"/><Relationship Id="rId631" Type="http://schemas.openxmlformats.org/officeDocument/2006/relationships/hyperlink" Target="http://tempo.co" TargetMode="External"/><Relationship Id="rId18" Type="http://schemas.openxmlformats.org/officeDocument/2006/relationships/hyperlink" Target="http://tirto.id" TargetMode="External"/><Relationship Id="rId630" Type="http://schemas.openxmlformats.org/officeDocument/2006/relationships/hyperlink" Target="https://www.cnnindonesia.com/nasional/20191121183103-20-450423/angkie-yudistia-penulis-tunarungu-yang-jadi-stafsus-jokowi" TargetMode="External"/><Relationship Id="rId84" Type="http://schemas.openxmlformats.org/officeDocument/2006/relationships/hyperlink" Target="http://tribunnews.com" TargetMode="External"/><Relationship Id="rId83" Type="http://schemas.openxmlformats.org/officeDocument/2006/relationships/hyperlink" Target="http://liputan6.com" TargetMode="External"/><Relationship Id="rId86" Type="http://schemas.openxmlformats.org/officeDocument/2006/relationships/hyperlink" Target="http://detik.com" TargetMode="External"/><Relationship Id="rId85" Type="http://schemas.openxmlformats.org/officeDocument/2006/relationships/hyperlink" Target="http://okezone.com" TargetMode="External"/><Relationship Id="rId88" Type="http://schemas.openxmlformats.org/officeDocument/2006/relationships/hyperlink" Target="http://tribunnews.com" TargetMode="External"/><Relationship Id="rId87" Type="http://schemas.openxmlformats.org/officeDocument/2006/relationships/hyperlink" Target="https://news.detik.com/abc-australia/d-4465345/mengapa-selalu-saja-ada-orang-yang-mengaku-nabi-di-indonesia" TargetMode="External"/><Relationship Id="rId89" Type="http://schemas.openxmlformats.org/officeDocument/2006/relationships/hyperlink" Target="http://kompas.com" TargetMode="External"/><Relationship Id="rId80" Type="http://schemas.openxmlformats.org/officeDocument/2006/relationships/hyperlink" Target="https://pemilu.tempo.co/read/1164057/kontras-sebut-debat-capres-mirip-pemilihan-ketua-osis" TargetMode="External"/><Relationship Id="rId82" Type="http://schemas.openxmlformats.org/officeDocument/2006/relationships/hyperlink" Target="http://detik.com" TargetMode="External"/><Relationship Id="rId81" Type="http://schemas.openxmlformats.org/officeDocument/2006/relationships/hyperlink" Target="http://suara.com" TargetMode="External"/><Relationship Id="rId73" Type="http://schemas.openxmlformats.org/officeDocument/2006/relationships/hyperlink" Target="https://lifestyle.okezone.com/read/2019/01/11/196/2003285/nyanyikan-langsung-untuk-ganjar-carisa-si-bocah-tunanetra-dapat-pujian" TargetMode="External"/><Relationship Id="rId72" Type="http://schemas.openxmlformats.org/officeDocument/2006/relationships/hyperlink" Target="http://okezone.com" TargetMode="External"/><Relationship Id="rId75" Type="http://schemas.openxmlformats.org/officeDocument/2006/relationships/hyperlink" Target="http://cnnindonesia.com" TargetMode="External"/><Relationship Id="rId74" Type="http://schemas.openxmlformats.org/officeDocument/2006/relationships/hyperlink" Target="http://tirto.id" TargetMode="External"/><Relationship Id="rId77" Type="http://schemas.openxmlformats.org/officeDocument/2006/relationships/hyperlink" Target="http://okezone.com" TargetMode="External"/><Relationship Id="rId76" Type="http://schemas.openxmlformats.org/officeDocument/2006/relationships/hyperlink" Target="https://www.cnnindonesia.com/nasional/20190111125340-12-360141/diduga-gangguan-jiwa-oknum-tni-al-tusuk-tetangga-di-koja" TargetMode="External"/><Relationship Id="rId79" Type="http://schemas.openxmlformats.org/officeDocument/2006/relationships/hyperlink" Target="http://tempo.co" TargetMode="External"/><Relationship Id="rId78" Type="http://schemas.openxmlformats.org/officeDocument/2006/relationships/hyperlink" Target="http://tirto.id" TargetMode="External"/><Relationship Id="rId71" Type="http://schemas.openxmlformats.org/officeDocument/2006/relationships/hyperlink" Target="http://detik.com" TargetMode="External"/><Relationship Id="rId70" Type="http://schemas.openxmlformats.org/officeDocument/2006/relationships/hyperlink" Target="https://metro.tempo.co/read/1164503/siap-digunakan-jpo-senayan-jadi-incaran-netizen-berselfie" TargetMode="External"/><Relationship Id="rId62" Type="http://schemas.openxmlformats.org/officeDocument/2006/relationships/hyperlink" Target="http://tirto.id" TargetMode="External"/><Relationship Id="rId61" Type="http://schemas.openxmlformats.org/officeDocument/2006/relationships/hyperlink" Target="http://liputan6.com" TargetMode="External"/><Relationship Id="rId64" Type="http://schemas.openxmlformats.org/officeDocument/2006/relationships/hyperlink" Target="http://cnnindonesia.com" TargetMode="External"/><Relationship Id="rId63" Type="http://schemas.openxmlformats.org/officeDocument/2006/relationships/hyperlink" Target="http://tempo.co" TargetMode="External"/><Relationship Id="rId66" Type="http://schemas.openxmlformats.org/officeDocument/2006/relationships/hyperlink" Target="http://liputan6.com" TargetMode="External"/><Relationship Id="rId65" Type="http://schemas.openxmlformats.org/officeDocument/2006/relationships/hyperlink" Target="https://www.cnnindonesia.com/nasional/20190812203902-20-420708/lintas-agama-semarang-ingin-mbah-moen-jadi-pahlawan-nasional" TargetMode="External"/><Relationship Id="rId68" Type="http://schemas.openxmlformats.org/officeDocument/2006/relationships/hyperlink" Target="http://republika.co.id" TargetMode="External"/><Relationship Id="rId67" Type="http://schemas.openxmlformats.org/officeDocument/2006/relationships/hyperlink" Target="http://republika.co.id" TargetMode="External"/><Relationship Id="rId609" Type="http://schemas.openxmlformats.org/officeDocument/2006/relationships/hyperlink" Target="https://internasional.kompas.com/read/2019/11/19/07021421/kaitkan-kebakaran-hutan-dengan-legalisasi-pernikahan-sesama-jenis" TargetMode="External"/><Relationship Id="rId608" Type="http://schemas.openxmlformats.org/officeDocument/2006/relationships/hyperlink" Target="https://www.cnnindonesia.com/nasional/20191121071618-20-450177/diskriminasi-di-cpns-wanita-hamil-dan-lgbt-tak-bisa-daftar" TargetMode="External"/><Relationship Id="rId607" Type="http://schemas.openxmlformats.org/officeDocument/2006/relationships/hyperlink" Target="https://metro.tempo.co/read/1285331/polisi-suami-korban-kdrt-jalani-rawat-jalan" TargetMode="External"/><Relationship Id="rId60" Type="http://schemas.openxmlformats.org/officeDocument/2006/relationships/hyperlink" Target="http://suara.com" TargetMode="External"/><Relationship Id="rId602" Type="http://schemas.openxmlformats.org/officeDocument/2006/relationships/hyperlink" Target="https://nasional.republika.co.id/berita/q1bi2q328/angkie-yudistia-staf-khusus-presiden-disabilitas-pertama" TargetMode="External"/><Relationship Id="rId601" Type="http://schemas.openxmlformats.org/officeDocument/2006/relationships/hyperlink" Target="https://www.liputan6.com/citizen6/read/4079263/fakta-fakta-tiyo-bocah-disabilitas-asal-ciamis-pemilik-iq-tinggi" TargetMode="External"/><Relationship Id="rId600" Type="http://schemas.openxmlformats.org/officeDocument/2006/relationships/hyperlink" Target="https://www.cnnindonesia.com/internasional/20191213131933-113-456691/demo-tolak-ruu-kewarganegaraan-di-india-telan-korban-jiwa" TargetMode="External"/><Relationship Id="rId606" Type="http://schemas.openxmlformats.org/officeDocument/2006/relationships/hyperlink" Target="http://tempo.co" TargetMode="External"/><Relationship Id="rId605" Type="http://schemas.openxmlformats.org/officeDocument/2006/relationships/hyperlink" Target="https://republika.co.id/berita/q16xsq349/mahasiswa-ub-ciptakan-alat-deteksi-penyakit-skizofrenia" TargetMode="External"/><Relationship Id="rId604" Type="http://schemas.openxmlformats.org/officeDocument/2006/relationships/hyperlink" Target="https://cantik.tempo.co/read/1275775/cerita-angkie-yudistia-tunarungu-yang-jadi-staf-khusus-presiden" TargetMode="External"/><Relationship Id="rId603" Type="http://schemas.openxmlformats.org/officeDocument/2006/relationships/hyperlink" Target="http://tempo.co" TargetMode="External"/><Relationship Id="rId69" Type="http://schemas.openxmlformats.org/officeDocument/2006/relationships/hyperlink" Target="http://tempo.co" TargetMode="External"/><Relationship Id="rId51" Type="http://schemas.openxmlformats.org/officeDocument/2006/relationships/hyperlink" Target="http://republika.co.id" TargetMode="External"/><Relationship Id="rId50" Type="http://schemas.openxmlformats.org/officeDocument/2006/relationships/hyperlink" Target="http://republika.co.id" TargetMode="External"/><Relationship Id="rId53" Type="http://schemas.openxmlformats.org/officeDocument/2006/relationships/hyperlink" Target="http://liputan6.com" TargetMode="External"/><Relationship Id="rId52" Type="http://schemas.openxmlformats.org/officeDocument/2006/relationships/hyperlink" Target="http://republika.co.id" TargetMode="External"/><Relationship Id="rId55" Type="http://schemas.openxmlformats.org/officeDocument/2006/relationships/hyperlink" Target="http://cnnindonesia.com" TargetMode="External"/><Relationship Id="rId54" Type="http://schemas.openxmlformats.org/officeDocument/2006/relationships/hyperlink" Target="http://liputan6.com" TargetMode="External"/><Relationship Id="rId57" Type="http://schemas.openxmlformats.org/officeDocument/2006/relationships/hyperlink" Target="http://cnnindonesia.com" TargetMode="External"/><Relationship Id="rId56" Type="http://schemas.openxmlformats.org/officeDocument/2006/relationships/hyperlink" Target="http://kompas.com" TargetMode="External"/><Relationship Id="rId59" Type="http://schemas.openxmlformats.org/officeDocument/2006/relationships/hyperlink" Target="http://liputan6.com" TargetMode="External"/><Relationship Id="rId58" Type="http://schemas.openxmlformats.org/officeDocument/2006/relationships/hyperlink" Target="http://tribunnews.com" TargetMode="External"/><Relationship Id="rId590" Type="http://schemas.openxmlformats.org/officeDocument/2006/relationships/hyperlink" Target="https://megapolitan.kompas.com/read/2019/12/18/18273771/dibawa-polisi-istri-yang-pukuli-suami-pengidap-stroke-mengamuk" TargetMode="External"/><Relationship Id="rId107" Type="http://schemas.openxmlformats.org/officeDocument/2006/relationships/hyperlink" Target="http://okezone.com" TargetMode="External"/><Relationship Id="rId228" Type="http://schemas.openxmlformats.org/officeDocument/2006/relationships/hyperlink" Target="https://www.cnnindonesia.com/nasional/20190113162842-32-360472/gk-pengusaha-deklarasi-dukungan-untuk-jokowi-maruf" TargetMode="External"/><Relationship Id="rId349" Type="http://schemas.openxmlformats.org/officeDocument/2006/relationships/hyperlink" Target="http://tirto.id" TargetMode="External"/><Relationship Id="rId106" Type="http://schemas.openxmlformats.org/officeDocument/2006/relationships/hyperlink" Target="http://republika.co.id" TargetMode="External"/><Relationship Id="rId227" Type="http://schemas.openxmlformats.org/officeDocument/2006/relationships/hyperlink" Target="http://cnnindonesia.com" TargetMode="External"/><Relationship Id="rId348" Type="http://schemas.openxmlformats.org/officeDocument/2006/relationships/hyperlink" Target="http://kompas.com" TargetMode="External"/><Relationship Id="rId469" Type="http://schemas.openxmlformats.org/officeDocument/2006/relationships/hyperlink" Target="http://tempo.co" TargetMode="External"/><Relationship Id="rId105" Type="http://schemas.openxmlformats.org/officeDocument/2006/relationships/hyperlink" Target="http://tribunnews.com" TargetMode="External"/><Relationship Id="rId226" Type="http://schemas.openxmlformats.org/officeDocument/2006/relationships/hyperlink" Target="http://tempo.co" TargetMode="External"/><Relationship Id="rId347" Type="http://schemas.openxmlformats.org/officeDocument/2006/relationships/hyperlink" Target="http://cnnindonesia.com" TargetMode="External"/><Relationship Id="rId468" Type="http://schemas.openxmlformats.org/officeDocument/2006/relationships/hyperlink" Target="http://tempo.co" TargetMode="External"/><Relationship Id="rId589" Type="http://schemas.openxmlformats.org/officeDocument/2006/relationships/hyperlink" Target="https://sport.tempo.co/read/1286022/asean-para-games-2020-angkat-berat-berharap-emas-pada-putri" TargetMode="External"/><Relationship Id="rId104" Type="http://schemas.openxmlformats.org/officeDocument/2006/relationships/hyperlink" Target="http://kompas.com" TargetMode="External"/><Relationship Id="rId225" Type="http://schemas.openxmlformats.org/officeDocument/2006/relationships/hyperlink" Target="https://news.detik.com/berita/d-4395568/balita-di-aceh-tinggal-serumah-dengan-ayah-yang-gangguan-jiwa" TargetMode="External"/><Relationship Id="rId346" Type="http://schemas.openxmlformats.org/officeDocument/2006/relationships/hyperlink" Target="http://republika.co.id" TargetMode="External"/><Relationship Id="rId467" Type="http://schemas.openxmlformats.org/officeDocument/2006/relationships/hyperlink" Target="http://tempo.co" TargetMode="External"/><Relationship Id="rId588" Type="http://schemas.openxmlformats.org/officeDocument/2006/relationships/hyperlink" Target="http://tempo.co" TargetMode="External"/><Relationship Id="rId109" Type="http://schemas.openxmlformats.org/officeDocument/2006/relationships/hyperlink" Target="http://detik.com" TargetMode="External"/><Relationship Id="rId108" Type="http://schemas.openxmlformats.org/officeDocument/2006/relationships/hyperlink" Target="http://tempo.co" TargetMode="External"/><Relationship Id="rId229" Type="http://schemas.openxmlformats.org/officeDocument/2006/relationships/hyperlink" Target="http://kompas.com" TargetMode="External"/><Relationship Id="rId220" Type="http://schemas.openxmlformats.org/officeDocument/2006/relationships/hyperlink" Target="http://okezone.com" TargetMode="External"/><Relationship Id="rId341" Type="http://schemas.openxmlformats.org/officeDocument/2006/relationships/hyperlink" Target="http://cnnindonesia.com" TargetMode="External"/><Relationship Id="rId462" Type="http://schemas.openxmlformats.org/officeDocument/2006/relationships/hyperlink" Target="http://tempo.co" TargetMode="External"/><Relationship Id="rId583" Type="http://schemas.openxmlformats.org/officeDocument/2006/relationships/hyperlink" Target="https://economy.okezone.com/read/2019/12/23/320/2145044/sri-mulyani-ibu-teman-dekat-saat-anaknya-mengalami-masa-sulit" TargetMode="External"/><Relationship Id="rId340" Type="http://schemas.openxmlformats.org/officeDocument/2006/relationships/hyperlink" Target="https://news.okezone.com/read/2019/04/22/18/2046333/pelaut-buta-jepang-catat-rekor-dengan-berlayar-lintasi-pasifik-tanpa-henti" TargetMode="External"/><Relationship Id="rId461" Type="http://schemas.openxmlformats.org/officeDocument/2006/relationships/hyperlink" Target="http://tempo.co" TargetMode="External"/><Relationship Id="rId582" Type="http://schemas.openxmlformats.org/officeDocument/2006/relationships/hyperlink" Target="https://metro.tempo.co/read/1282859/dugaan-pemerkosaan-rizky-amelia-komnas-perempuan-curigai-2-hal" TargetMode="External"/><Relationship Id="rId460" Type="http://schemas.openxmlformats.org/officeDocument/2006/relationships/hyperlink" Target="http://tempo.co" TargetMode="External"/><Relationship Id="rId581" Type="http://schemas.openxmlformats.org/officeDocument/2006/relationships/hyperlink" Target="http://tempo.co" TargetMode="External"/><Relationship Id="rId580" Type="http://schemas.openxmlformats.org/officeDocument/2006/relationships/hyperlink" Target="https://regional.kompas.com/read/2019/11/24/16023951/berulang-kali-perkosa-istri-sahabat-pria-ini-tewas-dibacok" TargetMode="External"/><Relationship Id="rId103" Type="http://schemas.openxmlformats.org/officeDocument/2006/relationships/hyperlink" Target="http://kompas.com" TargetMode="External"/><Relationship Id="rId224" Type="http://schemas.openxmlformats.org/officeDocument/2006/relationships/hyperlink" Target="http://detik.com" TargetMode="External"/><Relationship Id="rId345" Type="http://schemas.openxmlformats.org/officeDocument/2006/relationships/hyperlink" Target="http://detik.com" TargetMode="External"/><Relationship Id="rId466" Type="http://schemas.openxmlformats.org/officeDocument/2006/relationships/hyperlink" Target="https://nasional.republika.co.id/berita/pugtkk377/lbh-jakarta-minta-polisi-setop-kasus-bawa-anjing-ke-masjid" TargetMode="External"/><Relationship Id="rId587" Type="http://schemas.openxmlformats.org/officeDocument/2006/relationships/hyperlink" Target="https://news.detik.com/berita/d-4740260/ylbhi-dan-pemerhati-odgj-somasi-dirut-bpjs-kesehatan-terkait-postingan-joker" TargetMode="External"/><Relationship Id="rId102" Type="http://schemas.openxmlformats.org/officeDocument/2006/relationships/hyperlink" Target="https://www.suara.com/news/2019/07/23/181552/indonesia-akhirnya-akui-dan-atur-pernikahan-umat-penghayat-kepercayaan" TargetMode="External"/><Relationship Id="rId223" Type="http://schemas.openxmlformats.org/officeDocument/2006/relationships/hyperlink" Target="http://cnnindonesia.com" TargetMode="External"/><Relationship Id="rId344" Type="http://schemas.openxmlformats.org/officeDocument/2006/relationships/hyperlink" Target="http://tirto.id" TargetMode="External"/><Relationship Id="rId465" Type="http://schemas.openxmlformats.org/officeDocument/2006/relationships/hyperlink" Target="http://detik.com" TargetMode="External"/><Relationship Id="rId586" Type="http://schemas.openxmlformats.org/officeDocument/2006/relationships/hyperlink" Target="https://difabel.tempo.co/read/1256099/tips-mendidik-anak-dengan-multi-disabilitas" TargetMode="External"/><Relationship Id="rId101" Type="http://schemas.openxmlformats.org/officeDocument/2006/relationships/hyperlink" Target="http://suara.com" TargetMode="External"/><Relationship Id="rId222" Type="http://schemas.openxmlformats.org/officeDocument/2006/relationships/hyperlink" Target="https://www.suara.com/news/2019/01/27/153338/perkosa-perempuan-difabel-guru-honerer-ini-berakhir-dibui" TargetMode="External"/><Relationship Id="rId343" Type="http://schemas.openxmlformats.org/officeDocument/2006/relationships/hyperlink" Target="http://kompas.com" TargetMode="External"/><Relationship Id="rId464" Type="http://schemas.openxmlformats.org/officeDocument/2006/relationships/hyperlink" Target="http://tempo.co" TargetMode="External"/><Relationship Id="rId585" Type="http://schemas.openxmlformats.org/officeDocument/2006/relationships/hyperlink" Target="http://tempo.co" TargetMode="External"/><Relationship Id="rId100" Type="http://schemas.openxmlformats.org/officeDocument/2006/relationships/hyperlink" Target="http://detik.com" TargetMode="External"/><Relationship Id="rId221" Type="http://schemas.openxmlformats.org/officeDocument/2006/relationships/hyperlink" Target="http://suara.com" TargetMode="External"/><Relationship Id="rId342" Type="http://schemas.openxmlformats.org/officeDocument/2006/relationships/hyperlink" Target="http://tribunnews.com" TargetMode="External"/><Relationship Id="rId463" Type="http://schemas.openxmlformats.org/officeDocument/2006/relationships/hyperlink" Target="http://tempo.co" TargetMode="External"/><Relationship Id="rId584" Type="http://schemas.openxmlformats.org/officeDocument/2006/relationships/hyperlink" Target="https://jatim.suara.com/read/2019/12/07/191008/murid-disumpah-alquran-untuk-dicabuli-guru-bk-huda-pakai-ijazah-palsu" TargetMode="External"/><Relationship Id="rId217" Type="http://schemas.openxmlformats.org/officeDocument/2006/relationships/hyperlink" Target="http://kompas.com" TargetMode="External"/><Relationship Id="rId338" Type="http://schemas.openxmlformats.org/officeDocument/2006/relationships/hyperlink" Target="http://suara.com" TargetMode="External"/><Relationship Id="rId459" Type="http://schemas.openxmlformats.org/officeDocument/2006/relationships/hyperlink" Target="http://tempo.co" TargetMode="External"/><Relationship Id="rId216" Type="http://schemas.openxmlformats.org/officeDocument/2006/relationships/hyperlink" Target="http://tribunnews.com" TargetMode="External"/><Relationship Id="rId337" Type="http://schemas.openxmlformats.org/officeDocument/2006/relationships/hyperlink" Target="http://liputan6.com" TargetMode="External"/><Relationship Id="rId458" Type="http://schemas.openxmlformats.org/officeDocument/2006/relationships/hyperlink" Target="http://detik.com" TargetMode="External"/><Relationship Id="rId579" Type="http://schemas.openxmlformats.org/officeDocument/2006/relationships/hyperlink" Target="http://tempo.co" TargetMode="External"/><Relationship Id="rId215" Type="http://schemas.openxmlformats.org/officeDocument/2006/relationships/hyperlink" Target="http://detik.com" TargetMode="External"/><Relationship Id="rId336" Type="http://schemas.openxmlformats.org/officeDocument/2006/relationships/hyperlink" Target="http://tribunnews.com" TargetMode="External"/><Relationship Id="rId457" Type="http://schemas.openxmlformats.org/officeDocument/2006/relationships/hyperlink" Target="http://tribunnews.com" TargetMode="External"/><Relationship Id="rId578" Type="http://schemas.openxmlformats.org/officeDocument/2006/relationships/hyperlink" Target="https://hot.detik.com/celeb/d-4794622/kania-bp-lebih-sakit-kehilangan-ayah-daripada-dibuat-bonyok-suami" TargetMode="External"/><Relationship Id="rId214" Type="http://schemas.openxmlformats.org/officeDocument/2006/relationships/hyperlink" Target="http://okezone.com" TargetMode="External"/><Relationship Id="rId335" Type="http://schemas.openxmlformats.org/officeDocument/2006/relationships/hyperlink" Target="http://liputan6.com" TargetMode="External"/><Relationship Id="rId456" Type="http://schemas.openxmlformats.org/officeDocument/2006/relationships/hyperlink" Target="http://detik.com" TargetMode="External"/><Relationship Id="rId577" Type="http://schemas.openxmlformats.org/officeDocument/2006/relationships/hyperlink" Target="https://internasional.republika.co.id/berita/q191u3382/penyelidikan-kasus-pemerkosaan-julian-assange-dihentikan" TargetMode="External"/><Relationship Id="rId219" Type="http://schemas.openxmlformats.org/officeDocument/2006/relationships/hyperlink" Target="http://suara.com" TargetMode="External"/><Relationship Id="rId218" Type="http://schemas.openxmlformats.org/officeDocument/2006/relationships/hyperlink" Target="http://kompas.com" TargetMode="External"/><Relationship Id="rId339" Type="http://schemas.openxmlformats.org/officeDocument/2006/relationships/hyperlink" Target="http://okezone.com" TargetMode="External"/><Relationship Id="rId330" Type="http://schemas.openxmlformats.org/officeDocument/2006/relationships/hyperlink" Target="http://tribunnews.com" TargetMode="External"/><Relationship Id="rId451" Type="http://schemas.openxmlformats.org/officeDocument/2006/relationships/hyperlink" Target="http://tribunnews.com" TargetMode="External"/><Relationship Id="rId572" Type="http://schemas.openxmlformats.org/officeDocument/2006/relationships/hyperlink" Target="https://hot.detik.com/movie/d-4828760/star-wars-the-rise-of-skywalker-jadi-representasi-lgbt" TargetMode="External"/><Relationship Id="rId450" Type="http://schemas.openxmlformats.org/officeDocument/2006/relationships/hyperlink" Target="http://tempo.co" TargetMode="External"/><Relationship Id="rId571" Type="http://schemas.openxmlformats.org/officeDocument/2006/relationships/hyperlink" Target="https://nasional.kompas.com/read/2019/11/25/10103341/amnesty-international-indonesia-syarat-diskriminatif-bagi-pelamar-cpns-2019" TargetMode="External"/><Relationship Id="rId570" Type="http://schemas.openxmlformats.org/officeDocument/2006/relationships/hyperlink" Target="https://www.cnnindonesia.com/nasional/20191124140414-20-451016/ppp-soal-tes-cpns-islam-agama-terbesar-dan-larang-lgbt" TargetMode="External"/><Relationship Id="rId213" Type="http://schemas.openxmlformats.org/officeDocument/2006/relationships/hyperlink" Target="https://www.cnnindonesia.com/nasional/20190408090548-32-384176/dokter-jiwa-hak-pilih-bagi-gangguan-jiwa-sudah-sejak-95" TargetMode="External"/><Relationship Id="rId334" Type="http://schemas.openxmlformats.org/officeDocument/2006/relationships/hyperlink" Target="http://liputan6.com" TargetMode="External"/><Relationship Id="rId455" Type="http://schemas.openxmlformats.org/officeDocument/2006/relationships/hyperlink" Target="http://tempo.co" TargetMode="External"/><Relationship Id="rId576" Type="http://schemas.openxmlformats.org/officeDocument/2006/relationships/hyperlink" Target="https://nasional.tempo.co/read/1276496/pemerintah-dinilai-belum-maksimal-bantu-korban-kekerasan-seksual" TargetMode="External"/><Relationship Id="rId212" Type="http://schemas.openxmlformats.org/officeDocument/2006/relationships/hyperlink" Target="http://cnnindonesia.com" TargetMode="External"/><Relationship Id="rId333" Type="http://schemas.openxmlformats.org/officeDocument/2006/relationships/hyperlink" Target="http://tempo.co" TargetMode="External"/><Relationship Id="rId454" Type="http://schemas.openxmlformats.org/officeDocument/2006/relationships/hyperlink" Target="http://tempo.co" TargetMode="External"/><Relationship Id="rId575" Type="http://schemas.openxmlformats.org/officeDocument/2006/relationships/hyperlink" Target="http://tempo.co" TargetMode="External"/><Relationship Id="rId211" Type="http://schemas.openxmlformats.org/officeDocument/2006/relationships/hyperlink" Target="https://www.liputan6.com/news/read/3951152/headline-kisah-caleg-gagal-di-pemilu-2019-siap-menang-tapi-tak-siap-kalah" TargetMode="External"/><Relationship Id="rId332" Type="http://schemas.openxmlformats.org/officeDocument/2006/relationships/hyperlink" Target="http://detik.com" TargetMode="External"/><Relationship Id="rId453" Type="http://schemas.openxmlformats.org/officeDocument/2006/relationships/hyperlink" Target="http://tempo.co" TargetMode="External"/><Relationship Id="rId574" Type="http://schemas.openxmlformats.org/officeDocument/2006/relationships/hyperlink" Target="https://www.suara.com/health/2019/10/02/194500/kekerasan-berbasis-gender-masih-tinggi-di-indonesia-terlebih-pengidap-hiv" TargetMode="External"/><Relationship Id="rId210" Type="http://schemas.openxmlformats.org/officeDocument/2006/relationships/hyperlink" Target="http://liputan6.com" TargetMode="External"/><Relationship Id="rId331" Type="http://schemas.openxmlformats.org/officeDocument/2006/relationships/hyperlink" Target="http://republika.co.id" TargetMode="External"/><Relationship Id="rId452" Type="http://schemas.openxmlformats.org/officeDocument/2006/relationships/hyperlink" Target="http://tempo.co" TargetMode="External"/><Relationship Id="rId573" Type="http://schemas.openxmlformats.org/officeDocument/2006/relationships/hyperlink" Target="https://www.tribunnews.com/regional/2019/10/05/ibu-muda-di-sintang-nyari-jadi-korban-pemerkosaan-yang-dilakukan-teman-suami" TargetMode="External"/><Relationship Id="rId370" Type="http://schemas.openxmlformats.org/officeDocument/2006/relationships/hyperlink" Target="http://liputan6.com" TargetMode="External"/><Relationship Id="rId491" Type="http://schemas.openxmlformats.org/officeDocument/2006/relationships/hyperlink" Target="http://tempo.co" TargetMode="External"/><Relationship Id="rId490" Type="http://schemas.openxmlformats.org/officeDocument/2006/relationships/hyperlink" Target="https://jogja.suara.com/read/2019/11/14/163152/disbud-diy-sebut-komunitas-padma-buana-di-mangir-lor-belum-masuk-dalam-mlki" TargetMode="External"/><Relationship Id="rId129" Type="http://schemas.openxmlformats.org/officeDocument/2006/relationships/hyperlink" Target="http://liputan6.com" TargetMode="External"/><Relationship Id="rId128" Type="http://schemas.openxmlformats.org/officeDocument/2006/relationships/hyperlink" Target="https://www.cnnindonesia.com/gaya-hidup/20190224112311-269-372163/menguji-fasilitas-kursi-roda-di-jakarta" TargetMode="External"/><Relationship Id="rId249" Type="http://schemas.openxmlformats.org/officeDocument/2006/relationships/hyperlink" Target="http://kompas.com" TargetMode="External"/><Relationship Id="rId127" Type="http://schemas.openxmlformats.org/officeDocument/2006/relationships/hyperlink" Target="http://cnnindonesia.com" TargetMode="External"/><Relationship Id="rId248" Type="http://schemas.openxmlformats.org/officeDocument/2006/relationships/hyperlink" Target="https://www.suara.com/news/2019/02/26/181511/orangtua-bocah-yang-ditemukan-tewas-di-blitar-alami-keterbelakangan-mental" TargetMode="External"/><Relationship Id="rId369" Type="http://schemas.openxmlformats.org/officeDocument/2006/relationships/hyperlink" Target="http://okezone.com" TargetMode="External"/><Relationship Id="rId126" Type="http://schemas.openxmlformats.org/officeDocument/2006/relationships/hyperlink" Target="http://liputan6.com" TargetMode="External"/><Relationship Id="rId247" Type="http://schemas.openxmlformats.org/officeDocument/2006/relationships/hyperlink" Target="http://suara.com" TargetMode="External"/><Relationship Id="rId368" Type="http://schemas.openxmlformats.org/officeDocument/2006/relationships/hyperlink" Target="http://kompas.com" TargetMode="External"/><Relationship Id="rId489" Type="http://schemas.openxmlformats.org/officeDocument/2006/relationships/hyperlink" Target="http://tempo.co" TargetMode="External"/><Relationship Id="rId121" Type="http://schemas.openxmlformats.org/officeDocument/2006/relationships/hyperlink" Target="http://tempo.co" TargetMode="External"/><Relationship Id="rId242" Type="http://schemas.openxmlformats.org/officeDocument/2006/relationships/hyperlink" Target="http://tirto.id" TargetMode="External"/><Relationship Id="rId363" Type="http://schemas.openxmlformats.org/officeDocument/2006/relationships/hyperlink" Target="http://tempo.co" TargetMode="External"/><Relationship Id="rId484" Type="http://schemas.openxmlformats.org/officeDocument/2006/relationships/hyperlink" Target="https://celebrity.okezone.com/read/2019/07/30/33/2085453/cupi-cupita-akui-sering-alami-pelecehan-seksual" TargetMode="External"/><Relationship Id="rId120" Type="http://schemas.openxmlformats.org/officeDocument/2006/relationships/hyperlink" Target="http://detik.com" TargetMode="External"/><Relationship Id="rId241" Type="http://schemas.openxmlformats.org/officeDocument/2006/relationships/hyperlink" Target="https://news.detik.com/berita-jawa-timur/d-4436177/kala-mantan-penderita-gangguan-mental-reuni" TargetMode="External"/><Relationship Id="rId362" Type="http://schemas.openxmlformats.org/officeDocument/2006/relationships/hyperlink" Target="http://tempo.co" TargetMode="External"/><Relationship Id="rId483" Type="http://schemas.openxmlformats.org/officeDocument/2006/relationships/hyperlink" Target="https://regional.kompas.com/read/2019/07/16/16251131/santri-korban-pencabulan-pimpinan-pesantren-di-aceh-didampingi-psikolog" TargetMode="External"/><Relationship Id="rId240" Type="http://schemas.openxmlformats.org/officeDocument/2006/relationships/hyperlink" Target="http://detik.com" TargetMode="External"/><Relationship Id="rId361" Type="http://schemas.openxmlformats.org/officeDocument/2006/relationships/hyperlink" Target="http://detik.com" TargetMode="External"/><Relationship Id="rId482" Type="http://schemas.openxmlformats.org/officeDocument/2006/relationships/hyperlink" Target="https://bola.republika.co.id/berita/sepakbola/freekick/pt2h3b438/kasus-pelecehan-seksual-neymar-penuhi-panggilan-kepolisian" TargetMode="External"/><Relationship Id="rId360" Type="http://schemas.openxmlformats.org/officeDocument/2006/relationships/hyperlink" Target="http://detik.com" TargetMode="External"/><Relationship Id="rId481" Type="http://schemas.openxmlformats.org/officeDocument/2006/relationships/hyperlink" Target="http://www.tribunnews.com/internasional/2019/05/08/payudara-anaknya-disetrika-setelah-sang-putri-melahirkan-di-usia-14-tahun" TargetMode="External"/><Relationship Id="rId125" Type="http://schemas.openxmlformats.org/officeDocument/2006/relationships/hyperlink" Target="http://republika.co.id" TargetMode="External"/><Relationship Id="rId246" Type="http://schemas.openxmlformats.org/officeDocument/2006/relationships/hyperlink" Target="https://www.suara.com/news/2019/02/25/161429/selain-perkosa-kakak-yang-difabel-sang-adik-pernah-cabuli-kambing-tetangga" TargetMode="External"/><Relationship Id="rId367" Type="http://schemas.openxmlformats.org/officeDocument/2006/relationships/hyperlink" Target="http://tribunnews.com" TargetMode="External"/><Relationship Id="rId488" Type="http://schemas.openxmlformats.org/officeDocument/2006/relationships/hyperlink" Target="https://www.liputan6.com/news/read/4028808/polisi-bekuk-pelaku-pembunuhan-mahasiswi-di-sukabumi" TargetMode="External"/><Relationship Id="rId124" Type="http://schemas.openxmlformats.org/officeDocument/2006/relationships/hyperlink" Target="http://tempo.co" TargetMode="External"/><Relationship Id="rId245" Type="http://schemas.openxmlformats.org/officeDocument/2006/relationships/hyperlink" Target="http://suara.com" TargetMode="External"/><Relationship Id="rId366" Type="http://schemas.openxmlformats.org/officeDocument/2006/relationships/hyperlink" Target="http://kompas.com" TargetMode="External"/><Relationship Id="rId487" Type="http://schemas.openxmlformats.org/officeDocument/2006/relationships/hyperlink" Target="https://tirto.id/hukuman-kebiri-masih-dimasalahkan-kok-aparat-diberi-penghargaan-ehe3" TargetMode="External"/><Relationship Id="rId123" Type="http://schemas.openxmlformats.org/officeDocument/2006/relationships/hyperlink" Target="http://www.tribunnews.com/nasional/2019/02/28/dirjen-dukcapil-bantah-isu-kolom-agama-pada-ktp-el-dihapus" TargetMode="External"/><Relationship Id="rId244" Type="http://schemas.openxmlformats.org/officeDocument/2006/relationships/hyperlink" Target="https://megapolitan.kompas.com/read/2019/02/08/20393731/dki-akan-buat-trotoar-di-gatot-subroto-ramah-penyandang-disabilitas" TargetMode="External"/><Relationship Id="rId365" Type="http://schemas.openxmlformats.org/officeDocument/2006/relationships/hyperlink" Target="http://suara.com" TargetMode="External"/><Relationship Id="rId486" Type="http://schemas.openxmlformats.org/officeDocument/2006/relationships/hyperlink" Target="https://nasional.republika.co.id/berita/pu8ib6377/baiq-nuril-yang-mendunia" TargetMode="External"/><Relationship Id="rId122" Type="http://schemas.openxmlformats.org/officeDocument/2006/relationships/hyperlink" Target="http://tribunnews.com" TargetMode="External"/><Relationship Id="rId243" Type="http://schemas.openxmlformats.org/officeDocument/2006/relationships/hyperlink" Target="http://kompas.com" TargetMode="External"/><Relationship Id="rId364" Type="http://schemas.openxmlformats.org/officeDocument/2006/relationships/hyperlink" Target="http://liputan6.com" TargetMode="External"/><Relationship Id="rId485" Type="http://schemas.openxmlformats.org/officeDocument/2006/relationships/hyperlink" Target="https://nasional.republika.co.id/berita/pu7v2b459/ruu-pks-kembali-didesak-untuk-lekas-disahkan" TargetMode="External"/><Relationship Id="rId95" Type="http://schemas.openxmlformats.org/officeDocument/2006/relationships/hyperlink" Target="http://detik.com" TargetMode="External"/><Relationship Id="rId94" Type="http://schemas.openxmlformats.org/officeDocument/2006/relationships/hyperlink" Target="https://news.detik.com/bbc-world/d-4523945/pbb-desak-arab-saudi-tunda-semua-rencana-eksekusi-hukuman-mati" TargetMode="External"/><Relationship Id="rId97" Type="http://schemas.openxmlformats.org/officeDocument/2006/relationships/hyperlink" Target="http://tempo.co" TargetMode="External"/><Relationship Id="rId96" Type="http://schemas.openxmlformats.org/officeDocument/2006/relationships/hyperlink" Target="http://republika.co.id" TargetMode="External"/><Relationship Id="rId99" Type="http://schemas.openxmlformats.org/officeDocument/2006/relationships/hyperlink" Target="https://index.okezone.com/read/2019/06/13/614/2065994/kontroversi-zakir-naik-penceramah-kondang-yang-bikin-malaysia-dan-india-memanas" TargetMode="External"/><Relationship Id="rId480" Type="http://schemas.openxmlformats.org/officeDocument/2006/relationships/hyperlink" Target="https://regional.kompas.com/read/2019/04/13/15212691/5-fakta-prostitusi-online-2-siswi-smp-di-ambon-anggota-tni-terlibat-hingga" TargetMode="External"/><Relationship Id="rId98" Type="http://schemas.openxmlformats.org/officeDocument/2006/relationships/hyperlink" Target="http://okezone.com" TargetMode="External"/><Relationship Id="rId91" Type="http://schemas.openxmlformats.org/officeDocument/2006/relationships/hyperlink" Target="http://kompas.com" TargetMode="External"/><Relationship Id="rId90" Type="http://schemas.openxmlformats.org/officeDocument/2006/relationships/hyperlink" Target="https://nasional.kompas.com/read/2019/03/12/09305941/partai-partai-seharusnya-juga-diberi-kesempatan-debat-untuk-adu-gagasan" TargetMode="External"/><Relationship Id="rId93" Type="http://schemas.openxmlformats.org/officeDocument/2006/relationships/hyperlink" Target="http://detik.com" TargetMode="External"/><Relationship Id="rId92" Type="http://schemas.openxmlformats.org/officeDocument/2006/relationships/hyperlink" Target="http://tempo.co" TargetMode="External"/><Relationship Id="rId118" Type="http://schemas.openxmlformats.org/officeDocument/2006/relationships/hyperlink" Target="http://liputan6.com" TargetMode="External"/><Relationship Id="rId239" Type="http://schemas.openxmlformats.org/officeDocument/2006/relationships/hyperlink" Target="http://www.tribunnews.com/regional/2019/02/24/gadis-difabel-ini-ternyata-pernah-dirudapaksa-ayah-bersama-kakak-adik-kandungnya-secara-bergiliran" TargetMode="External"/><Relationship Id="rId117" Type="http://schemas.openxmlformats.org/officeDocument/2006/relationships/hyperlink" Target="https://www.suara.com/news/2019/03/06/151826/rasa-toleransi-di-upacara-tawur-kasanga-jelang-nyepi-di-blitar" TargetMode="External"/><Relationship Id="rId238" Type="http://schemas.openxmlformats.org/officeDocument/2006/relationships/hyperlink" Target="http://tribunnews.com" TargetMode="External"/><Relationship Id="rId359" Type="http://schemas.openxmlformats.org/officeDocument/2006/relationships/hyperlink" Target="http://okezone.com" TargetMode="External"/><Relationship Id="rId116" Type="http://schemas.openxmlformats.org/officeDocument/2006/relationships/hyperlink" Target="http://suara.com" TargetMode="External"/><Relationship Id="rId237" Type="http://schemas.openxmlformats.org/officeDocument/2006/relationships/hyperlink" Target="http://tirto.id" TargetMode="External"/><Relationship Id="rId358" Type="http://schemas.openxmlformats.org/officeDocument/2006/relationships/hyperlink" Target="http://liputan6.com" TargetMode="External"/><Relationship Id="rId479" Type="http://schemas.openxmlformats.org/officeDocument/2006/relationships/hyperlink" Target="https://www.liputan6.com/regional/read/3912926/janji-wali-kota-kupang-untuk-mantan-psk-karang-dempel" TargetMode="External"/><Relationship Id="rId115" Type="http://schemas.openxmlformats.org/officeDocument/2006/relationships/hyperlink" Target="http://detik.com" TargetMode="External"/><Relationship Id="rId236" Type="http://schemas.openxmlformats.org/officeDocument/2006/relationships/hyperlink" Target="https://nasional.tempo.co/read/1177300/ganjar-pranowo-duga-pelaku-teror-terima-pesan-dari-seseorang" TargetMode="External"/><Relationship Id="rId357" Type="http://schemas.openxmlformats.org/officeDocument/2006/relationships/hyperlink" Target="http://kompas.com" TargetMode="External"/><Relationship Id="rId478" Type="http://schemas.openxmlformats.org/officeDocument/2006/relationships/hyperlink" Target="https://index.okezone.com/read/2019/09/26/612/2109476/kisah-titi-pudji-nenek-yang-viral-ikut-aksi-unjuk-rasa-di-bandung" TargetMode="External"/><Relationship Id="rId599" Type="http://schemas.openxmlformats.org/officeDocument/2006/relationships/hyperlink" Target="http://tempo.co" TargetMode="External"/><Relationship Id="rId119" Type="http://schemas.openxmlformats.org/officeDocument/2006/relationships/hyperlink" Target="http://liputan6.com" TargetMode="External"/><Relationship Id="rId110" Type="http://schemas.openxmlformats.org/officeDocument/2006/relationships/hyperlink" Target="http://tempo.co" TargetMode="External"/><Relationship Id="rId231" Type="http://schemas.openxmlformats.org/officeDocument/2006/relationships/hyperlink" Target="http://suara.com" TargetMode="External"/><Relationship Id="rId352" Type="http://schemas.openxmlformats.org/officeDocument/2006/relationships/hyperlink" Target="http://tempo.co" TargetMode="External"/><Relationship Id="rId473" Type="http://schemas.openxmlformats.org/officeDocument/2006/relationships/hyperlink" Target="http://tempo.co" TargetMode="External"/><Relationship Id="rId594" Type="http://schemas.openxmlformats.org/officeDocument/2006/relationships/hyperlink" Target="https://tirto.id/analisis-asal-comot-soal-lgbt-ala-dwi-estiningsih-enjC" TargetMode="External"/><Relationship Id="rId230" Type="http://schemas.openxmlformats.org/officeDocument/2006/relationships/hyperlink" Target="https://regional.kompas.com/read/2019/01/19/11183911/harapan-terwujud-bocah-dinda-yang-lumpuh-layu-sejak-kecil-bisa-sekolah" TargetMode="External"/><Relationship Id="rId351" Type="http://schemas.openxmlformats.org/officeDocument/2006/relationships/hyperlink" Target="http://detik.com" TargetMode="External"/><Relationship Id="rId472" Type="http://schemas.openxmlformats.org/officeDocument/2006/relationships/hyperlink" Target="http://tempo.co" TargetMode="External"/><Relationship Id="rId593" Type="http://schemas.openxmlformats.org/officeDocument/2006/relationships/hyperlink" Target="https://www.tribunnews.com/nasional/2019/11/24/penjelasan-kenapa-lgbt-dilarang-ikut-cpns-2019-kejaksaan-agung" TargetMode="External"/><Relationship Id="rId350" Type="http://schemas.openxmlformats.org/officeDocument/2006/relationships/hyperlink" Target="http://detik.com" TargetMode="External"/><Relationship Id="rId471" Type="http://schemas.openxmlformats.org/officeDocument/2006/relationships/hyperlink" Target="http://tempo.co" TargetMode="External"/><Relationship Id="rId592" Type="http://schemas.openxmlformats.org/officeDocument/2006/relationships/hyperlink" Target="https://news.detik.com/berita-jawa-timur/d-4496667/dukun-cabul-di-jember-cabuli-4-siswi-smp-satu-di-antaranya-hamil" TargetMode="External"/><Relationship Id="rId470" Type="http://schemas.openxmlformats.org/officeDocument/2006/relationships/hyperlink" Target="http://tempo.co" TargetMode="External"/><Relationship Id="rId591" Type="http://schemas.openxmlformats.org/officeDocument/2006/relationships/hyperlink" Target="https://www.tribunnews.com/regional/2019/12/29/ibu-kandung-di-kediri-tega-bunuh-anak-gadisnya-terungkap-pelaku-menderita-skizofrenia" TargetMode="External"/><Relationship Id="rId114" Type="http://schemas.openxmlformats.org/officeDocument/2006/relationships/hyperlink" Target="http://kompas.com" TargetMode="External"/><Relationship Id="rId235" Type="http://schemas.openxmlformats.org/officeDocument/2006/relationships/hyperlink" Target="http://tempo.co" TargetMode="External"/><Relationship Id="rId356" Type="http://schemas.openxmlformats.org/officeDocument/2006/relationships/hyperlink" Target="http://tirto.id" TargetMode="External"/><Relationship Id="rId477" Type="http://schemas.openxmlformats.org/officeDocument/2006/relationships/hyperlink" Target="http://tempo.co" TargetMode="External"/><Relationship Id="rId598" Type="http://schemas.openxmlformats.org/officeDocument/2006/relationships/hyperlink" Target="http://tempo.co" TargetMode="External"/><Relationship Id="rId113" Type="http://schemas.openxmlformats.org/officeDocument/2006/relationships/hyperlink" Target="https://nasional.kompas.com/read/2019/01/10/06114071/debat-capres-diharapkan-angkat-isu-perlindungan-hak-kelompok-minoritas" TargetMode="External"/><Relationship Id="rId234" Type="http://schemas.openxmlformats.org/officeDocument/2006/relationships/hyperlink" Target="http://kompas.com" TargetMode="External"/><Relationship Id="rId355" Type="http://schemas.openxmlformats.org/officeDocument/2006/relationships/hyperlink" Target="http://okezone.com" TargetMode="External"/><Relationship Id="rId476" Type="http://schemas.openxmlformats.org/officeDocument/2006/relationships/hyperlink" Target="http://tempo.co" TargetMode="External"/><Relationship Id="rId597" Type="http://schemas.openxmlformats.org/officeDocument/2006/relationships/hyperlink" Target="http://tempo.co" TargetMode="External"/><Relationship Id="rId112" Type="http://schemas.openxmlformats.org/officeDocument/2006/relationships/hyperlink" Target="http://kompas.com" TargetMode="External"/><Relationship Id="rId233" Type="http://schemas.openxmlformats.org/officeDocument/2006/relationships/hyperlink" Target="https://internasional.kompas.com/read/2019/01/24/14365571/perawat-di-as-yang-hamili-pasien-vegetatif-ditangkap" TargetMode="External"/><Relationship Id="rId354" Type="http://schemas.openxmlformats.org/officeDocument/2006/relationships/hyperlink" Target="http://liputan6.com" TargetMode="External"/><Relationship Id="rId475" Type="http://schemas.openxmlformats.org/officeDocument/2006/relationships/hyperlink" Target="http://tempo.co" TargetMode="External"/><Relationship Id="rId596" Type="http://schemas.openxmlformats.org/officeDocument/2006/relationships/hyperlink" Target="https://regional.kompas.com/read/2019/10/04/18354161/semenit-keluar-penjara-terdakwa-pemerkosa-ditangkap-lagi-pengacara-meradang" TargetMode="External"/><Relationship Id="rId111" Type="http://schemas.openxmlformats.org/officeDocument/2006/relationships/hyperlink" Target="http://tempo.co" TargetMode="External"/><Relationship Id="rId232" Type="http://schemas.openxmlformats.org/officeDocument/2006/relationships/hyperlink" Target="http://kompas.com" TargetMode="External"/><Relationship Id="rId353" Type="http://schemas.openxmlformats.org/officeDocument/2006/relationships/hyperlink" Target="http://tirto.id" TargetMode="External"/><Relationship Id="rId474" Type="http://schemas.openxmlformats.org/officeDocument/2006/relationships/hyperlink" Target="http://tempo.co" TargetMode="External"/><Relationship Id="rId595" Type="http://schemas.openxmlformats.org/officeDocument/2006/relationships/hyperlink" Target="https://news.detik.com/berita-jawa-timur/d-4732851/kalap-karena-cemburu-suami-pukuli-istri-hingga-6-hari-nginap-di-rs" TargetMode="External"/><Relationship Id="rId305" Type="http://schemas.openxmlformats.org/officeDocument/2006/relationships/hyperlink" Target="http://detik.com" TargetMode="External"/><Relationship Id="rId426" Type="http://schemas.openxmlformats.org/officeDocument/2006/relationships/hyperlink" Target="http://tribunnews.com" TargetMode="External"/><Relationship Id="rId547" Type="http://schemas.openxmlformats.org/officeDocument/2006/relationships/hyperlink" Target="https://www.tribunnews.com/nasional/2019/11/21/angkie-yudistia-perempuan-tunarungu-yang-ditunjuk-jokowi-jadi-staf-khusus-presiden" TargetMode="External"/><Relationship Id="rId304" Type="http://schemas.openxmlformats.org/officeDocument/2006/relationships/hyperlink" Target="http://cnnindonesia.com" TargetMode="External"/><Relationship Id="rId425" Type="http://schemas.openxmlformats.org/officeDocument/2006/relationships/hyperlink" Target="http://kompas.com" TargetMode="External"/><Relationship Id="rId546" Type="http://schemas.openxmlformats.org/officeDocument/2006/relationships/hyperlink" Target="https://news.detik.com/berita-jawa-barat/d-4740049/jadi-tersangka-penculik-bocah-paud-di-tasik-mengaku-mau-merawat-korban" TargetMode="External"/><Relationship Id="rId303" Type="http://schemas.openxmlformats.org/officeDocument/2006/relationships/hyperlink" Target="http://tempo.co" TargetMode="External"/><Relationship Id="rId424" Type="http://schemas.openxmlformats.org/officeDocument/2006/relationships/hyperlink" Target="http://detik.com" TargetMode="External"/><Relationship Id="rId545" Type="http://schemas.openxmlformats.org/officeDocument/2006/relationships/hyperlink" Target="https://jatim.suara.com/read/2019/10/08/152022/pukul-ayah-pakai-linggis-alasan-imron-dipasung-di-kandang-kambing" TargetMode="External"/><Relationship Id="rId302" Type="http://schemas.openxmlformats.org/officeDocument/2006/relationships/hyperlink" Target="http://tribunnews.com" TargetMode="External"/><Relationship Id="rId423" Type="http://schemas.openxmlformats.org/officeDocument/2006/relationships/hyperlink" Target="http://tempo.co" TargetMode="External"/><Relationship Id="rId544" Type="http://schemas.openxmlformats.org/officeDocument/2006/relationships/hyperlink" Target="https://tirto.id/kemenkes-usul-istilah-rumah-sakit-jiwa-diganti-untuk-hapus-stigma-ejmP" TargetMode="External"/><Relationship Id="rId309" Type="http://schemas.openxmlformats.org/officeDocument/2006/relationships/hyperlink" Target="http://republika.co.id" TargetMode="External"/><Relationship Id="rId308" Type="http://schemas.openxmlformats.org/officeDocument/2006/relationships/hyperlink" Target="http://tirto.id" TargetMode="External"/><Relationship Id="rId429" Type="http://schemas.openxmlformats.org/officeDocument/2006/relationships/hyperlink" Target="http://kompas.com" TargetMode="External"/><Relationship Id="rId307" Type="http://schemas.openxmlformats.org/officeDocument/2006/relationships/hyperlink" Target="http://kompas.com" TargetMode="External"/><Relationship Id="rId428" Type="http://schemas.openxmlformats.org/officeDocument/2006/relationships/hyperlink" Target="http://kompas.com" TargetMode="External"/><Relationship Id="rId549" Type="http://schemas.openxmlformats.org/officeDocument/2006/relationships/hyperlink" Target="https://nasional.okezone.com/read/2019/12/14/337/2141915/bagaimana-kondisi-terbaru-tunanetra-yang-terperosok-di-peron-stasiun" TargetMode="External"/><Relationship Id="rId306" Type="http://schemas.openxmlformats.org/officeDocument/2006/relationships/hyperlink" Target="http://kompas.com" TargetMode="External"/><Relationship Id="rId427" Type="http://schemas.openxmlformats.org/officeDocument/2006/relationships/hyperlink" Target="http://kompas.com" TargetMode="External"/><Relationship Id="rId548" Type="http://schemas.openxmlformats.org/officeDocument/2006/relationships/hyperlink" Target="http://tempo.co" TargetMode="External"/><Relationship Id="rId301" Type="http://schemas.openxmlformats.org/officeDocument/2006/relationships/hyperlink" Target="http://tempo.co" TargetMode="External"/><Relationship Id="rId422" Type="http://schemas.openxmlformats.org/officeDocument/2006/relationships/hyperlink" Target="http://kompas.com" TargetMode="External"/><Relationship Id="rId543" Type="http://schemas.openxmlformats.org/officeDocument/2006/relationships/hyperlink" Target="https://inet.detik.com/cyberlife/d-4734521/panji-dan-anji-peringatkan-netizen-soal-joker" TargetMode="External"/><Relationship Id="rId300" Type="http://schemas.openxmlformats.org/officeDocument/2006/relationships/hyperlink" Target="http://liputan6.com" TargetMode="External"/><Relationship Id="rId421" Type="http://schemas.openxmlformats.org/officeDocument/2006/relationships/hyperlink" Target="http://tribunnews.com" TargetMode="External"/><Relationship Id="rId542" Type="http://schemas.openxmlformats.org/officeDocument/2006/relationships/hyperlink" Target="https://www.liputan6.com/news/read/4135862/nu-dan-ahmadiyah-sepakat-kerja-sama-sosial-kemanusiaan" TargetMode="External"/><Relationship Id="rId420" Type="http://schemas.openxmlformats.org/officeDocument/2006/relationships/hyperlink" Target="http://tempo.co" TargetMode="External"/><Relationship Id="rId541" Type="http://schemas.openxmlformats.org/officeDocument/2006/relationships/hyperlink" Target="http://tempo.co" TargetMode="External"/><Relationship Id="rId540" Type="http://schemas.openxmlformats.org/officeDocument/2006/relationships/hyperlink" Target="https://metro.tempo.co/read/1287214/pelaku-prostitusi-berkedok-kawin-kontrak-menyamar-pemandu-wisata" TargetMode="External"/><Relationship Id="rId415" Type="http://schemas.openxmlformats.org/officeDocument/2006/relationships/hyperlink" Target="http://tempo.co" TargetMode="External"/><Relationship Id="rId536" Type="http://schemas.openxmlformats.org/officeDocument/2006/relationships/hyperlink" Target="https://www.tribunnews.com/regional/2019/10/03/7-fakta-kasus-bocah-tewas-disiksa-pelaku-lgbt-kecurigaan-kronologi-ancaman-pelaku-hingga-bukti" TargetMode="External"/><Relationship Id="rId414" Type="http://schemas.openxmlformats.org/officeDocument/2006/relationships/hyperlink" Target="http://tempo.co" TargetMode="External"/><Relationship Id="rId535" Type="http://schemas.openxmlformats.org/officeDocument/2006/relationships/hyperlink" Target="https://regional.kompas.com/read/2019/12/15/14121481/kisah-tunanetra-merawat-anak-dan-istri-gangguan-jiwa-berharap-belas-kasihan" TargetMode="External"/><Relationship Id="rId413" Type="http://schemas.openxmlformats.org/officeDocument/2006/relationships/hyperlink" Target="http://tempo.co" TargetMode="External"/><Relationship Id="rId534" Type="http://schemas.openxmlformats.org/officeDocument/2006/relationships/hyperlink" Target="https://www.liputan6.com/bisnis/read/4138828/kemenhub-berikan-17-tiket-mudik-gratis-untuk-disabilitas-gunakan-pesawat" TargetMode="External"/><Relationship Id="rId412" Type="http://schemas.openxmlformats.org/officeDocument/2006/relationships/hyperlink" Target="http://kompas.com" TargetMode="External"/><Relationship Id="rId533" Type="http://schemas.openxmlformats.org/officeDocument/2006/relationships/hyperlink" Target="https://news.okezone.com/read/2019/12/22/65/2144837/tak-membeda-bedakan-untar-terbuka-untuk-mahasiswa-berkebutuhan-khusus" TargetMode="External"/><Relationship Id="rId419" Type="http://schemas.openxmlformats.org/officeDocument/2006/relationships/hyperlink" Target="http://tribunnews.com" TargetMode="External"/><Relationship Id="rId418" Type="http://schemas.openxmlformats.org/officeDocument/2006/relationships/hyperlink" Target="http://tempo.co" TargetMode="External"/><Relationship Id="rId539" Type="http://schemas.openxmlformats.org/officeDocument/2006/relationships/hyperlink" Target="http://tempo.co" TargetMode="External"/><Relationship Id="rId417" Type="http://schemas.openxmlformats.org/officeDocument/2006/relationships/hyperlink" Target="http://tribunnews.com" TargetMode="External"/><Relationship Id="rId538" Type="http://schemas.openxmlformats.org/officeDocument/2006/relationships/hyperlink" Target="https://www.liputan6.com/global/read/4117586/mundur-dari-tugas-kerajaan-inggris-pangeran-andrew-pindah-dari-istana" TargetMode="External"/><Relationship Id="rId416" Type="http://schemas.openxmlformats.org/officeDocument/2006/relationships/hyperlink" Target="http://tribunnews.com" TargetMode="External"/><Relationship Id="rId537" Type="http://schemas.openxmlformats.org/officeDocument/2006/relationships/hyperlink" Target="https://nasional.okezone.com/read/2019/10/09/337/2114746/kekerasan-seksual-terus-melonjak-ruu-pks-harus-segera-disahkan" TargetMode="External"/><Relationship Id="rId411" Type="http://schemas.openxmlformats.org/officeDocument/2006/relationships/hyperlink" Target="http://kompas.com" TargetMode="External"/><Relationship Id="rId532" Type="http://schemas.openxmlformats.org/officeDocument/2006/relationships/hyperlink" Target="https://www.liputan6.com/lifestyle/read/4131931/mendobrak-stereotip-penyandang-disabilitas-bagian-1" TargetMode="External"/><Relationship Id="rId410" Type="http://schemas.openxmlformats.org/officeDocument/2006/relationships/hyperlink" Target="http://detik.com" TargetMode="External"/><Relationship Id="rId531" Type="http://schemas.openxmlformats.org/officeDocument/2006/relationships/hyperlink" Target="https://health.detik.com/berita-detikhealth/d-4820194/soal-ig-live-bunuh-diri-aida-saskia-kenapa-manajer-bilang-cuma-prank" TargetMode="External"/><Relationship Id="rId530" Type="http://schemas.openxmlformats.org/officeDocument/2006/relationships/hyperlink" Target="https://www.suara.com/health/2019/10/10/071500/joker-pilih-berhenti-minum-obat-untuk-kondisi-mentalnya-apa-efeknya" TargetMode="External"/><Relationship Id="rId206" Type="http://schemas.openxmlformats.org/officeDocument/2006/relationships/hyperlink" Target="http://liputan6.com" TargetMode="External"/><Relationship Id="rId327" Type="http://schemas.openxmlformats.org/officeDocument/2006/relationships/hyperlink" Target="http://liputan6.com" TargetMode="External"/><Relationship Id="rId448" Type="http://schemas.openxmlformats.org/officeDocument/2006/relationships/hyperlink" Target="http://detik.com" TargetMode="External"/><Relationship Id="rId569" Type="http://schemas.openxmlformats.org/officeDocument/2006/relationships/hyperlink" Target="https://www.cnnindonesia.com/nasional/20191122180533-20-450718/menpan-rb-dukung-kejaksaan-agung-tolak-lgbt-daftar-cpns" TargetMode="External"/><Relationship Id="rId205" Type="http://schemas.openxmlformats.org/officeDocument/2006/relationships/hyperlink" Target="https://banten.suara.com/read/2019/03/15/135237/kisah-keluarga-bocah-terpasung-ibunya-penyakitan-sang-ayah-doyan-ngutang" TargetMode="External"/><Relationship Id="rId326" Type="http://schemas.openxmlformats.org/officeDocument/2006/relationships/hyperlink" Target="http://liputan6.com" TargetMode="External"/><Relationship Id="rId447" Type="http://schemas.openxmlformats.org/officeDocument/2006/relationships/hyperlink" Target="http://tempo.co" TargetMode="External"/><Relationship Id="rId568" Type="http://schemas.openxmlformats.org/officeDocument/2006/relationships/hyperlink" Target="https://nasional.republika.co.id/berita/q19d1s335/penderita-hiv-di-purwakarta-terus-meningkat" TargetMode="External"/><Relationship Id="rId204" Type="http://schemas.openxmlformats.org/officeDocument/2006/relationships/hyperlink" Target="http://suara.com" TargetMode="External"/><Relationship Id="rId325" Type="http://schemas.openxmlformats.org/officeDocument/2006/relationships/hyperlink" Target="http://kompas.com" TargetMode="External"/><Relationship Id="rId446" Type="http://schemas.openxmlformats.org/officeDocument/2006/relationships/hyperlink" Target="http://detik.com" TargetMode="External"/><Relationship Id="rId567" Type="http://schemas.openxmlformats.org/officeDocument/2006/relationships/hyperlink" Target="https://news.detik.com/internasional/d-4792237/2-wartawan-gay-arab-saudi-ditahan-di-australia-usai-minta-suaka" TargetMode="External"/><Relationship Id="rId203" Type="http://schemas.openxmlformats.org/officeDocument/2006/relationships/hyperlink" Target="https://news.okezone.com/read/2019/03/18/65/2031561/13-anak-didik-disabilitas-ikuti-usbn" TargetMode="External"/><Relationship Id="rId324" Type="http://schemas.openxmlformats.org/officeDocument/2006/relationships/hyperlink" Target="http://tirto.id" TargetMode="External"/><Relationship Id="rId445" Type="http://schemas.openxmlformats.org/officeDocument/2006/relationships/hyperlink" Target="http://tempo.co" TargetMode="External"/><Relationship Id="rId566" Type="http://schemas.openxmlformats.org/officeDocument/2006/relationships/hyperlink" Target="https://www.tribunnews.com/regional/2019/12/29/polres-cianjur-amankan-4-mucikari-dan-belasan-psk-yang-praktek-di-kawasan-puncak" TargetMode="External"/><Relationship Id="rId209" Type="http://schemas.openxmlformats.org/officeDocument/2006/relationships/hyperlink" Target="https://hot.liputan6.com/read/3937756/kisah-pilu-bayi-hasil-sewa-rahim-dibuang-karena-alami-kondisi-ini" TargetMode="External"/><Relationship Id="rId208" Type="http://schemas.openxmlformats.org/officeDocument/2006/relationships/hyperlink" Target="http://liputan6.com" TargetMode="External"/><Relationship Id="rId329" Type="http://schemas.openxmlformats.org/officeDocument/2006/relationships/hyperlink" Target="http://liputan6.com" TargetMode="External"/><Relationship Id="rId207" Type="http://schemas.openxmlformats.org/officeDocument/2006/relationships/hyperlink" Target="http://republika.co.id" TargetMode="External"/><Relationship Id="rId328" Type="http://schemas.openxmlformats.org/officeDocument/2006/relationships/hyperlink" Target="http://okezone.com" TargetMode="External"/><Relationship Id="rId449" Type="http://schemas.openxmlformats.org/officeDocument/2006/relationships/hyperlink" Target="http://tribunnews.com" TargetMode="External"/><Relationship Id="rId440" Type="http://schemas.openxmlformats.org/officeDocument/2006/relationships/hyperlink" Target="http://detik.com" TargetMode="External"/><Relationship Id="rId561" Type="http://schemas.openxmlformats.org/officeDocument/2006/relationships/hyperlink" Target="https://www.suara.com/news/2019/12/10/175416/mantan-pramugari-benarkan-cerita-dugaan-prostitusi-di-garuda-indonesia" TargetMode="External"/><Relationship Id="rId560" Type="http://schemas.openxmlformats.org/officeDocument/2006/relationships/hyperlink" Target="https://www.cnnindonesia.com/internasional/20191122205538-113-450785/minta-dicekik-leher-saat-berhubungan-wanita-inggris-tewas" TargetMode="External"/><Relationship Id="rId202" Type="http://schemas.openxmlformats.org/officeDocument/2006/relationships/hyperlink" Target="http://okezone.com" TargetMode="External"/><Relationship Id="rId323" Type="http://schemas.openxmlformats.org/officeDocument/2006/relationships/hyperlink" Target="http://tempo.co" TargetMode="External"/><Relationship Id="rId444" Type="http://schemas.openxmlformats.org/officeDocument/2006/relationships/hyperlink" Target="http://tribunnews.com" TargetMode="External"/><Relationship Id="rId565" Type="http://schemas.openxmlformats.org/officeDocument/2006/relationships/hyperlink" Target="https://megapolitan.kompas.com/read/2019/12/18/16135871/banyak-laporan-prostitusi-online-satpol-pp-hingga-bnn-gelar-razia-jelang" TargetMode="External"/><Relationship Id="rId201" Type="http://schemas.openxmlformats.org/officeDocument/2006/relationships/hyperlink" Target="http://republika.co.id" TargetMode="External"/><Relationship Id="rId322" Type="http://schemas.openxmlformats.org/officeDocument/2006/relationships/hyperlink" Target="http://republika.co.id" TargetMode="External"/><Relationship Id="rId443" Type="http://schemas.openxmlformats.org/officeDocument/2006/relationships/hyperlink" Target="http://tempo.co" TargetMode="External"/><Relationship Id="rId564" Type="http://schemas.openxmlformats.org/officeDocument/2006/relationships/hyperlink" Target="https://www.cnnindonesia.com/hiburan/20191218115329-234-458003/charlize-theron-akui-pernah-dilecehkan-sutradara-terkenal" TargetMode="External"/><Relationship Id="rId200" Type="http://schemas.openxmlformats.org/officeDocument/2006/relationships/hyperlink" Target="https://news.detik.com/berita-jawa-timur/d-4464399/kaget-pria-berbaju-lusuh-ini-bawa-satu-karung-uang-koin" TargetMode="External"/><Relationship Id="rId321" Type="http://schemas.openxmlformats.org/officeDocument/2006/relationships/hyperlink" Target="http://liputan6.com" TargetMode="External"/><Relationship Id="rId442" Type="http://schemas.openxmlformats.org/officeDocument/2006/relationships/hyperlink" Target="http://tempo.co" TargetMode="External"/><Relationship Id="rId563" Type="http://schemas.openxmlformats.org/officeDocument/2006/relationships/hyperlink" Target="https://www.tribunnews.com/seleb/2019/12/20/terseret-skandal-pelecehan-seksual-yoo-jae-suk-buka-suara" TargetMode="External"/><Relationship Id="rId320" Type="http://schemas.openxmlformats.org/officeDocument/2006/relationships/hyperlink" Target="http://kompas.com" TargetMode="External"/><Relationship Id="rId441" Type="http://schemas.openxmlformats.org/officeDocument/2006/relationships/hyperlink" Target="http://detik.com" TargetMode="External"/><Relationship Id="rId562" Type="http://schemas.openxmlformats.org/officeDocument/2006/relationships/hyperlink" Target="https://news.okezone.com/read/2019/12/19/340/2143916/lagi-enak-tidur-janda-kembang-diperkosa-pemuda" TargetMode="External"/><Relationship Id="rId316" Type="http://schemas.openxmlformats.org/officeDocument/2006/relationships/hyperlink" Target="http://tirto.id" TargetMode="External"/><Relationship Id="rId437" Type="http://schemas.openxmlformats.org/officeDocument/2006/relationships/hyperlink" Target="http://tempo.co" TargetMode="External"/><Relationship Id="rId558" Type="http://schemas.openxmlformats.org/officeDocument/2006/relationships/hyperlink" Target="https://www.cnnindonesia.com/internasional/20191126162224-134-451643/cabuli-anak-tuna-rungu-2-pastor-argentina-dibui-40-tahun" TargetMode="External"/><Relationship Id="rId315" Type="http://schemas.openxmlformats.org/officeDocument/2006/relationships/hyperlink" Target="http://liputan6.com" TargetMode="External"/><Relationship Id="rId436" Type="http://schemas.openxmlformats.org/officeDocument/2006/relationships/hyperlink" Target="http://kompas.com" TargetMode="External"/><Relationship Id="rId557" Type="http://schemas.openxmlformats.org/officeDocument/2006/relationships/hyperlink" Target="https://www.suara.com/news/2019/10/07/173849/perempuan-indonesia-dibakar-hidup-hidup-suaminya-di-kuwait" TargetMode="External"/><Relationship Id="rId314" Type="http://schemas.openxmlformats.org/officeDocument/2006/relationships/hyperlink" Target="http://tempo.co" TargetMode="External"/><Relationship Id="rId435" Type="http://schemas.openxmlformats.org/officeDocument/2006/relationships/hyperlink" Target="http://kompas.com" TargetMode="External"/><Relationship Id="rId556" Type="http://schemas.openxmlformats.org/officeDocument/2006/relationships/hyperlink" Target="https://www.tribunnews.com/regional/2019/10/06/dibekap-dan-akan-diperkosa-oleh-teman-suaminya-ibu-muda-ini-melawan-dan-bikin-pelaku-kecut" TargetMode="External"/><Relationship Id="rId313" Type="http://schemas.openxmlformats.org/officeDocument/2006/relationships/hyperlink" Target="http://tirto.id" TargetMode="External"/><Relationship Id="rId434" Type="http://schemas.openxmlformats.org/officeDocument/2006/relationships/hyperlink" Target="http://kompas.com" TargetMode="External"/><Relationship Id="rId555" Type="http://schemas.openxmlformats.org/officeDocument/2006/relationships/hyperlink" Target="https://hot.detik.com/book/d-4829860/jk-rowling-diserang-komunitas-lgbt-kenapa" TargetMode="External"/><Relationship Id="rId319" Type="http://schemas.openxmlformats.org/officeDocument/2006/relationships/hyperlink" Target="http://okezone.com" TargetMode="External"/><Relationship Id="rId318" Type="http://schemas.openxmlformats.org/officeDocument/2006/relationships/hyperlink" Target="http://republika.co.id" TargetMode="External"/><Relationship Id="rId439" Type="http://schemas.openxmlformats.org/officeDocument/2006/relationships/hyperlink" Target="http://tribunnews.com" TargetMode="External"/><Relationship Id="rId317" Type="http://schemas.openxmlformats.org/officeDocument/2006/relationships/hyperlink" Target="http://tribunnews.com" TargetMode="External"/><Relationship Id="rId438" Type="http://schemas.openxmlformats.org/officeDocument/2006/relationships/hyperlink" Target="http://detik.com" TargetMode="External"/><Relationship Id="rId559" Type="http://schemas.openxmlformats.org/officeDocument/2006/relationships/hyperlink" Target="https://www.tribunnews.com/metropolitan/2019/10/04/pelecehan-seksual-bermodus-tanya-alamat-terjadi-di-depok-korbannya-sampai-trauma" TargetMode="External"/><Relationship Id="rId550" Type="http://schemas.openxmlformats.org/officeDocument/2006/relationships/hyperlink" Target="http://tempo.co" TargetMode="External"/><Relationship Id="rId312" Type="http://schemas.openxmlformats.org/officeDocument/2006/relationships/hyperlink" Target="http://liputan6.com" TargetMode="External"/><Relationship Id="rId433" Type="http://schemas.openxmlformats.org/officeDocument/2006/relationships/hyperlink" Target="http://detik.com" TargetMode="External"/><Relationship Id="rId554" Type="http://schemas.openxmlformats.org/officeDocument/2006/relationships/hyperlink" Target="http://tempo.co" TargetMode="External"/><Relationship Id="rId311" Type="http://schemas.openxmlformats.org/officeDocument/2006/relationships/hyperlink" Target="http://detik.com" TargetMode="External"/><Relationship Id="rId432" Type="http://schemas.openxmlformats.org/officeDocument/2006/relationships/hyperlink" Target="http://detik.com" TargetMode="External"/><Relationship Id="rId553" Type="http://schemas.openxmlformats.org/officeDocument/2006/relationships/hyperlink" Target="https://www.tribunnews.com/nasional/2019/11/22/komnas-ham-nilai-syarat-daftar-cpns-di-kejagung-bertentangan-dengan-prinsip-ham-dan-uud-1945" TargetMode="External"/><Relationship Id="rId310" Type="http://schemas.openxmlformats.org/officeDocument/2006/relationships/hyperlink" Target="http://suara.com" TargetMode="External"/><Relationship Id="rId431" Type="http://schemas.openxmlformats.org/officeDocument/2006/relationships/hyperlink" Target="http://tribunnews.com" TargetMode="External"/><Relationship Id="rId552" Type="http://schemas.openxmlformats.org/officeDocument/2006/relationships/hyperlink" Target="https://www.suara.com/health/2019/11/23/083500/tidak-cuma-lelaki-dan-perempuan-ada-18-identitas-gender-di-thailand" TargetMode="External"/><Relationship Id="rId430" Type="http://schemas.openxmlformats.org/officeDocument/2006/relationships/hyperlink" Target="http://tribunnews.com" TargetMode="External"/><Relationship Id="rId551" Type="http://schemas.openxmlformats.org/officeDocument/2006/relationships/hyperlink" Target="https://index.okezone.com/read/2019/11/18/614/2131137/viral-video-pemuda-disabilitas-salat-bikin-netizen-menangi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9.14"/>
    <col customWidth="1" min="2" max="2" width="9.71"/>
    <col customWidth="1" min="3" max="3" width="4.29"/>
    <col customWidth="1" min="4" max="4" width="7.43"/>
    <col customWidth="1" min="5" max="5" width="11.43"/>
    <col customWidth="1" min="6" max="6" width="7.43"/>
    <col customWidth="1" min="7" max="7" width="7.0"/>
    <col customWidth="1" min="8" max="8" width="8.57"/>
    <col customWidth="1" min="9" max="9" width="6.43"/>
    <col customWidth="1" min="10" max="10" width="6.0"/>
    <col customWidth="1" min="11" max="11" width="49.0"/>
    <col customWidth="1" min="12" max="12" width="8.14"/>
    <col customWidth="1" min="13" max="13" width="10.71"/>
    <col customWidth="1" min="14" max="14" width="11.43"/>
    <col customWidth="1" min="15" max="16" width="12.0"/>
    <col customWidth="1" min="17" max="18" width="13.43"/>
    <col customWidth="1" min="19" max="19" width="29.29"/>
    <col customWidth="1" min="20" max="20" width="8.29"/>
    <col customWidth="1" min="21" max="21" width="8.57"/>
    <col customWidth="1" min="22" max="22" width="10.71"/>
    <col customWidth="1" min="23" max="24" width="8.14"/>
    <col customWidth="1" min="25" max="26" width="9.86"/>
    <col customWidth="1" min="27" max="28" width="12.14"/>
  </cols>
  <sheetData>
    <row r="1">
      <c r="A1" s="1" t="s">
        <v>0</v>
      </c>
      <c r="B1" s="1" t="s">
        <v>1</v>
      </c>
      <c r="C1" s="2" t="s">
        <v>2</v>
      </c>
      <c r="D1" s="3"/>
      <c r="E1" s="3"/>
      <c r="F1" s="3"/>
      <c r="G1" s="3"/>
      <c r="H1" s="3"/>
      <c r="I1" s="3"/>
      <c r="J1" s="3"/>
      <c r="K1" s="4"/>
      <c r="L1" s="5" t="s">
        <v>3</v>
      </c>
      <c r="M1" s="3"/>
      <c r="N1" s="3"/>
      <c r="O1" s="3"/>
      <c r="P1" s="3"/>
      <c r="Q1" s="6" t="s">
        <v>4</v>
      </c>
      <c r="R1" s="3"/>
      <c r="S1" s="3"/>
      <c r="T1" s="3"/>
      <c r="U1" s="4"/>
      <c r="V1" s="7" t="s">
        <v>5</v>
      </c>
      <c r="W1" s="8" t="s">
        <v>6</v>
      </c>
      <c r="X1" s="3"/>
      <c r="Y1" s="4"/>
      <c r="Z1" s="9"/>
      <c r="AA1" s="9"/>
      <c r="AB1" s="9"/>
      <c r="AC1" s="9"/>
      <c r="AD1" s="9"/>
      <c r="AE1" s="9"/>
      <c r="AF1" s="9"/>
    </row>
    <row r="2">
      <c r="A2" s="10"/>
      <c r="B2" s="10"/>
      <c r="C2" s="11" t="s">
        <v>7</v>
      </c>
      <c r="D2" s="11" t="s">
        <v>8</v>
      </c>
      <c r="E2" s="11" t="s">
        <v>9</v>
      </c>
      <c r="F2" s="11" t="s">
        <v>10</v>
      </c>
      <c r="G2" s="11" t="s">
        <v>11</v>
      </c>
      <c r="H2" s="11" t="s">
        <v>12</v>
      </c>
      <c r="I2" s="11" t="s">
        <v>13</v>
      </c>
      <c r="J2" s="11" t="s">
        <v>14</v>
      </c>
      <c r="K2" s="11" t="s">
        <v>15</v>
      </c>
      <c r="L2" s="12" t="s">
        <v>16</v>
      </c>
      <c r="M2" s="13" t="s">
        <v>17</v>
      </c>
      <c r="N2" s="5" t="s">
        <v>18</v>
      </c>
      <c r="O2" s="3"/>
      <c r="P2" s="4"/>
      <c r="Q2" s="14" t="s">
        <v>19</v>
      </c>
      <c r="R2" s="14" t="s">
        <v>20</v>
      </c>
      <c r="S2" s="15" t="s">
        <v>21</v>
      </c>
      <c r="T2" s="4"/>
      <c r="U2" s="14" t="s">
        <v>22</v>
      </c>
      <c r="V2" s="16" t="s">
        <v>23</v>
      </c>
      <c r="W2" s="17" t="s">
        <v>24</v>
      </c>
      <c r="X2" s="17" t="s">
        <v>25</v>
      </c>
      <c r="Y2" s="17" t="s">
        <v>26</v>
      </c>
      <c r="Z2" s="9"/>
      <c r="AA2" s="9"/>
      <c r="AB2" s="9"/>
      <c r="AC2" s="9"/>
      <c r="AD2" s="9"/>
      <c r="AE2" s="9"/>
      <c r="AF2" s="9"/>
    </row>
    <row r="3" ht="9.75" customHeight="1">
      <c r="A3" s="10"/>
      <c r="B3" s="10"/>
      <c r="C3" s="10"/>
      <c r="D3" s="10"/>
      <c r="E3" s="10"/>
      <c r="F3" s="10"/>
      <c r="G3" s="10"/>
      <c r="H3" s="10"/>
      <c r="I3" s="10"/>
      <c r="J3" s="10"/>
      <c r="K3" s="10"/>
      <c r="L3" s="10"/>
      <c r="M3" s="18"/>
      <c r="N3" s="19" t="s">
        <v>27</v>
      </c>
      <c r="O3" s="20" t="s">
        <v>28</v>
      </c>
      <c r="P3" s="12" t="s">
        <v>29</v>
      </c>
      <c r="Q3" s="10"/>
      <c r="R3" s="10"/>
      <c r="S3" s="14" t="s">
        <v>30</v>
      </c>
      <c r="T3" s="21" t="s">
        <v>31</v>
      </c>
      <c r="U3" s="10"/>
      <c r="V3" s="10"/>
      <c r="W3" s="10"/>
      <c r="X3" s="10"/>
      <c r="Y3" s="10"/>
      <c r="Z3" s="9"/>
      <c r="AA3" s="9"/>
      <c r="AB3" s="9"/>
      <c r="AC3" s="9"/>
      <c r="AD3" s="9"/>
      <c r="AE3" s="9"/>
      <c r="AF3" s="9"/>
    </row>
    <row r="4">
      <c r="A4" s="22"/>
      <c r="B4" s="22"/>
      <c r="C4" s="22"/>
      <c r="D4" s="22"/>
      <c r="E4" s="22"/>
      <c r="F4" s="22"/>
      <c r="G4" s="22"/>
      <c r="H4" s="22"/>
      <c r="I4" s="22"/>
      <c r="J4" s="22"/>
      <c r="K4" s="22"/>
      <c r="L4" s="22"/>
      <c r="M4" s="23"/>
      <c r="N4" s="22"/>
      <c r="O4" s="22"/>
      <c r="P4" s="22"/>
      <c r="Q4" s="22"/>
      <c r="R4" s="22"/>
      <c r="S4" s="22"/>
      <c r="T4" s="18"/>
      <c r="U4" s="22"/>
      <c r="V4" s="22"/>
      <c r="W4" s="22"/>
      <c r="X4" s="22"/>
      <c r="Y4" s="22"/>
      <c r="Z4" s="9"/>
      <c r="AA4" s="9"/>
      <c r="AB4" s="9"/>
      <c r="AC4" s="9"/>
      <c r="AD4" s="9"/>
      <c r="AE4" s="9"/>
      <c r="AF4" s="9"/>
    </row>
    <row r="5">
      <c r="A5" s="24">
        <v>1.0</v>
      </c>
      <c r="B5" s="24" t="s">
        <v>32</v>
      </c>
      <c r="C5" s="25">
        <v>1.0</v>
      </c>
      <c r="D5" s="25">
        <v>4.0</v>
      </c>
      <c r="E5" s="26">
        <v>43709.0</v>
      </c>
      <c r="F5" s="27" t="str">
        <f>HYPERLINK("https://www.liputan6.com/regional/read/3865651/lbh-bandung-protes-pembubaran-acara-peluncuran-buku-jemaah-ahmadiyah","sumber")</f>
        <v>sumber</v>
      </c>
      <c r="G5" s="25" t="s">
        <v>33</v>
      </c>
      <c r="H5" s="28">
        <v>293.0</v>
      </c>
      <c r="I5" s="25">
        <v>1.0</v>
      </c>
      <c r="J5" s="25">
        <v>4.0</v>
      </c>
      <c r="K5" s="25" t="s">
        <v>34</v>
      </c>
      <c r="L5" s="25">
        <v>0.0</v>
      </c>
      <c r="M5" s="25">
        <v>1.0</v>
      </c>
      <c r="N5" s="25">
        <v>0.0</v>
      </c>
      <c r="O5" s="25">
        <v>0.0</v>
      </c>
      <c r="P5" s="25">
        <v>0.0</v>
      </c>
      <c r="Q5" s="25">
        <v>0.0</v>
      </c>
      <c r="R5" s="25">
        <v>1.0</v>
      </c>
      <c r="S5" s="25"/>
      <c r="T5" s="25">
        <v>0.0</v>
      </c>
      <c r="U5" s="25">
        <v>0.0</v>
      </c>
      <c r="V5" s="25">
        <v>0.0</v>
      </c>
      <c r="W5" s="25"/>
      <c r="X5" s="29"/>
      <c r="Y5" s="29"/>
      <c r="Z5" s="30"/>
      <c r="AA5" s="31"/>
      <c r="AB5" s="31"/>
      <c r="AC5" s="31"/>
      <c r="AD5" s="31"/>
      <c r="AE5" s="31"/>
      <c r="AF5" s="31"/>
    </row>
    <row r="6">
      <c r="A6" s="32">
        <v>1.0</v>
      </c>
      <c r="B6" s="32" t="s">
        <v>35</v>
      </c>
      <c r="C6" s="33">
        <v>264.0</v>
      </c>
      <c r="D6" s="33">
        <v>1.0</v>
      </c>
      <c r="E6" s="34">
        <v>43504.0</v>
      </c>
      <c r="F6" s="35" t="str">
        <f>HYPERLINK("https://hot.detik.com/celeb/d-4649382/penyesalan-mendalam-aby-respati-pernah-jadi-waria ","sumber")</f>
        <v>sumber</v>
      </c>
      <c r="G6" s="33" t="s">
        <v>33</v>
      </c>
      <c r="H6" s="36"/>
      <c r="I6" s="33">
        <v>2.0</v>
      </c>
      <c r="J6" s="33">
        <v>3.0</v>
      </c>
      <c r="K6" s="33" t="s">
        <v>36</v>
      </c>
      <c r="L6" s="33">
        <v>0.0</v>
      </c>
      <c r="M6" s="33">
        <v>0.0</v>
      </c>
      <c r="N6" s="37">
        <v>0.0</v>
      </c>
      <c r="O6" s="33">
        <v>0.0</v>
      </c>
      <c r="P6" s="33">
        <v>0.0</v>
      </c>
      <c r="Q6" s="33">
        <v>2.0</v>
      </c>
      <c r="R6" s="33">
        <v>-1.0</v>
      </c>
      <c r="S6" s="33" t="s">
        <v>37</v>
      </c>
      <c r="T6" s="33">
        <v>1.0</v>
      </c>
      <c r="U6" s="33">
        <v>0.0</v>
      </c>
      <c r="V6" s="33">
        <v>0.0</v>
      </c>
      <c r="W6" s="36"/>
      <c r="X6" s="36"/>
      <c r="Y6" s="36"/>
      <c r="Z6" s="36"/>
      <c r="AA6" s="36"/>
      <c r="AB6" s="36"/>
      <c r="AC6" s="36"/>
      <c r="AD6" s="36"/>
      <c r="AE6" s="36"/>
      <c r="AF6" s="36"/>
    </row>
    <row r="7">
      <c r="A7" s="24">
        <v>1.0</v>
      </c>
      <c r="B7" s="24" t="s">
        <v>38</v>
      </c>
      <c r="C7" s="25">
        <v>265.0</v>
      </c>
      <c r="D7" s="25">
        <v>3.0</v>
      </c>
      <c r="E7" s="26">
        <v>43716.0</v>
      </c>
      <c r="F7" s="27" t="str">
        <f>HYPERLINK("https://news.okezone.com/read/2019/08/09/18/2090042/pacar-punya-kekasih-lain-pria-gay-siram-cairan-asam-ke-wajah-seorang-wanita ","sumber")</f>
        <v>sumber</v>
      </c>
      <c r="G7" s="25" t="s">
        <v>33</v>
      </c>
      <c r="H7" s="25">
        <v>368.0</v>
      </c>
      <c r="I7" s="25">
        <v>1.0</v>
      </c>
      <c r="J7" s="25">
        <v>3.0</v>
      </c>
      <c r="K7" s="25" t="s">
        <v>39</v>
      </c>
      <c r="L7" s="25">
        <v>0.0</v>
      </c>
      <c r="M7" s="25">
        <v>0.0</v>
      </c>
      <c r="N7" s="38">
        <v>0.0</v>
      </c>
      <c r="O7" s="25">
        <v>0.0</v>
      </c>
      <c r="P7" s="25">
        <v>0.0</v>
      </c>
      <c r="Q7" s="25">
        <v>0.0</v>
      </c>
      <c r="R7" s="25">
        <v>0.0</v>
      </c>
      <c r="S7" s="29"/>
      <c r="T7" s="25">
        <v>0.0</v>
      </c>
      <c r="U7" s="25">
        <v>-1.0</v>
      </c>
      <c r="V7" s="25">
        <v>0.0</v>
      </c>
      <c r="W7" s="29"/>
      <c r="X7" s="29"/>
      <c r="Y7" s="29"/>
      <c r="Z7" s="29"/>
      <c r="AA7" s="29"/>
      <c r="AB7" s="29"/>
      <c r="AC7" s="29"/>
      <c r="AD7" s="29"/>
      <c r="AE7" s="29"/>
      <c r="AF7" s="29"/>
    </row>
    <row r="8">
      <c r="A8" s="24">
        <v>1.0</v>
      </c>
      <c r="B8" s="24" t="s">
        <v>40</v>
      </c>
      <c r="C8" s="25">
        <v>266.0</v>
      </c>
      <c r="D8" s="25">
        <v>2.0</v>
      </c>
      <c r="E8" s="25" t="s">
        <v>41</v>
      </c>
      <c r="F8" s="27" t="str">
        <f>HYPERLINK(" https://www.cnnindonesia.com/internasional/20190823130811-134-424068/as-eksekusi-mati-pelaku-pembunuhan-tiga-gay ","sumber")</f>
        <v>sumber</v>
      </c>
      <c r="G8" s="25" t="s">
        <v>33</v>
      </c>
      <c r="H8" s="25">
        <v>297.0</v>
      </c>
      <c r="I8" s="25">
        <v>1.0</v>
      </c>
      <c r="J8" s="25">
        <v>3.0</v>
      </c>
      <c r="K8" s="25" t="s">
        <v>42</v>
      </c>
      <c r="L8" s="25">
        <v>0.0</v>
      </c>
      <c r="M8" s="25">
        <v>0.0</v>
      </c>
      <c r="N8" s="38">
        <v>0.0</v>
      </c>
      <c r="O8" s="25">
        <v>0.0</v>
      </c>
      <c r="P8" s="25">
        <v>0.0</v>
      </c>
      <c r="Q8" s="25">
        <v>0.0</v>
      </c>
      <c r="R8" s="25">
        <v>0.0</v>
      </c>
      <c r="S8" s="29"/>
      <c r="T8" s="25">
        <v>0.0</v>
      </c>
      <c r="U8" s="25">
        <v>0.0</v>
      </c>
      <c r="V8" s="25">
        <v>0.0</v>
      </c>
      <c r="W8" s="29"/>
      <c r="X8" s="29"/>
      <c r="Y8" s="29"/>
      <c r="Z8" s="29"/>
      <c r="AA8" s="29"/>
      <c r="AB8" s="29"/>
      <c r="AC8" s="29"/>
      <c r="AD8" s="29"/>
      <c r="AE8" s="29"/>
      <c r="AF8" s="29"/>
    </row>
    <row r="9">
      <c r="A9" s="32">
        <v>1.0</v>
      </c>
      <c r="B9" s="32" t="s">
        <v>43</v>
      </c>
      <c r="C9" s="33">
        <v>267.0</v>
      </c>
      <c r="D9" s="33">
        <v>5.0</v>
      </c>
      <c r="E9" s="34">
        <v>43532.0</v>
      </c>
      <c r="F9" s="35" t="str">
        <f>HYPERLINK("https://tirto.id/polisi-sebut-lgbt-adalah-penyakit-yang-harus-dicegah-sejak-dini-efyY ","sumber")</f>
        <v>sumber</v>
      </c>
      <c r="G9" s="33" t="s">
        <v>33</v>
      </c>
      <c r="H9" s="36"/>
      <c r="I9" s="33">
        <v>1.0</v>
      </c>
      <c r="J9" s="33">
        <v>3.0</v>
      </c>
      <c r="K9" s="33" t="s">
        <v>44</v>
      </c>
      <c r="L9" s="33">
        <v>0.0</v>
      </c>
      <c r="M9" s="33">
        <v>-1.0</v>
      </c>
      <c r="N9" s="37">
        <v>0.0</v>
      </c>
      <c r="O9" s="33">
        <v>0.0</v>
      </c>
      <c r="P9" s="33">
        <v>0.0</v>
      </c>
      <c r="Q9" s="33">
        <v>0.0</v>
      </c>
      <c r="R9" s="33">
        <v>-1.0</v>
      </c>
      <c r="S9" s="36"/>
      <c r="T9" s="33">
        <v>0.0</v>
      </c>
      <c r="U9" s="33">
        <v>0.0</v>
      </c>
      <c r="V9" s="33">
        <v>0.0</v>
      </c>
      <c r="W9" s="36"/>
      <c r="X9" s="36"/>
      <c r="Y9" s="36"/>
      <c r="Z9" s="36"/>
      <c r="AA9" s="36"/>
      <c r="AB9" s="36"/>
      <c r="AC9" s="36"/>
      <c r="AD9" s="36"/>
      <c r="AE9" s="36"/>
      <c r="AF9" s="36"/>
    </row>
    <row r="10">
      <c r="A10" s="39">
        <v>2.0</v>
      </c>
      <c r="B10" s="39" t="s">
        <v>45</v>
      </c>
      <c r="C10" s="40">
        <v>268.0</v>
      </c>
      <c r="D10" s="40">
        <v>2.0</v>
      </c>
      <c r="E10" s="41"/>
      <c r="F10" s="42" t="str">
        <f>HYPERLINK("https://www.cnnindonesia.com/hiburan/20190806175602-220-418971/aktris-crazy-rich-asians-siap-berperan-di-the-eternals ","sumber")</f>
        <v>sumber</v>
      </c>
      <c r="G10" s="40" t="s">
        <v>33</v>
      </c>
      <c r="H10" s="41"/>
      <c r="I10" s="41"/>
      <c r="J10" s="40">
        <v>3.0</v>
      </c>
      <c r="K10" s="41"/>
      <c r="L10" s="41"/>
      <c r="M10" s="41"/>
      <c r="N10" s="41"/>
      <c r="O10" s="41"/>
      <c r="P10" s="41"/>
      <c r="Q10" s="41"/>
      <c r="R10" s="41"/>
      <c r="S10" s="41"/>
      <c r="T10" s="41"/>
      <c r="U10" s="41"/>
      <c r="V10" s="41"/>
      <c r="W10" s="41"/>
      <c r="X10" s="41"/>
      <c r="Y10" s="41"/>
      <c r="Z10" s="40"/>
      <c r="AA10" s="43"/>
      <c r="AB10" s="41"/>
      <c r="AC10" s="41"/>
      <c r="AD10" s="41"/>
      <c r="AE10" s="41"/>
      <c r="AF10" s="41"/>
    </row>
    <row r="11">
      <c r="A11" s="24">
        <v>1.0</v>
      </c>
      <c r="B11" s="24" t="s">
        <v>46</v>
      </c>
      <c r="C11" s="25">
        <v>269.0</v>
      </c>
      <c r="D11" s="25">
        <v>5.0</v>
      </c>
      <c r="E11" s="26">
        <v>43654.0</v>
      </c>
      <c r="F11" s="27" t="str">
        <f>HYPERLINK(" https://tirto.id/sidang-gugatan-pemecatan-kru-persma-suara-usu-dimulai-14-agustus-efMq ","sumber")</f>
        <v>sumber</v>
      </c>
      <c r="G11" s="25" t="s">
        <v>33</v>
      </c>
      <c r="H11" s="25">
        <v>473.0</v>
      </c>
      <c r="I11" s="25">
        <v>1.0</v>
      </c>
      <c r="J11" s="25">
        <v>3.0</v>
      </c>
      <c r="K11" s="25" t="s">
        <v>47</v>
      </c>
      <c r="L11" s="25">
        <v>0.0</v>
      </c>
      <c r="M11" s="25">
        <v>0.0</v>
      </c>
      <c r="N11" s="38">
        <v>0.0</v>
      </c>
      <c r="O11" s="25">
        <v>0.0</v>
      </c>
      <c r="P11" s="25">
        <v>0.0</v>
      </c>
      <c r="Q11" s="25">
        <v>0.0</v>
      </c>
      <c r="R11" s="25">
        <v>1.0</v>
      </c>
      <c r="S11" s="29"/>
      <c r="T11" s="25">
        <v>0.0</v>
      </c>
      <c r="U11" s="25">
        <v>0.0</v>
      </c>
      <c r="V11" s="25">
        <v>0.0</v>
      </c>
      <c r="W11" s="29"/>
      <c r="X11" s="29"/>
      <c r="Y11" s="29"/>
      <c r="Z11" s="29"/>
      <c r="AA11" s="29"/>
      <c r="AB11" s="29"/>
      <c r="AC11" s="29"/>
      <c r="AD11" s="29"/>
      <c r="AE11" s="29"/>
      <c r="AF11" s="29"/>
    </row>
    <row r="12">
      <c r="A12" s="32">
        <v>1.0</v>
      </c>
      <c r="B12" s="32" t="s">
        <v>48</v>
      </c>
      <c r="C12" s="33">
        <v>270.0</v>
      </c>
      <c r="D12" s="33">
        <v>3.0</v>
      </c>
      <c r="E12" s="33" t="s">
        <v>49</v>
      </c>
      <c r="F12" s="35" t="str">
        <f>HYPERLINK("https://news.okezone.com/read/2019/08/19/338/2094009/2-waria-nekat-merampok-driver-taksi-online-di-tpu-karet-bivak ","sumber")</f>
        <v>sumber</v>
      </c>
      <c r="G12" s="33" t="s">
        <v>33</v>
      </c>
      <c r="H12" s="36"/>
      <c r="I12" s="33">
        <v>1.0</v>
      </c>
      <c r="J12" s="33">
        <v>3.0</v>
      </c>
      <c r="K12" s="33" t="s">
        <v>50</v>
      </c>
      <c r="L12" s="33">
        <v>0.0</v>
      </c>
      <c r="M12" s="33">
        <v>0.0</v>
      </c>
      <c r="N12" s="37">
        <v>0.0</v>
      </c>
      <c r="O12" s="33">
        <v>0.0</v>
      </c>
      <c r="P12" s="33">
        <v>0.0</v>
      </c>
      <c r="Q12" s="33">
        <v>0.0</v>
      </c>
      <c r="R12" s="33">
        <v>0.0</v>
      </c>
      <c r="S12" s="36"/>
      <c r="T12" s="33">
        <v>0.0</v>
      </c>
      <c r="U12" s="33">
        <v>-1.0</v>
      </c>
      <c r="V12" s="33">
        <v>0.0</v>
      </c>
      <c r="W12" s="36"/>
      <c r="X12" s="36"/>
      <c r="Y12" s="36"/>
      <c r="Z12" s="36"/>
      <c r="AA12" s="36"/>
      <c r="AB12" s="36"/>
      <c r="AC12" s="36"/>
      <c r="AD12" s="36"/>
      <c r="AE12" s="36"/>
      <c r="AF12" s="36"/>
    </row>
    <row r="13">
      <c r="A13" s="24">
        <v>1.0</v>
      </c>
      <c r="B13" s="24" t="s">
        <v>51</v>
      </c>
      <c r="C13" s="25">
        <v>271.0</v>
      </c>
      <c r="D13" s="25">
        <v>1.0</v>
      </c>
      <c r="E13" s="26">
        <v>43654.0</v>
      </c>
      <c r="F13" s="27" t="str">
        <f>HYPERLINK("https://news.detik.com/berita/d-4655443/rektor-usu-bubarkan-pengurus-persma-karena-cerpen-lesbian-ahli-represif ","sumber")</f>
        <v>sumber</v>
      </c>
      <c r="G13" s="25" t="s">
        <v>33</v>
      </c>
      <c r="H13" s="25">
        <v>422.0</v>
      </c>
      <c r="I13" s="25">
        <v>1.0</v>
      </c>
      <c r="J13" s="25">
        <v>3.0</v>
      </c>
      <c r="K13" s="25" t="s">
        <v>52</v>
      </c>
      <c r="L13" s="25">
        <v>0.0</v>
      </c>
      <c r="M13" s="25">
        <v>-1.0</v>
      </c>
      <c r="N13" s="38">
        <v>0.0</v>
      </c>
      <c r="O13" s="25">
        <v>0.0</v>
      </c>
      <c r="P13" s="25">
        <v>0.0</v>
      </c>
      <c r="Q13" s="25" t="s">
        <v>53</v>
      </c>
      <c r="R13" s="25" t="s">
        <v>54</v>
      </c>
      <c r="S13" s="29"/>
      <c r="T13" s="25">
        <v>0.0</v>
      </c>
      <c r="U13" s="25">
        <v>0.0</v>
      </c>
      <c r="V13" s="25">
        <v>0.0</v>
      </c>
      <c r="W13" s="29"/>
      <c r="X13" s="29"/>
      <c r="Y13" s="29"/>
      <c r="Z13" s="29"/>
      <c r="AA13" s="29"/>
      <c r="AB13" s="29"/>
      <c r="AC13" s="29"/>
      <c r="AD13" s="29"/>
      <c r="AE13" s="29"/>
      <c r="AF13" s="29"/>
    </row>
    <row r="14">
      <c r="A14" s="39">
        <v>2.0</v>
      </c>
      <c r="B14" s="39" t="s">
        <v>55</v>
      </c>
      <c r="C14" s="40">
        <v>272.0</v>
      </c>
      <c r="D14" s="40">
        <v>10.0</v>
      </c>
      <c r="E14" s="41"/>
      <c r="F14" s="42" t="str">
        <f>HYPERLINK("https://tekno.tempo.co/read/1240625/diteliti-ahli-australia-tengkorak-alor-ungkap-jalur-migrasi-baru ","sumber")</f>
        <v>sumber</v>
      </c>
      <c r="G14" s="40" t="s">
        <v>33</v>
      </c>
      <c r="H14" s="41"/>
      <c r="I14" s="41"/>
      <c r="J14" s="40">
        <v>3.0</v>
      </c>
      <c r="K14" s="41"/>
      <c r="L14" s="41"/>
      <c r="M14" s="41"/>
      <c r="N14" s="41"/>
      <c r="O14" s="41"/>
      <c r="P14" s="41"/>
      <c r="Q14" s="41"/>
      <c r="R14" s="41"/>
      <c r="S14" s="41"/>
      <c r="T14" s="41"/>
      <c r="U14" s="41"/>
      <c r="V14" s="41"/>
      <c r="W14" s="41"/>
      <c r="X14" s="41"/>
      <c r="Y14" s="41"/>
      <c r="Z14" s="40"/>
      <c r="AA14" s="43"/>
      <c r="AB14" s="41"/>
      <c r="AC14" s="41"/>
      <c r="AD14" s="41"/>
      <c r="AE14" s="41"/>
      <c r="AF14" s="41"/>
    </row>
    <row r="15">
      <c r="A15" s="39">
        <v>2.0</v>
      </c>
      <c r="B15" s="39" t="s">
        <v>56</v>
      </c>
      <c r="C15" s="40">
        <v>273.0</v>
      </c>
      <c r="D15" s="40">
        <v>4.0</v>
      </c>
      <c r="E15" s="41"/>
      <c r="F15" s="42" t="str">
        <f>HYPERLINK("https://www.liputan6.com/lifestyle/read/4049560/penampilan-terbaru-duo-tatu-yang-sempat-hits-di-era-2000-an ","sumber")</f>
        <v>sumber</v>
      </c>
      <c r="G15" s="40" t="s">
        <v>33</v>
      </c>
      <c r="H15" s="41"/>
      <c r="I15" s="41"/>
      <c r="J15" s="40">
        <v>3.0</v>
      </c>
      <c r="K15" s="41"/>
      <c r="L15" s="41"/>
      <c r="M15" s="41"/>
      <c r="N15" s="41"/>
      <c r="O15" s="41"/>
      <c r="P15" s="41"/>
      <c r="Q15" s="41"/>
      <c r="R15" s="41"/>
      <c r="S15" s="41"/>
      <c r="T15" s="41"/>
      <c r="U15" s="41"/>
      <c r="V15" s="41"/>
      <c r="W15" s="41"/>
      <c r="X15" s="41"/>
      <c r="Y15" s="41"/>
      <c r="Z15" s="40"/>
      <c r="AA15" s="43"/>
      <c r="AB15" s="41"/>
      <c r="AC15" s="41"/>
      <c r="AD15" s="41"/>
      <c r="AE15" s="41"/>
      <c r="AF15" s="41"/>
    </row>
    <row r="16">
      <c r="A16" s="32">
        <v>1.0</v>
      </c>
      <c r="B16" s="32" t="s">
        <v>57</v>
      </c>
      <c r="C16" s="33">
        <v>274.0</v>
      </c>
      <c r="D16" s="33">
        <v>1.0</v>
      </c>
      <c r="E16" s="34">
        <v>43505.0</v>
      </c>
      <c r="F16" s="35" t="str">
        <f>HYPERLINK("https://news.detik.com/berita/d-4689874/panja-kita-akan-miliki-kuhp-sendiri-isu-lgbt-dkk-kami-pertimbangkan ","sumber")</f>
        <v>sumber</v>
      </c>
      <c r="G16" s="33" t="s">
        <v>33</v>
      </c>
      <c r="H16" s="36"/>
      <c r="I16" s="33">
        <v>4.0</v>
      </c>
      <c r="J16" s="33">
        <v>3.0</v>
      </c>
      <c r="K16" s="33" t="s">
        <v>58</v>
      </c>
      <c r="L16" s="33">
        <v>0.0</v>
      </c>
      <c r="M16" s="33">
        <v>0.0</v>
      </c>
      <c r="N16" s="37">
        <v>0.0</v>
      </c>
      <c r="O16" s="33">
        <v>0.0</v>
      </c>
      <c r="P16" s="33">
        <v>0.0</v>
      </c>
      <c r="Q16" s="33">
        <v>0.0</v>
      </c>
      <c r="R16" s="33">
        <v>0.0</v>
      </c>
      <c r="S16" s="36"/>
      <c r="T16" s="33">
        <v>0.0</v>
      </c>
      <c r="U16" s="33">
        <v>0.0</v>
      </c>
      <c r="V16" s="33">
        <v>0.0</v>
      </c>
      <c r="W16" s="36"/>
      <c r="X16" s="36"/>
      <c r="Y16" s="36"/>
      <c r="Z16" s="36"/>
      <c r="AA16" s="36"/>
      <c r="AB16" s="36"/>
      <c r="AC16" s="36"/>
      <c r="AD16" s="36"/>
      <c r="AE16" s="36"/>
      <c r="AF16" s="36"/>
    </row>
    <row r="17">
      <c r="A17" s="32">
        <v>1.0</v>
      </c>
      <c r="B17" s="32" t="s">
        <v>59</v>
      </c>
      <c r="C17" s="33">
        <v>275.0</v>
      </c>
      <c r="D17" s="33">
        <v>8.0</v>
      </c>
      <c r="E17" s="34">
        <v>43533.0</v>
      </c>
      <c r="F17" s="35" t="str">
        <f>HYPERLINK("https://www.suara.com/news/2019/09/03/060000/pasangan-gay-dosen-dan-mahasiswa-digerebek-warga-di-rumah-kontrakan ","sumber")</f>
        <v>sumber</v>
      </c>
      <c r="G17" s="33" t="s">
        <v>33</v>
      </c>
      <c r="H17" s="36"/>
      <c r="I17" s="33">
        <v>1.0</v>
      </c>
      <c r="J17" s="33">
        <v>3.0</v>
      </c>
      <c r="K17" s="33" t="s">
        <v>60</v>
      </c>
      <c r="L17" s="33">
        <v>0.0</v>
      </c>
      <c r="M17" s="33">
        <v>-1.0</v>
      </c>
      <c r="N17" s="37">
        <v>0.0</v>
      </c>
      <c r="O17" s="33">
        <v>0.0</v>
      </c>
      <c r="P17" s="33">
        <v>0.0</v>
      </c>
      <c r="Q17" s="33" t="s">
        <v>61</v>
      </c>
      <c r="R17" s="33" t="s">
        <v>62</v>
      </c>
      <c r="S17" s="36"/>
      <c r="T17" s="33">
        <v>0.0</v>
      </c>
      <c r="U17" s="33">
        <v>0.0</v>
      </c>
      <c r="V17" s="33">
        <v>0.0</v>
      </c>
      <c r="W17" s="36"/>
      <c r="X17" s="36"/>
      <c r="Y17" s="36"/>
      <c r="Z17" s="36"/>
      <c r="AA17" s="36"/>
      <c r="AB17" s="36"/>
      <c r="AC17" s="36"/>
      <c r="AD17" s="36"/>
      <c r="AE17" s="36"/>
      <c r="AF17" s="36"/>
    </row>
    <row r="18">
      <c r="A18" s="32">
        <v>1.0</v>
      </c>
      <c r="B18" s="32" t="s">
        <v>63</v>
      </c>
      <c r="C18" s="33">
        <v>276.0</v>
      </c>
      <c r="D18" s="33">
        <v>1.0</v>
      </c>
      <c r="E18" s="34">
        <v>43564.0</v>
      </c>
      <c r="F18" s="35" t="str">
        <f>HYPERLINK("https://news.detik.com/berita/d-4692571/ruu-kuhp-segera-disahkan-panja-kalau-belum-sempurna-silakan-diuji-materi ","sumber")</f>
        <v>sumber</v>
      </c>
      <c r="G18" s="33" t="s">
        <v>33</v>
      </c>
      <c r="H18" s="36"/>
      <c r="I18" s="33">
        <v>4.0</v>
      </c>
      <c r="J18" s="33">
        <v>3.0</v>
      </c>
      <c r="K18" s="33" t="s">
        <v>64</v>
      </c>
      <c r="L18" s="33">
        <v>0.0</v>
      </c>
      <c r="M18" s="33">
        <v>0.0</v>
      </c>
      <c r="N18" s="37">
        <v>0.0</v>
      </c>
      <c r="O18" s="33">
        <v>0.0</v>
      </c>
      <c r="P18" s="33">
        <v>0.0</v>
      </c>
      <c r="Q18" s="33">
        <v>0.0</v>
      </c>
      <c r="R18" s="33">
        <v>-1.0</v>
      </c>
      <c r="S18" s="36"/>
      <c r="T18" s="33">
        <v>0.0</v>
      </c>
      <c r="U18" s="33">
        <v>0.0</v>
      </c>
      <c r="V18" s="33">
        <v>1.0</v>
      </c>
      <c r="W18" s="36"/>
      <c r="X18" s="36"/>
      <c r="Y18" s="36"/>
      <c r="Z18" s="36"/>
      <c r="AA18" s="36"/>
      <c r="AB18" s="36"/>
      <c r="AC18" s="36"/>
      <c r="AD18" s="36"/>
      <c r="AE18" s="36"/>
      <c r="AF18" s="36"/>
    </row>
    <row r="19">
      <c r="A19" s="32">
        <v>1.0</v>
      </c>
      <c r="B19" s="32" t="s">
        <v>65</v>
      </c>
      <c r="C19" s="33">
        <v>277.0</v>
      </c>
      <c r="D19" s="33">
        <v>8.0</v>
      </c>
      <c r="E19" s="33" t="s">
        <v>66</v>
      </c>
      <c r="F19" s="35" t="str">
        <f>HYPERLINK("https://www.suara.com/lifestyle/2019/09/22/134500/gebby-vesta-ngaku-transgender-apakah-operasi-kelamin-bisa-pengaruhi-seks ","sumber")</f>
        <v>sumber</v>
      </c>
      <c r="G19" s="33" t="s">
        <v>33</v>
      </c>
      <c r="H19" s="36"/>
      <c r="I19" s="33">
        <v>5.0</v>
      </c>
      <c r="J19" s="33">
        <v>3.0</v>
      </c>
      <c r="K19" s="33" t="s">
        <v>67</v>
      </c>
      <c r="L19" s="33">
        <v>0.0</v>
      </c>
      <c r="M19" s="33">
        <v>0.0</v>
      </c>
      <c r="N19" s="37">
        <v>0.0</v>
      </c>
      <c r="O19" s="33">
        <v>0.0</v>
      </c>
      <c r="P19" s="33">
        <v>0.0</v>
      </c>
      <c r="Q19" s="33">
        <v>2.0</v>
      </c>
      <c r="R19" s="33">
        <v>0.0</v>
      </c>
      <c r="S19" s="36"/>
      <c r="T19" s="33">
        <v>0.0</v>
      </c>
      <c r="U19" s="33">
        <v>0.0</v>
      </c>
      <c r="V19" s="33">
        <v>0.0</v>
      </c>
      <c r="W19" s="36"/>
      <c r="X19" s="36"/>
      <c r="Y19" s="36"/>
      <c r="Z19" s="36"/>
      <c r="AA19" s="36"/>
      <c r="AB19" s="36"/>
      <c r="AC19" s="36"/>
      <c r="AD19" s="36"/>
      <c r="AE19" s="36"/>
      <c r="AF19" s="36"/>
    </row>
    <row r="20">
      <c r="A20" s="39">
        <v>2.0</v>
      </c>
      <c r="B20" s="39" t="s">
        <v>68</v>
      </c>
      <c r="C20" s="40">
        <v>278.0</v>
      </c>
      <c r="D20" s="40">
        <v>2.0</v>
      </c>
      <c r="E20" s="41"/>
      <c r="F20" s="42" t="str">
        <f>HYPERLINK("https://www.cnnindonesia.com/nasional/20190926103815-32-434192/waktu-pendek-ketua-dpr-tunda-pengesahan-ruu-pks ","sumber")</f>
        <v>sumber</v>
      </c>
      <c r="G20" s="40" t="s">
        <v>33</v>
      </c>
      <c r="H20" s="41"/>
      <c r="I20" s="41"/>
      <c r="J20" s="40">
        <v>3.0</v>
      </c>
      <c r="K20" s="41"/>
      <c r="L20" s="41"/>
      <c r="M20" s="41"/>
      <c r="N20" s="41"/>
      <c r="O20" s="41"/>
      <c r="P20" s="41"/>
      <c r="Q20" s="41"/>
      <c r="R20" s="41"/>
      <c r="S20" s="41"/>
      <c r="T20" s="41"/>
      <c r="U20" s="41"/>
      <c r="V20" s="41"/>
      <c r="W20" s="41"/>
      <c r="X20" s="41"/>
      <c r="Y20" s="41"/>
      <c r="Z20" s="40"/>
      <c r="AA20" s="43"/>
      <c r="AB20" s="41"/>
      <c r="AC20" s="41"/>
      <c r="AD20" s="41"/>
      <c r="AE20" s="41"/>
      <c r="AF20" s="41"/>
    </row>
    <row r="21">
      <c r="A21" s="39">
        <v>2.0</v>
      </c>
      <c r="B21" s="39" t="s">
        <v>69</v>
      </c>
      <c r="C21" s="40">
        <v>279.0</v>
      </c>
      <c r="D21" s="40">
        <v>1.0</v>
      </c>
      <c r="E21" s="41"/>
      <c r="F21" s="42" t="str">
        <f>HYPERLINK("https://hot.detik.com/celeb/d-4722938/jelang-menikah-jennifer-lawrence-habiskan-waktu-dengan-sang-bunda ","sumber")</f>
        <v>sumber</v>
      </c>
      <c r="G21" s="40" t="s">
        <v>33</v>
      </c>
      <c r="H21" s="41"/>
      <c r="I21" s="41"/>
      <c r="J21" s="40">
        <v>3.0</v>
      </c>
      <c r="K21" s="41"/>
      <c r="L21" s="41"/>
      <c r="M21" s="41"/>
      <c r="N21" s="41"/>
      <c r="O21" s="41"/>
      <c r="P21" s="41"/>
      <c r="Q21" s="41"/>
      <c r="R21" s="41"/>
      <c r="S21" s="41"/>
      <c r="T21" s="41"/>
      <c r="U21" s="41"/>
      <c r="V21" s="41"/>
      <c r="W21" s="41"/>
      <c r="X21" s="41"/>
      <c r="Y21" s="41"/>
      <c r="Z21" s="40"/>
      <c r="AA21" s="43"/>
      <c r="AB21" s="41"/>
      <c r="AC21" s="41"/>
      <c r="AD21" s="41"/>
      <c r="AE21" s="41"/>
      <c r="AF21" s="41"/>
    </row>
    <row r="22">
      <c r="A22" s="39">
        <v>2.0</v>
      </c>
      <c r="B22" s="39" t="s">
        <v>70</v>
      </c>
      <c r="C22" s="40">
        <v>280.0</v>
      </c>
      <c r="D22" s="40">
        <v>8.0</v>
      </c>
      <c r="E22" s="41"/>
      <c r="F22" s="42" t="str">
        <f>HYPERLINK("https://www.suara.com/news/2019/09/26/092815/senggol-anak-stm-denny-siregar-dicari-di-twitter ","sumber")</f>
        <v>sumber</v>
      </c>
      <c r="G22" s="40" t="s">
        <v>33</v>
      </c>
      <c r="H22" s="41"/>
      <c r="I22" s="41"/>
      <c r="J22" s="40">
        <v>3.0</v>
      </c>
      <c r="K22" s="41"/>
      <c r="L22" s="41"/>
      <c r="M22" s="41"/>
      <c r="N22" s="41"/>
      <c r="O22" s="41"/>
      <c r="P22" s="41"/>
      <c r="Q22" s="41"/>
      <c r="R22" s="41"/>
      <c r="S22" s="41"/>
      <c r="T22" s="41"/>
      <c r="U22" s="41"/>
      <c r="V22" s="41"/>
      <c r="W22" s="41"/>
      <c r="X22" s="41"/>
      <c r="Y22" s="41"/>
      <c r="Z22" s="40"/>
      <c r="AA22" s="43"/>
      <c r="AB22" s="41"/>
      <c r="AC22" s="41"/>
      <c r="AD22" s="41"/>
      <c r="AE22" s="41"/>
      <c r="AF22" s="41"/>
    </row>
    <row r="23">
      <c r="A23" s="39">
        <v>2.0</v>
      </c>
      <c r="B23" s="39" t="s">
        <v>71</v>
      </c>
      <c r="C23" s="40">
        <v>281.0</v>
      </c>
      <c r="D23" s="40">
        <v>4.0</v>
      </c>
      <c r="E23" s="41"/>
      <c r="F23" s="42" t="str">
        <f>HYPERLINK("https://www.liputan6.com/showbiz/read/4073943/pengakuan-lucinta-luna-tentang-muhammad-fatah ","sumber")</f>
        <v>sumber</v>
      </c>
      <c r="G23" s="40" t="s">
        <v>33</v>
      </c>
      <c r="H23" s="41"/>
      <c r="I23" s="41"/>
      <c r="J23" s="40">
        <v>3.0</v>
      </c>
      <c r="K23" s="41"/>
      <c r="L23" s="41"/>
      <c r="M23" s="41"/>
      <c r="N23" s="41"/>
      <c r="O23" s="41"/>
      <c r="P23" s="41"/>
      <c r="Q23" s="41"/>
      <c r="R23" s="41"/>
      <c r="S23" s="41"/>
      <c r="T23" s="41"/>
      <c r="U23" s="41"/>
      <c r="V23" s="41"/>
      <c r="W23" s="41"/>
      <c r="X23" s="41"/>
      <c r="Y23" s="41"/>
      <c r="Z23" s="40"/>
      <c r="AA23" s="43"/>
      <c r="AB23" s="41"/>
      <c r="AC23" s="41"/>
      <c r="AD23" s="41"/>
      <c r="AE23" s="41"/>
      <c r="AF23" s="41"/>
    </row>
    <row r="24">
      <c r="A24" s="39">
        <v>2.0</v>
      </c>
      <c r="B24" s="39" t="s">
        <v>72</v>
      </c>
      <c r="C24" s="40">
        <v>282.0</v>
      </c>
      <c r="D24" s="40">
        <v>7.0</v>
      </c>
      <c r="E24" s="41"/>
      <c r="F24" s="42" t="str">
        <f>HYPERLINK("https://www.tribunnews.com/regional/2019/09/28/hilang-di-sungai-bengawan-solo-bayu-ditemukan-tak-bernyawa ","sumber")</f>
        <v>sumber</v>
      </c>
      <c r="G24" s="40" t="s">
        <v>33</v>
      </c>
      <c r="H24" s="41"/>
      <c r="I24" s="41"/>
      <c r="J24" s="40">
        <v>3.0</v>
      </c>
      <c r="K24" s="41"/>
      <c r="L24" s="41"/>
      <c r="M24" s="41"/>
      <c r="N24" s="41"/>
      <c r="O24" s="41"/>
      <c r="P24" s="41"/>
      <c r="Q24" s="41"/>
      <c r="R24" s="41"/>
      <c r="S24" s="41"/>
      <c r="T24" s="41"/>
      <c r="U24" s="41"/>
      <c r="V24" s="41"/>
      <c r="W24" s="41"/>
      <c r="X24" s="41"/>
      <c r="Y24" s="41"/>
      <c r="Z24" s="40"/>
      <c r="AA24" s="43"/>
      <c r="AB24" s="41"/>
      <c r="AC24" s="41"/>
      <c r="AD24" s="41"/>
      <c r="AE24" s="41"/>
      <c r="AF24" s="41"/>
    </row>
    <row r="25">
      <c r="A25" s="32">
        <v>1.0</v>
      </c>
      <c r="B25" s="32" t="s">
        <v>73</v>
      </c>
      <c r="C25" s="33">
        <v>283.0</v>
      </c>
      <c r="D25" s="33">
        <v>1.0</v>
      </c>
      <c r="E25" s="34">
        <v>43617.0</v>
      </c>
      <c r="F25" s="35" t="str">
        <f>HYPERLINK("https://news.detik.com/berita/d-4372490/polisi-segera-tentukan-status-vanessa-angel-di-kasus-prostitusi-online ","sumber")</f>
        <v>sumber</v>
      </c>
      <c r="G25" s="33" t="s">
        <v>33</v>
      </c>
      <c r="H25" s="36"/>
      <c r="I25" s="33">
        <v>1.0</v>
      </c>
      <c r="J25" s="33">
        <v>1.0</v>
      </c>
      <c r="K25" s="33" t="s">
        <v>74</v>
      </c>
      <c r="L25" s="33">
        <v>0.0</v>
      </c>
      <c r="M25" s="33">
        <v>-1.0</v>
      </c>
      <c r="N25" s="33">
        <v>-1.0</v>
      </c>
      <c r="O25" s="33">
        <v>0.0</v>
      </c>
      <c r="P25" s="33">
        <v>0.0</v>
      </c>
      <c r="Q25" s="33">
        <v>0.0</v>
      </c>
      <c r="R25" s="33">
        <v>0.0</v>
      </c>
      <c r="S25" s="36"/>
      <c r="T25" s="33">
        <v>0.0</v>
      </c>
      <c r="U25" s="33">
        <v>0.0</v>
      </c>
      <c r="V25" s="33">
        <v>0.0</v>
      </c>
      <c r="W25" s="36"/>
      <c r="X25" s="36"/>
      <c r="Y25" s="36"/>
      <c r="Z25" s="44"/>
      <c r="AA25" s="45"/>
      <c r="AB25" s="45"/>
      <c r="AC25" s="45"/>
      <c r="AD25" s="45"/>
      <c r="AE25" s="45"/>
      <c r="AF25" s="45"/>
    </row>
    <row r="26">
      <c r="A26" s="32">
        <v>1.0</v>
      </c>
      <c r="B26" s="32" t="s">
        <v>75</v>
      </c>
      <c r="C26" s="33">
        <v>284.0</v>
      </c>
      <c r="D26" s="33">
        <v>5.0</v>
      </c>
      <c r="E26" s="34">
        <v>43617.0</v>
      </c>
      <c r="F26" s="35" t="str">
        <f>HYPERLINK("https://tirto.id/polda-jatim-tangkap-mucikari-2-artis-prostitusi-daring-ddrE ","sumber")</f>
        <v>sumber</v>
      </c>
      <c r="G26" s="33" t="s">
        <v>33</v>
      </c>
      <c r="H26" s="36"/>
      <c r="I26" s="33">
        <v>1.0</v>
      </c>
      <c r="J26" s="33">
        <v>1.0</v>
      </c>
      <c r="K26" s="33" t="s">
        <v>74</v>
      </c>
      <c r="L26" s="33">
        <v>0.0</v>
      </c>
      <c r="M26" s="33">
        <v>-1.0</v>
      </c>
      <c r="N26" s="37">
        <v>0.0</v>
      </c>
      <c r="O26" s="33">
        <v>0.0</v>
      </c>
      <c r="P26" s="33">
        <v>0.0</v>
      </c>
      <c r="Q26" s="33">
        <v>0.0</v>
      </c>
      <c r="R26" s="33">
        <v>0.0</v>
      </c>
      <c r="S26" s="36"/>
      <c r="T26" s="33">
        <v>0.0</v>
      </c>
      <c r="U26" s="33">
        <v>0.0</v>
      </c>
      <c r="V26" s="33">
        <v>0.0</v>
      </c>
      <c r="W26" s="36"/>
      <c r="X26" s="36"/>
      <c r="Y26" s="36"/>
      <c r="Z26" s="45"/>
      <c r="AA26" s="45"/>
      <c r="AB26" s="45"/>
      <c r="AC26" s="45"/>
      <c r="AD26" s="45"/>
      <c r="AE26" s="45"/>
      <c r="AF26" s="45"/>
    </row>
    <row r="27">
      <c r="A27" s="32">
        <v>1.0</v>
      </c>
      <c r="B27" s="32" t="s">
        <v>76</v>
      </c>
      <c r="C27" s="33">
        <v>285.0</v>
      </c>
      <c r="D27" s="33">
        <v>10.0</v>
      </c>
      <c r="E27" s="34">
        <v>43647.0</v>
      </c>
      <c r="F27" s="35" t="str">
        <f>HYPERLINK("https://metro.tempo.co/read/1162257/respons-kasus-rizky-amelia-karyawan-bpjs-buat-gerakan-savebpjstk ","sumber")</f>
        <v>sumber</v>
      </c>
      <c r="G27" s="33" t="s">
        <v>33</v>
      </c>
      <c r="H27" s="36"/>
      <c r="I27" s="33">
        <v>1.0</v>
      </c>
      <c r="J27" s="33">
        <v>1.0</v>
      </c>
      <c r="K27" s="33" t="s">
        <v>77</v>
      </c>
      <c r="L27" s="33">
        <v>0.0</v>
      </c>
      <c r="M27" s="33">
        <v>1.0</v>
      </c>
      <c r="N27" s="33">
        <v>-1.0</v>
      </c>
      <c r="O27" s="33">
        <v>0.0</v>
      </c>
      <c r="P27" s="33">
        <v>0.0</v>
      </c>
      <c r="Q27" s="33" t="s">
        <v>61</v>
      </c>
      <c r="R27" s="33" t="s">
        <v>61</v>
      </c>
      <c r="S27" s="36"/>
      <c r="T27" s="33">
        <v>0.0</v>
      </c>
      <c r="U27" s="33">
        <v>0.0</v>
      </c>
      <c r="V27" s="33">
        <v>0.0</v>
      </c>
      <c r="W27" s="36"/>
      <c r="X27" s="36"/>
      <c r="Y27" s="36"/>
      <c r="Z27" s="45"/>
      <c r="AA27" s="45"/>
      <c r="AB27" s="45"/>
      <c r="AC27" s="45"/>
      <c r="AD27" s="45"/>
      <c r="AE27" s="45"/>
      <c r="AF27" s="45"/>
    </row>
    <row r="28">
      <c r="A28" s="32">
        <v>1.0</v>
      </c>
      <c r="B28" s="32" t="s">
        <v>78</v>
      </c>
      <c r="C28" s="33">
        <v>286.0</v>
      </c>
      <c r="D28" s="33">
        <v>4.0</v>
      </c>
      <c r="E28" s="34">
        <v>43678.0</v>
      </c>
      <c r="F28" s="35" t="str">
        <f>HYPERLINK("https://www.liputan6.com/news/read/3865458/4-pernyataan-artis-va-usai-bebas-dari-kasus-prostitusi-online ","sumber")</f>
        <v>sumber</v>
      </c>
      <c r="G28" s="33" t="s">
        <v>33</v>
      </c>
      <c r="H28" s="36"/>
      <c r="I28" s="33">
        <v>1.0</v>
      </c>
      <c r="J28" s="33">
        <v>1.0</v>
      </c>
      <c r="K28" s="33" t="s">
        <v>79</v>
      </c>
      <c r="L28" s="33">
        <v>0.0</v>
      </c>
      <c r="M28" s="33">
        <v>0.0</v>
      </c>
      <c r="N28" s="37">
        <v>0.0</v>
      </c>
      <c r="O28" s="33">
        <v>0.0</v>
      </c>
      <c r="P28" s="33">
        <v>0.0</v>
      </c>
      <c r="Q28" s="33" t="s">
        <v>80</v>
      </c>
      <c r="R28" s="33" t="s">
        <v>53</v>
      </c>
      <c r="S28" s="36"/>
      <c r="T28" s="33">
        <v>0.0</v>
      </c>
      <c r="U28" s="33">
        <v>0.0</v>
      </c>
      <c r="V28" s="33">
        <v>0.0</v>
      </c>
      <c r="W28" s="36"/>
      <c r="X28" s="36"/>
      <c r="Y28" s="36"/>
      <c r="Z28" s="45"/>
      <c r="AA28" s="45"/>
      <c r="AB28" s="45"/>
      <c r="AC28" s="45"/>
      <c r="AD28" s="45"/>
      <c r="AE28" s="45"/>
      <c r="AF28" s="45"/>
    </row>
    <row r="29">
      <c r="A29" s="32">
        <v>1.0</v>
      </c>
      <c r="B29" s="32" t="s">
        <v>81</v>
      </c>
      <c r="C29" s="33">
        <v>287.0</v>
      </c>
      <c r="D29" s="33">
        <v>5.0</v>
      </c>
      <c r="E29" s="34">
        <v>43709.0</v>
      </c>
      <c r="F29" s="35" t="str">
        <f>HYPERLINK("https://tirto.id/bisakah-penyedia-aplikasi-chat-prostitusi-online-dijerat-hukum-ddRU ","sumber")</f>
        <v>sumber</v>
      </c>
      <c r="G29" s="33" t="s">
        <v>33</v>
      </c>
      <c r="H29" s="36"/>
      <c r="I29" s="33">
        <v>1.0</v>
      </c>
      <c r="J29" s="33">
        <v>1.0</v>
      </c>
      <c r="K29" s="33" t="s">
        <v>82</v>
      </c>
      <c r="L29" s="33">
        <v>0.0</v>
      </c>
      <c r="M29" s="33">
        <v>0.0</v>
      </c>
      <c r="N29" s="37">
        <v>0.0</v>
      </c>
      <c r="O29" s="33">
        <v>0.0</v>
      </c>
      <c r="P29" s="33">
        <v>0.0</v>
      </c>
      <c r="Q29" s="33" t="s">
        <v>61</v>
      </c>
      <c r="R29" s="33" t="s">
        <v>61</v>
      </c>
      <c r="S29" s="36"/>
      <c r="T29" s="33">
        <v>0.0</v>
      </c>
      <c r="U29" s="33">
        <v>0.0</v>
      </c>
      <c r="V29" s="33">
        <v>0.0</v>
      </c>
      <c r="W29" s="36"/>
      <c r="X29" s="36"/>
      <c r="Y29" s="36"/>
      <c r="Z29" s="45"/>
      <c r="AA29" s="45"/>
      <c r="AB29" s="45"/>
      <c r="AC29" s="45"/>
      <c r="AD29" s="45"/>
      <c r="AE29" s="45"/>
      <c r="AF29" s="45"/>
    </row>
    <row r="30">
      <c r="A30" s="32">
        <v>1.0</v>
      </c>
      <c r="B30" s="32" t="s">
        <v>83</v>
      </c>
      <c r="C30" s="33">
        <v>288.0</v>
      </c>
      <c r="D30" s="33">
        <v>8.0</v>
      </c>
      <c r="E30" s="34">
        <v>43739.0</v>
      </c>
      <c r="F30" s="35" t="str">
        <f>HYPERLINK("https://www.suara.com/entertainment/2019/01/10/134910/pengakuan-robby-abbas-ada-lebih-dari-100-artis-pernah-dijual-ke-lelaki ","sumber")</f>
        <v>sumber</v>
      </c>
      <c r="G30" s="33" t="s">
        <v>33</v>
      </c>
      <c r="H30" s="36"/>
      <c r="I30" s="33">
        <v>1.0</v>
      </c>
      <c r="J30" s="33">
        <v>1.0</v>
      </c>
      <c r="K30" s="33" t="s">
        <v>84</v>
      </c>
      <c r="L30" s="33">
        <v>0.0</v>
      </c>
      <c r="M30" s="33">
        <v>-1.0</v>
      </c>
      <c r="N30" s="33">
        <v>-1.0</v>
      </c>
      <c r="O30" s="33">
        <v>0.0</v>
      </c>
      <c r="P30" s="33">
        <v>0.0</v>
      </c>
      <c r="Q30" s="33" t="s">
        <v>61</v>
      </c>
      <c r="R30" s="33" t="s">
        <v>85</v>
      </c>
      <c r="S30" s="36"/>
      <c r="T30" s="33">
        <v>0.0</v>
      </c>
      <c r="U30" s="33">
        <v>0.0</v>
      </c>
      <c r="V30" s="33">
        <v>0.0</v>
      </c>
      <c r="W30" s="36"/>
      <c r="X30" s="36"/>
      <c r="Y30" s="36"/>
      <c r="Z30" s="45"/>
      <c r="AA30" s="45"/>
      <c r="AB30" s="45"/>
      <c r="AC30" s="45"/>
      <c r="AD30" s="45"/>
      <c r="AE30" s="45"/>
      <c r="AF30" s="45"/>
    </row>
    <row r="31">
      <c r="A31" s="24">
        <v>1.0</v>
      </c>
      <c r="B31" s="24" t="s">
        <v>86</v>
      </c>
      <c r="C31" s="25">
        <v>289.0</v>
      </c>
      <c r="D31" s="25">
        <v>2.0</v>
      </c>
      <c r="E31" s="25" t="s">
        <v>87</v>
      </c>
      <c r="F31" s="27" t="str">
        <f>HYPERLINK("https://www.cnnindonesia.com/hiburan/20190125171334-234-363891/dituduh-lakukan-pelecehan-ke-bocah-bryan-singer-tetap-laris ","sumber")</f>
        <v>sumber</v>
      </c>
      <c r="G31" s="25" t="s">
        <v>33</v>
      </c>
      <c r="H31" s="25">
        <v>430.0</v>
      </c>
      <c r="I31" s="25">
        <v>1.0</v>
      </c>
      <c r="J31" s="25">
        <v>1.0</v>
      </c>
      <c r="K31" s="25" t="s">
        <v>88</v>
      </c>
      <c r="L31" s="25">
        <v>0.0</v>
      </c>
      <c r="M31" s="25">
        <v>0.0</v>
      </c>
      <c r="N31" s="38">
        <v>0.0</v>
      </c>
      <c r="O31" s="25">
        <v>0.0</v>
      </c>
      <c r="P31" s="25">
        <v>0.0</v>
      </c>
      <c r="Q31" s="25" t="s">
        <v>89</v>
      </c>
      <c r="R31" s="25" t="s">
        <v>90</v>
      </c>
      <c r="S31" s="29"/>
      <c r="T31" s="25">
        <v>0.0</v>
      </c>
      <c r="U31" s="25">
        <v>0.0</v>
      </c>
      <c r="V31" s="25">
        <v>0.0</v>
      </c>
      <c r="W31" s="29"/>
      <c r="X31" s="29"/>
      <c r="Y31" s="29"/>
      <c r="Z31" s="46"/>
      <c r="AA31" s="46"/>
      <c r="AB31" s="46"/>
      <c r="AC31" s="46"/>
      <c r="AD31" s="46"/>
      <c r="AE31" s="46"/>
      <c r="AF31" s="46"/>
    </row>
    <row r="32">
      <c r="A32" s="39">
        <v>2.0</v>
      </c>
      <c r="B32" s="39" t="s">
        <v>91</v>
      </c>
      <c r="C32" s="40">
        <v>290.0</v>
      </c>
      <c r="D32" s="40">
        <v>10.0</v>
      </c>
      <c r="E32" s="41"/>
      <c r="F32" s="42" t="str">
        <f>HYPERLINK("https://gaya.tempo.co/read/1164310/sedang-magang-di-kantor-jangan-lupa-minta-feedback-ke-bos ","sumber")</f>
        <v>sumber</v>
      </c>
      <c r="G32" s="40" t="s">
        <v>33</v>
      </c>
      <c r="H32" s="41"/>
      <c r="I32" s="41"/>
      <c r="J32" s="40">
        <v>1.0</v>
      </c>
      <c r="K32" s="41"/>
      <c r="L32" s="41"/>
      <c r="M32" s="41"/>
      <c r="N32" s="41"/>
      <c r="O32" s="41"/>
      <c r="P32" s="41"/>
      <c r="Q32" s="41"/>
      <c r="R32" s="41"/>
      <c r="S32" s="41"/>
      <c r="T32" s="41"/>
      <c r="U32" s="41"/>
      <c r="V32" s="41"/>
      <c r="W32" s="41"/>
      <c r="X32" s="41"/>
      <c r="Y32" s="41"/>
      <c r="Z32" s="47"/>
      <c r="AA32" s="43"/>
      <c r="AB32" s="48"/>
      <c r="AC32" s="48"/>
      <c r="AD32" s="48"/>
      <c r="AE32" s="48"/>
      <c r="AF32" s="48"/>
    </row>
    <row r="33">
      <c r="A33" s="32">
        <v>1.0</v>
      </c>
      <c r="B33" s="32" t="s">
        <v>92</v>
      </c>
      <c r="C33" s="33">
        <v>291.0</v>
      </c>
      <c r="D33" s="33">
        <v>2.0</v>
      </c>
      <c r="E33" s="33" t="s">
        <v>93</v>
      </c>
      <c r="F33" s="35" t="str">
        <f>HYPERLINK("https://www.cnnindonesia.com/nasional/20190115082310-12-360840/artis-sinetron-respons-polisi-soal-kasus-prostitusi-online ","sumber")</f>
        <v>sumber</v>
      </c>
      <c r="G33" s="33" t="s">
        <v>33</v>
      </c>
      <c r="H33" s="36"/>
      <c r="I33" s="33">
        <v>1.0</v>
      </c>
      <c r="J33" s="33">
        <v>1.0</v>
      </c>
      <c r="K33" s="33" t="s">
        <v>94</v>
      </c>
      <c r="L33" s="33">
        <v>0.0</v>
      </c>
      <c r="M33" s="33">
        <v>-1.0</v>
      </c>
      <c r="N33" s="33">
        <v>-1.0</v>
      </c>
      <c r="O33" s="33">
        <v>0.0</v>
      </c>
      <c r="P33" s="33">
        <v>0.0</v>
      </c>
      <c r="Q33" s="33" t="s">
        <v>61</v>
      </c>
      <c r="R33" s="33" t="s">
        <v>61</v>
      </c>
      <c r="S33" s="36"/>
      <c r="T33" s="33">
        <v>0.0</v>
      </c>
      <c r="U33" s="33">
        <v>0.0</v>
      </c>
      <c r="V33" s="33">
        <v>0.0</v>
      </c>
      <c r="W33" s="36"/>
      <c r="X33" s="36"/>
      <c r="Y33" s="36"/>
      <c r="Z33" s="45"/>
      <c r="AA33" s="45"/>
      <c r="AB33" s="45"/>
      <c r="AC33" s="45"/>
      <c r="AD33" s="45"/>
      <c r="AE33" s="45"/>
      <c r="AF33" s="45"/>
    </row>
    <row r="34">
      <c r="A34" s="24">
        <v>1.0</v>
      </c>
      <c r="B34" s="24" t="s">
        <v>95</v>
      </c>
      <c r="C34" s="25">
        <v>292.0</v>
      </c>
      <c r="D34" s="25">
        <v>2.0</v>
      </c>
      <c r="E34" s="26">
        <v>43709.0</v>
      </c>
      <c r="F34" s="27" t="str">
        <f>HYPERLINK("https://www.cnnindonesia.com/nasional/20190108214046-12-359418/tagih-utang-pakai-pesan-asusila-4-kolektor-ditangkap-polisi ","sumber")</f>
        <v>sumber</v>
      </c>
      <c r="G34" s="25" t="s">
        <v>33</v>
      </c>
      <c r="H34" s="25">
        <v>375.0</v>
      </c>
      <c r="I34" s="25">
        <v>1.0</v>
      </c>
      <c r="J34" s="25">
        <v>1.0</v>
      </c>
      <c r="K34" s="25" t="s">
        <v>96</v>
      </c>
      <c r="L34" s="25">
        <v>0.0</v>
      </c>
      <c r="M34" s="25">
        <v>0.0</v>
      </c>
      <c r="N34" s="38">
        <v>0.0</v>
      </c>
      <c r="O34" s="25">
        <v>0.0</v>
      </c>
      <c r="P34" s="25">
        <v>0.0</v>
      </c>
      <c r="Q34" s="25">
        <v>0.0</v>
      </c>
      <c r="R34" s="25">
        <v>0.0</v>
      </c>
      <c r="S34" s="29"/>
      <c r="T34" s="25">
        <v>0.0</v>
      </c>
      <c r="U34" s="25">
        <v>0.0</v>
      </c>
      <c r="V34" s="25">
        <v>0.0</v>
      </c>
      <c r="W34" s="29"/>
      <c r="X34" s="29"/>
      <c r="Y34" s="29"/>
      <c r="Z34" s="46"/>
      <c r="AA34" s="46"/>
      <c r="AB34" s="46"/>
      <c r="AC34" s="46"/>
      <c r="AD34" s="46"/>
      <c r="AE34" s="46"/>
      <c r="AF34" s="46"/>
    </row>
    <row r="35">
      <c r="A35" s="32">
        <v>1.0</v>
      </c>
      <c r="B35" s="32" t="s">
        <v>97</v>
      </c>
      <c r="C35" s="33">
        <v>293.0</v>
      </c>
      <c r="D35" s="33">
        <v>1.0</v>
      </c>
      <c r="E35" s="33" t="s">
        <v>98</v>
      </c>
      <c r="F35" s="35" t="str">
        <f>HYPERLINK("https://news.detik.com/berita-jawa-timur/d-4409377/kuasa-hukum-vanessa-angel-ajukan-penangguhan-penahanan ","sumber")</f>
        <v>sumber</v>
      </c>
      <c r="G35" s="33" t="s">
        <v>33</v>
      </c>
      <c r="H35" s="36"/>
      <c r="I35" s="33">
        <v>1.0</v>
      </c>
      <c r="J35" s="33">
        <v>1.0</v>
      </c>
      <c r="K35" s="33" t="s">
        <v>99</v>
      </c>
      <c r="L35" s="33">
        <v>0.0</v>
      </c>
      <c r="M35" s="33">
        <v>0.0</v>
      </c>
      <c r="N35" s="33">
        <v>-1.0</v>
      </c>
      <c r="O35" s="33">
        <v>0.0</v>
      </c>
      <c r="P35" s="33">
        <v>0.0</v>
      </c>
      <c r="Q35" s="33" t="s">
        <v>100</v>
      </c>
      <c r="R35" s="33" t="s">
        <v>61</v>
      </c>
      <c r="S35" s="36"/>
      <c r="T35" s="33">
        <v>0.0</v>
      </c>
      <c r="U35" s="33">
        <v>0.0</v>
      </c>
      <c r="V35" s="33">
        <v>0.0</v>
      </c>
      <c r="W35" s="36"/>
      <c r="X35" s="36"/>
      <c r="Y35" s="36"/>
      <c r="Z35" s="45"/>
      <c r="AA35" s="45"/>
      <c r="AB35" s="45"/>
      <c r="AC35" s="45"/>
      <c r="AD35" s="45"/>
      <c r="AE35" s="45"/>
      <c r="AF35" s="45"/>
    </row>
    <row r="36">
      <c r="A36" s="32">
        <v>1.0</v>
      </c>
      <c r="B36" s="32" t="s">
        <v>101</v>
      </c>
      <c r="C36" s="33">
        <v>294.0</v>
      </c>
      <c r="D36" s="33">
        <v>3.0</v>
      </c>
      <c r="E36" s="34">
        <v>43467.0</v>
      </c>
      <c r="F36" s="35" t="str">
        <f>HYPERLINK("https://celebrity.okezone.com/read/2019/01/31/33/2012177/kebohongan-berujung-bui-untuk-vanessa-angel ","sumber")</f>
        <v>sumber</v>
      </c>
      <c r="G36" s="33" t="s">
        <v>33</v>
      </c>
      <c r="H36" s="36"/>
      <c r="I36" s="33">
        <v>1.0</v>
      </c>
      <c r="J36" s="33">
        <v>1.0</v>
      </c>
      <c r="K36" s="33" t="s">
        <v>102</v>
      </c>
      <c r="L36" s="33">
        <v>0.0</v>
      </c>
      <c r="M36" s="33">
        <v>0.0</v>
      </c>
      <c r="N36" s="33">
        <v>-1.0</v>
      </c>
      <c r="O36" s="33">
        <v>0.0</v>
      </c>
      <c r="P36" s="33">
        <v>0.0</v>
      </c>
      <c r="Q36" s="33" t="s">
        <v>103</v>
      </c>
      <c r="R36" s="33" t="s">
        <v>104</v>
      </c>
      <c r="S36" s="36"/>
      <c r="T36" s="33">
        <v>0.0</v>
      </c>
      <c r="U36" s="33">
        <v>0.0</v>
      </c>
      <c r="V36" s="33">
        <v>0.0</v>
      </c>
      <c r="W36" s="36"/>
      <c r="X36" s="36"/>
      <c r="Y36" s="36"/>
      <c r="Z36" s="45"/>
      <c r="AA36" s="45"/>
      <c r="AB36" s="45"/>
      <c r="AC36" s="45"/>
      <c r="AD36" s="45"/>
      <c r="AE36" s="45"/>
      <c r="AF36" s="45"/>
    </row>
    <row r="37">
      <c r="A37" s="32">
        <v>1.0</v>
      </c>
      <c r="B37" s="32" t="s">
        <v>105</v>
      </c>
      <c r="C37" s="33">
        <v>295.0</v>
      </c>
      <c r="D37" s="33">
        <v>6.0</v>
      </c>
      <c r="E37" s="34">
        <v>43557.0</v>
      </c>
      <c r="F37" s="35" t="str">
        <f>HYPERLINK("https://megapolitan.kompas.com/read/2019/02/04/19522091/alasan-transaksi-prostitusi-online-dilakukan-melalui-aplikasi-line ","sumber")</f>
        <v>sumber</v>
      </c>
      <c r="G37" s="33" t="s">
        <v>33</v>
      </c>
      <c r="H37" s="36"/>
      <c r="I37" s="33">
        <v>1.0</v>
      </c>
      <c r="J37" s="33">
        <v>1.0</v>
      </c>
      <c r="K37" s="33" t="s">
        <v>106</v>
      </c>
      <c r="L37" s="33">
        <v>0.0</v>
      </c>
      <c r="M37" s="33">
        <v>0.0</v>
      </c>
      <c r="N37" s="37">
        <v>0.0</v>
      </c>
      <c r="O37" s="33">
        <v>0.0</v>
      </c>
      <c r="P37" s="33">
        <v>0.0</v>
      </c>
      <c r="Q37" s="33">
        <v>0.0</v>
      </c>
      <c r="R37" s="33">
        <v>0.0</v>
      </c>
      <c r="S37" s="36"/>
      <c r="T37" s="33">
        <v>0.0</v>
      </c>
      <c r="U37" s="33">
        <v>0.0</v>
      </c>
      <c r="V37" s="33">
        <v>0.0</v>
      </c>
      <c r="W37" s="36"/>
      <c r="X37" s="36"/>
      <c r="Y37" s="36"/>
      <c r="Z37" s="45"/>
      <c r="AA37" s="45"/>
      <c r="AB37" s="45"/>
      <c r="AC37" s="45"/>
      <c r="AD37" s="45"/>
      <c r="AE37" s="45"/>
      <c r="AF37" s="45"/>
    </row>
    <row r="38">
      <c r="A38" s="32">
        <v>1.0</v>
      </c>
      <c r="B38" s="32" t="s">
        <v>107</v>
      </c>
      <c r="C38" s="33">
        <v>296.0</v>
      </c>
      <c r="D38" s="33">
        <v>4.0</v>
      </c>
      <c r="E38" s="33" t="s">
        <v>108</v>
      </c>
      <c r="F38" s="35" t="str">
        <f>HYPERLINK("https://www.liputan6.com/citizen6/read/3893992/kisah-remaja-jadi-badut-demi-bantu-keluarga-kerap-diserang-hingga-pendarahan ","sumber")</f>
        <v>sumber</v>
      </c>
      <c r="G38" s="33" t="s">
        <v>33</v>
      </c>
      <c r="H38" s="36"/>
      <c r="I38" s="33">
        <v>1.0</v>
      </c>
      <c r="J38" s="33">
        <v>1.0</v>
      </c>
      <c r="K38" s="33" t="s">
        <v>109</v>
      </c>
      <c r="L38" s="33">
        <v>0.0</v>
      </c>
      <c r="M38" s="33">
        <v>1.0</v>
      </c>
      <c r="N38" s="37">
        <v>0.0</v>
      </c>
      <c r="O38" s="33">
        <v>0.0</v>
      </c>
      <c r="P38" s="33">
        <v>0.0</v>
      </c>
      <c r="Q38" s="33">
        <v>2.0</v>
      </c>
      <c r="R38" s="33">
        <v>0.0</v>
      </c>
      <c r="S38" s="36"/>
      <c r="T38" s="33">
        <v>0.0</v>
      </c>
      <c r="U38" s="33">
        <v>0.0</v>
      </c>
      <c r="V38" s="33">
        <v>0.0</v>
      </c>
      <c r="W38" s="36"/>
      <c r="X38" s="36"/>
      <c r="Y38" s="36"/>
      <c r="Z38" s="45"/>
      <c r="AA38" s="45"/>
      <c r="AB38" s="45"/>
      <c r="AC38" s="45"/>
      <c r="AD38" s="45"/>
      <c r="AE38" s="45"/>
      <c r="AF38" s="45"/>
    </row>
    <row r="39">
      <c r="A39" s="32">
        <v>1.0</v>
      </c>
      <c r="B39" s="32" t="s">
        <v>110</v>
      </c>
      <c r="C39" s="33">
        <v>297.0</v>
      </c>
      <c r="D39" s="33">
        <v>7.0</v>
      </c>
      <c r="E39" s="33" t="s">
        <v>108</v>
      </c>
      <c r="F39" s="35" t="str">
        <f>HYPERLINK("http://www.tribunnews.com/nasional/2019/02/13/vanessa-angel-ditahan-bareng-21-orang-di-1-ruangan-pacarnya-bahas-sosok-rian-ada-yang-diuntungkan ","sumber")</f>
        <v>sumber</v>
      </c>
      <c r="G39" s="33" t="s">
        <v>33</v>
      </c>
      <c r="H39" s="36"/>
      <c r="I39" s="33">
        <v>1.0</v>
      </c>
      <c r="J39" s="33">
        <v>1.0</v>
      </c>
      <c r="K39" s="33" t="s">
        <v>111</v>
      </c>
      <c r="L39" s="33">
        <v>0.0</v>
      </c>
      <c r="M39" s="33">
        <v>0.0</v>
      </c>
      <c r="N39" s="37">
        <v>0.0</v>
      </c>
      <c r="O39" s="33">
        <v>0.0</v>
      </c>
      <c r="P39" s="33">
        <v>0.0</v>
      </c>
      <c r="Q39" s="33" t="s">
        <v>61</v>
      </c>
      <c r="R39" s="33" t="s">
        <v>61</v>
      </c>
      <c r="S39" s="36"/>
      <c r="T39" s="33">
        <v>0.0</v>
      </c>
      <c r="U39" s="33">
        <v>0.0</v>
      </c>
      <c r="V39" s="33">
        <v>0.0</v>
      </c>
      <c r="W39" s="36"/>
      <c r="X39" s="36"/>
      <c r="Y39" s="36"/>
      <c r="Z39" s="45"/>
      <c r="AA39" s="45"/>
      <c r="AB39" s="45"/>
      <c r="AC39" s="45"/>
      <c r="AD39" s="45"/>
      <c r="AE39" s="45"/>
      <c r="AF39" s="45"/>
    </row>
    <row r="40">
      <c r="A40" s="32">
        <v>1.0</v>
      </c>
      <c r="B40" s="32" t="s">
        <v>112</v>
      </c>
      <c r="C40" s="33">
        <v>298.0</v>
      </c>
      <c r="D40" s="33">
        <v>3.0</v>
      </c>
      <c r="E40" s="33" t="s">
        <v>113</v>
      </c>
      <c r="F40" s="35" t="str">
        <f>HYPERLINK("https://lifestyle.okezone.com/read/2019/02/14/481/2017710/iklan-susu-pembesar-payudara-di-china-dikecam-mengapa ","sumber")</f>
        <v>sumber</v>
      </c>
      <c r="G40" s="33" t="s">
        <v>33</v>
      </c>
      <c r="H40" s="36"/>
      <c r="I40" s="33">
        <v>1.0</v>
      </c>
      <c r="J40" s="33">
        <v>1.0</v>
      </c>
      <c r="K40" s="33" t="s">
        <v>114</v>
      </c>
      <c r="L40" s="33">
        <v>0.0</v>
      </c>
      <c r="M40" s="33">
        <v>0.0</v>
      </c>
      <c r="N40" s="37">
        <v>0.0</v>
      </c>
      <c r="O40" s="33">
        <v>0.0</v>
      </c>
      <c r="P40" s="33">
        <v>0.0</v>
      </c>
      <c r="Q40" s="33" t="s">
        <v>89</v>
      </c>
      <c r="R40" s="33" t="s">
        <v>89</v>
      </c>
      <c r="S40" s="33" t="s">
        <v>115</v>
      </c>
      <c r="T40" s="33">
        <v>2.0</v>
      </c>
      <c r="U40" s="33">
        <v>0.0</v>
      </c>
      <c r="V40" s="33">
        <v>0.0</v>
      </c>
      <c r="W40" s="36"/>
      <c r="X40" s="36"/>
      <c r="Y40" s="36"/>
      <c r="Z40" s="45"/>
      <c r="AA40" s="45"/>
      <c r="AB40" s="45"/>
      <c r="AC40" s="45"/>
      <c r="AD40" s="45"/>
      <c r="AE40" s="45"/>
      <c r="AF40" s="45"/>
    </row>
    <row r="41">
      <c r="A41" s="39">
        <v>2.0</v>
      </c>
      <c r="B41" s="39" t="s">
        <v>116</v>
      </c>
      <c r="C41" s="40">
        <v>299.0</v>
      </c>
      <c r="D41" s="40">
        <v>5.0</v>
      </c>
      <c r="E41" s="40" t="s">
        <v>117</v>
      </c>
      <c r="F41" s="42" t="str">
        <f>HYPERLINK("https://tirto.id/bajak-laut-tiga-ratu-kartel-dan-bandit-penumpas-pemerkosa-dhbv ","sumber")</f>
        <v>sumber</v>
      </c>
      <c r="G41" s="40" t="s">
        <v>33</v>
      </c>
      <c r="H41" s="41"/>
      <c r="I41" s="40">
        <v>2.0</v>
      </c>
      <c r="J41" s="40">
        <v>1.0</v>
      </c>
      <c r="K41" s="40" t="s">
        <v>118</v>
      </c>
      <c r="L41" s="40">
        <v>0.0</v>
      </c>
      <c r="M41" s="40">
        <v>0.0</v>
      </c>
      <c r="N41" s="49">
        <v>0.0</v>
      </c>
      <c r="O41" s="40">
        <v>0.0</v>
      </c>
      <c r="P41" s="40">
        <v>0.0</v>
      </c>
      <c r="Q41" s="40" t="s">
        <v>119</v>
      </c>
      <c r="R41" s="40" t="s">
        <v>61</v>
      </c>
      <c r="S41" s="41"/>
      <c r="T41" s="40">
        <v>0.0</v>
      </c>
      <c r="U41" s="40">
        <v>0.0</v>
      </c>
      <c r="V41" s="40">
        <v>0.0</v>
      </c>
      <c r="W41" s="41"/>
      <c r="X41" s="41"/>
      <c r="Y41" s="41"/>
      <c r="Z41" s="48"/>
      <c r="AA41" s="48"/>
      <c r="AB41" s="48"/>
      <c r="AC41" s="48"/>
      <c r="AD41" s="48"/>
      <c r="AE41" s="48"/>
      <c r="AF41" s="48"/>
    </row>
    <row r="42">
      <c r="A42" s="24">
        <v>1.0</v>
      </c>
      <c r="B42" s="24" t="s">
        <v>120</v>
      </c>
      <c r="C42" s="25">
        <v>300.0</v>
      </c>
      <c r="D42" s="25">
        <v>2.0</v>
      </c>
      <c r="E42" s="26">
        <v>43467.0</v>
      </c>
      <c r="F42" s="27" t="str">
        <f>HYPERLINK("https://www.cnnindonesia.com/nasional/20190201132052-12-365663/emak-emak-gelar-aksi-savevanessa-di-polda-jatim ","sumber")</f>
        <v>sumber</v>
      </c>
      <c r="G42" s="25" t="s">
        <v>33</v>
      </c>
      <c r="H42" s="25">
        <v>408.0</v>
      </c>
      <c r="I42" s="25">
        <v>3.0</v>
      </c>
      <c r="J42" s="25">
        <v>1.0</v>
      </c>
      <c r="K42" s="25" t="s">
        <v>121</v>
      </c>
      <c r="L42" s="25">
        <v>0.0</v>
      </c>
      <c r="M42" s="25">
        <v>0.0</v>
      </c>
      <c r="N42" s="38">
        <v>0.0</v>
      </c>
      <c r="O42" s="25">
        <v>0.0</v>
      </c>
      <c r="P42" s="25">
        <v>0.0</v>
      </c>
      <c r="Q42" s="25" t="s">
        <v>61</v>
      </c>
      <c r="R42" s="25" t="s">
        <v>100</v>
      </c>
      <c r="S42" s="29"/>
      <c r="T42" s="25">
        <v>0.0</v>
      </c>
      <c r="U42" s="25">
        <v>0.0</v>
      </c>
      <c r="V42" s="25">
        <v>0.0</v>
      </c>
      <c r="W42" s="29"/>
      <c r="X42" s="29"/>
      <c r="Y42" s="29"/>
      <c r="Z42" s="46"/>
      <c r="AA42" s="46"/>
      <c r="AB42" s="46"/>
      <c r="AC42" s="46"/>
      <c r="AD42" s="46"/>
      <c r="AE42" s="46"/>
      <c r="AF42" s="46"/>
    </row>
    <row r="43">
      <c r="A43" s="24">
        <v>1.0</v>
      </c>
      <c r="B43" s="24" t="s">
        <v>122</v>
      </c>
      <c r="C43" s="25">
        <v>301.0</v>
      </c>
      <c r="D43" s="25">
        <v>3.0</v>
      </c>
      <c r="E43" s="25" t="s">
        <v>123</v>
      </c>
      <c r="F43" s="27" t="str">
        <f>HYPERLINK(" https://news.okezone.com/read/2019/03/15/18/2030244/jika-menang-pemilu-pihak-oposisi-australia-akan-permudah-aborsi ","sumber")</f>
        <v>sumber</v>
      </c>
      <c r="G43" s="25" t="s">
        <v>33</v>
      </c>
      <c r="H43" s="25">
        <v>714.0</v>
      </c>
      <c r="I43" s="25">
        <v>4.0</v>
      </c>
      <c r="J43" s="25">
        <v>1.0</v>
      </c>
      <c r="K43" s="25" t="s">
        <v>124</v>
      </c>
      <c r="L43" s="25">
        <v>0.0</v>
      </c>
      <c r="M43" s="25">
        <v>0.0</v>
      </c>
      <c r="N43" s="38">
        <v>0.0</v>
      </c>
      <c r="O43" s="25">
        <v>0.0</v>
      </c>
      <c r="P43" s="25">
        <v>0.0</v>
      </c>
      <c r="Q43" s="25" t="s">
        <v>125</v>
      </c>
      <c r="R43" s="25" t="s">
        <v>126</v>
      </c>
      <c r="S43" s="29"/>
      <c r="T43" s="25">
        <v>0.0</v>
      </c>
      <c r="U43" s="25">
        <v>0.0</v>
      </c>
      <c r="V43" s="25">
        <v>1.0</v>
      </c>
      <c r="W43" s="29"/>
      <c r="X43" s="29"/>
      <c r="Y43" s="29"/>
      <c r="Z43" s="46"/>
      <c r="AA43" s="46"/>
      <c r="AB43" s="46"/>
      <c r="AC43" s="46"/>
      <c r="AD43" s="46"/>
      <c r="AE43" s="46"/>
      <c r="AF43" s="46"/>
    </row>
    <row r="44">
      <c r="A44" s="32">
        <v>1.0</v>
      </c>
      <c r="B44" s="32" t="s">
        <v>127</v>
      </c>
      <c r="C44" s="33">
        <v>302.0</v>
      </c>
      <c r="D44" s="33">
        <v>6.0</v>
      </c>
      <c r="E44" s="34">
        <v>43558.0</v>
      </c>
      <c r="F44" s="35" t="str">
        <f>HYPERLINK("https://regional.kompas.com/read/2019/03/04/19040581/korban-pencabulan-bermodus-pengobatan-oleh-ayah-tiri-sempat-depresi ","sumber")</f>
        <v>sumber</v>
      </c>
      <c r="G44" s="33" t="s">
        <v>33</v>
      </c>
      <c r="H44" s="36"/>
      <c r="I44" s="33">
        <v>1.0</v>
      </c>
      <c r="J44" s="33">
        <v>1.0</v>
      </c>
      <c r="K44" s="33" t="s">
        <v>128</v>
      </c>
      <c r="L44" s="33">
        <v>0.0</v>
      </c>
      <c r="M44" s="25">
        <v>0.0</v>
      </c>
      <c r="N44" s="37">
        <v>0.0</v>
      </c>
      <c r="O44" s="33">
        <v>1.0</v>
      </c>
      <c r="P44" s="33">
        <v>0.0</v>
      </c>
      <c r="Q44" s="33">
        <v>0.0</v>
      </c>
      <c r="R44" s="33">
        <v>0.0</v>
      </c>
      <c r="S44" s="36"/>
      <c r="T44" s="33">
        <v>0.0</v>
      </c>
      <c r="U44" s="33">
        <v>0.0</v>
      </c>
      <c r="V44" s="33">
        <v>0.0</v>
      </c>
      <c r="W44" s="36"/>
      <c r="X44" s="36"/>
      <c r="Y44" s="36"/>
      <c r="Z44" s="45"/>
      <c r="AA44" s="45"/>
      <c r="AB44" s="45"/>
      <c r="AC44" s="45"/>
      <c r="AD44" s="45"/>
      <c r="AE44" s="45"/>
      <c r="AF44" s="45"/>
    </row>
    <row r="45">
      <c r="A45" s="32">
        <v>1.0</v>
      </c>
      <c r="B45" s="32" t="s">
        <v>129</v>
      </c>
      <c r="C45" s="33">
        <v>303.0</v>
      </c>
      <c r="D45" s="33">
        <v>1.0</v>
      </c>
      <c r="E45" s="34">
        <v>43619.0</v>
      </c>
      <c r="F45" s="35" t="str">
        <f>HYPERLINK("https://news.detik.com/berita/d-4456055/sidang-gugatan-rp-1-t-terkait-dugaan-pencabulan-eks-dewas-bpjs-tk-ditunda ","sumber")</f>
        <v>sumber</v>
      </c>
      <c r="G45" s="33" t="s">
        <v>33</v>
      </c>
      <c r="H45" s="36"/>
      <c r="I45" s="33">
        <v>1.0</v>
      </c>
      <c r="J45" s="33">
        <v>1.0</v>
      </c>
      <c r="K45" s="33" t="s">
        <v>130</v>
      </c>
      <c r="L45" s="33">
        <v>0.0</v>
      </c>
      <c r="M45" s="33">
        <v>0.0</v>
      </c>
      <c r="N45" s="37">
        <v>0.0</v>
      </c>
      <c r="O45" s="33">
        <v>0.0</v>
      </c>
      <c r="P45" s="33">
        <v>0.0</v>
      </c>
      <c r="Q45" s="33" t="s">
        <v>131</v>
      </c>
      <c r="R45" s="33" t="s">
        <v>53</v>
      </c>
      <c r="S45" s="36"/>
      <c r="T45" s="33">
        <v>0.0</v>
      </c>
      <c r="U45" s="33">
        <v>0.0</v>
      </c>
      <c r="V45" s="33">
        <v>0.0</v>
      </c>
      <c r="W45" s="36"/>
      <c r="X45" s="36"/>
      <c r="Y45" s="36"/>
      <c r="Z45" s="45"/>
      <c r="AA45" s="45"/>
      <c r="AB45" s="45"/>
      <c r="AC45" s="45"/>
      <c r="AD45" s="45"/>
      <c r="AE45" s="45"/>
      <c r="AF45" s="45"/>
    </row>
    <row r="46">
      <c r="A46" s="32">
        <v>1.0</v>
      </c>
      <c r="B46" s="32" t="s">
        <v>132</v>
      </c>
      <c r="C46" s="33">
        <v>304.0</v>
      </c>
      <c r="D46" s="33">
        <v>4.0</v>
      </c>
      <c r="E46" s="34">
        <v>43619.0</v>
      </c>
      <c r="F46" s="35" t="str">
        <f>HYPERLINK("https://www.liputan6.com/news/read/3911165/saraswati-ada-edukasi-perlindungan-perempuan-dalam-film-dilan-1991 ","sumber")</f>
        <v>sumber</v>
      </c>
      <c r="G46" s="33" t="s">
        <v>33</v>
      </c>
      <c r="H46" s="36"/>
      <c r="I46" s="33">
        <v>3.0</v>
      </c>
      <c r="J46" s="33">
        <v>1.0</v>
      </c>
      <c r="K46" s="33" t="s">
        <v>133</v>
      </c>
      <c r="L46" s="33">
        <v>0.0</v>
      </c>
      <c r="M46" s="33">
        <v>0.0</v>
      </c>
      <c r="N46" s="37">
        <v>0.0</v>
      </c>
      <c r="O46" s="33">
        <v>0.0</v>
      </c>
      <c r="P46" s="33">
        <v>0.0</v>
      </c>
      <c r="Q46" s="33">
        <v>0.0</v>
      </c>
      <c r="R46" s="33">
        <v>1.0</v>
      </c>
      <c r="S46" s="36"/>
      <c r="T46" s="33">
        <v>0.0</v>
      </c>
      <c r="U46" s="33">
        <v>0.0</v>
      </c>
      <c r="V46" s="33">
        <v>0.0</v>
      </c>
      <c r="W46" s="36"/>
      <c r="X46" s="36"/>
      <c r="Y46" s="36"/>
      <c r="Z46" s="45"/>
      <c r="AA46" s="45"/>
      <c r="AB46" s="45"/>
      <c r="AC46" s="45"/>
      <c r="AD46" s="45"/>
      <c r="AE46" s="45"/>
      <c r="AF46" s="45"/>
    </row>
    <row r="47">
      <c r="A47" s="32">
        <v>1.0</v>
      </c>
      <c r="B47" s="32" t="s">
        <v>134</v>
      </c>
      <c r="C47" s="33">
        <v>305.0</v>
      </c>
      <c r="D47" s="33">
        <v>8.0</v>
      </c>
      <c r="E47" s="34">
        <v>43772.0</v>
      </c>
      <c r="F47" s="35" t="str">
        <f>HYPERLINK("https://www.suara.com/lifestyle/2019/03/11/133000/foto-meghan-markle-dikomentari-negatif-ini-tindakan-kerajaan-inggris ","sumber")</f>
        <v>sumber</v>
      </c>
      <c r="G47" s="33" t="s">
        <v>33</v>
      </c>
      <c r="H47" s="36"/>
      <c r="I47" s="33">
        <v>1.0</v>
      </c>
      <c r="J47" s="33">
        <v>1.0</v>
      </c>
      <c r="K47" s="33" t="s">
        <v>135</v>
      </c>
      <c r="L47" s="33">
        <v>0.0</v>
      </c>
      <c r="M47" s="33">
        <v>0.0</v>
      </c>
      <c r="N47" s="37">
        <v>0.0</v>
      </c>
      <c r="O47" s="33">
        <v>0.0</v>
      </c>
      <c r="P47" s="33">
        <v>0.0</v>
      </c>
      <c r="Q47" s="33">
        <v>0.0</v>
      </c>
      <c r="R47" s="33">
        <v>1.0</v>
      </c>
      <c r="S47" s="36"/>
      <c r="T47" s="33">
        <v>0.0</v>
      </c>
      <c r="U47" s="33">
        <v>0.0</v>
      </c>
      <c r="V47" s="33">
        <v>0.0</v>
      </c>
      <c r="W47" s="36"/>
      <c r="X47" s="36"/>
      <c r="Y47" s="36"/>
      <c r="Z47" s="45"/>
      <c r="AA47" s="45"/>
      <c r="AB47" s="45"/>
      <c r="AC47" s="45"/>
      <c r="AD47" s="45"/>
      <c r="AE47" s="45"/>
      <c r="AF47" s="45"/>
    </row>
    <row r="48">
      <c r="A48" s="32">
        <v>1.0</v>
      </c>
      <c r="B48" s="32" t="s">
        <v>136</v>
      </c>
      <c r="C48" s="33">
        <v>306.0</v>
      </c>
      <c r="D48" s="33">
        <v>10.0</v>
      </c>
      <c r="E48" s="34">
        <v>43802.0</v>
      </c>
      <c r="F48" s="35" t="str">
        <f>HYPERLINK("https://tekno.tempo.co/read/1184473/google-bayar-rp-15-t-dua-eksekutif-yang-terlibat-pelecehan ","sumber")</f>
        <v>sumber</v>
      </c>
      <c r="G48" s="33" t="s">
        <v>33</v>
      </c>
      <c r="H48" s="36"/>
      <c r="I48" s="33">
        <v>1.0</v>
      </c>
      <c r="J48" s="33">
        <v>1.0</v>
      </c>
      <c r="K48" s="33" t="s">
        <v>137</v>
      </c>
      <c r="L48" s="33">
        <v>0.0</v>
      </c>
      <c r="M48" s="33">
        <v>0.0</v>
      </c>
      <c r="N48" s="37">
        <v>0.0</v>
      </c>
      <c r="O48" s="33">
        <v>0.0</v>
      </c>
      <c r="P48" s="33">
        <v>0.0</v>
      </c>
      <c r="Q48" s="33" t="s">
        <v>53</v>
      </c>
      <c r="R48" s="33" t="s">
        <v>138</v>
      </c>
      <c r="S48" s="36"/>
      <c r="T48" s="33">
        <v>0.0</v>
      </c>
      <c r="U48" s="33">
        <v>0.0</v>
      </c>
      <c r="V48" s="33">
        <v>0.0</v>
      </c>
      <c r="W48" s="36"/>
      <c r="X48" s="36"/>
      <c r="Y48" s="36"/>
      <c r="Z48" s="45"/>
      <c r="AA48" s="45"/>
      <c r="AB48" s="45"/>
      <c r="AC48" s="45"/>
      <c r="AD48" s="45"/>
      <c r="AE48" s="45"/>
      <c r="AF48" s="45"/>
    </row>
    <row r="49">
      <c r="A49" s="24">
        <v>1.0</v>
      </c>
      <c r="B49" s="24" t="s">
        <v>139</v>
      </c>
      <c r="C49" s="25">
        <v>307.0</v>
      </c>
      <c r="D49" s="25">
        <v>8.0</v>
      </c>
      <c r="E49" s="26">
        <v>43649.0</v>
      </c>
      <c r="F49" s="27" t="str">
        <f>HYPERLINK("https://www.suara.com/news/2019/03/07/162523/diperkosa-ibu-bakar-diri-bersama-pelakunya ","sumber")</f>
        <v>sumber</v>
      </c>
      <c r="G49" s="25" t="s">
        <v>33</v>
      </c>
      <c r="H49" s="25">
        <v>260.0</v>
      </c>
      <c r="I49" s="25">
        <v>1.0</v>
      </c>
      <c r="J49" s="25">
        <v>1.0</v>
      </c>
      <c r="K49" s="25" t="s">
        <v>140</v>
      </c>
      <c r="L49" s="25">
        <v>0.0</v>
      </c>
      <c r="M49" s="25">
        <v>0.0</v>
      </c>
      <c r="N49" s="38">
        <v>0.0</v>
      </c>
      <c r="O49" s="25">
        <v>0.0</v>
      </c>
      <c r="P49" s="25">
        <v>0.0</v>
      </c>
      <c r="Q49" s="25">
        <v>0.0</v>
      </c>
      <c r="R49" s="25">
        <v>0.0</v>
      </c>
      <c r="S49" s="29"/>
      <c r="T49" s="25">
        <v>0.0</v>
      </c>
      <c r="U49" s="25">
        <v>0.0</v>
      </c>
      <c r="V49" s="25">
        <v>0.0</v>
      </c>
      <c r="W49" s="29"/>
      <c r="X49" s="29"/>
      <c r="Y49" s="29"/>
      <c r="Z49" s="46"/>
      <c r="AA49" s="46"/>
      <c r="AB49" s="46"/>
      <c r="AC49" s="46"/>
      <c r="AD49" s="46"/>
      <c r="AE49" s="46"/>
      <c r="AF49" s="46"/>
    </row>
    <row r="50">
      <c r="A50" s="32">
        <v>1.0</v>
      </c>
      <c r="B50" s="32" t="s">
        <v>141</v>
      </c>
      <c r="C50" s="33">
        <v>308.0</v>
      </c>
      <c r="D50" s="33">
        <v>5.0</v>
      </c>
      <c r="E50" s="33" t="s">
        <v>142</v>
      </c>
      <c r="F50" s="35" t="str">
        <f>HYPERLINK("https://tirto.id/eh-agni-dan-ugm-yang-tak-tegas-menangani-kasus-kekerasan-seksual-dju2 ","sumber")</f>
        <v>sumber</v>
      </c>
      <c r="G50" s="33" t="s">
        <v>33</v>
      </c>
      <c r="H50" s="36"/>
      <c r="I50" s="33">
        <v>1.0</v>
      </c>
      <c r="J50" s="33">
        <v>1.0</v>
      </c>
      <c r="K50" s="33" t="s">
        <v>143</v>
      </c>
      <c r="L50" s="33">
        <v>0.0</v>
      </c>
      <c r="M50" s="33">
        <v>0.0</v>
      </c>
      <c r="N50" s="37">
        <v>0.0</v>
      </c>
      <c r="O50" s="33">
        <v>0.0</v>
      </c>
      <c r="P50" s="33">
        <v>0.0</v>
      </c>
      <c r="Q50" s="33" t="s">
        <v>144</v>
      </c>
      <c r="R50" s="33" t="s">
        <v>145</v>
      </c>
      <c r="S50" s="36"/>
      <c r="T50" s="33">
        <v>0.0</v>
      </c>
      <c r="U50" s="33">
        <v>0.0</v>
      </c>
      <c r="V50" s="33">
        <v>0.0</v>
      </c>
      <c r="W50" s="36"/>
      <c r="X50" s="36"/>
      <c r="Y50" s="36"/>
      <c r="Z50" s="45"/>
      <c r="AA50" s="45"/>
      <c r="AB50" s="45"/>
      <c r="AC50" s="45"/>
      <c r="AD50" s="45"/>
      <c r="AE50" s="45"/>
      <c r="AF50" s="45"/>
    </row>
    <row r="51">
      <c r="A51" s="32">
        <v>1.0</v>
      </c>
      <c r="B51" s="32" t="s">
        <v>146</v>
      </c>
      <c r="C51" s="33">
        <v>309.0</v>
      </c>
      <c r="D51" s="33">
        <v>9.0</v>
      </c>
      <c r="E51" s="33" t="s">
        <v>147</v>
      </c>
      <c r="F51" s="35" t="str">
        <f>HYPERLINK("https://nasional.republika.co.id/berita/nasional/daerah/pog61o320/pencabulan-dominasi-kasus-kekerasaan-anak-di-pekanbaru ","sumber")</f>
        <v>sumber</v>
      </c>
      <c r="G51" s="33" t="s">
        <v>33</v>
      </c>
      <c r="H51" s="36"/>
      <c r="I51" s="33">
        <v>1.0</v>
      </c>
      <c r="J51" s="33">
        <v>1.0</v>
      </c>
      <c r="K51" s="33" t="s">
        <v>148</v>
      </c>
      <c r="L51" s="33">
        <v>0.0</v>
      </c>
      <c r="M51" s="33">
        <v>0.0</v>
      </c>
      <c r="N51" s="37">
        <v>0.0</v>
      </c>
      <c r="O51" s="33">
        <v>0.0</v>
      </c>
      <c r="P51" s="33">
        <v>0.0</v>
      </c>
      <c r="Q51" s="33">
        <v>0.0</v>
      </c>
      <c r="R51" s="33">
        <v>0.0</v>
      </c>
      <c r="S51" s="36"/>
      <c r="T51" s="33">
        <v>0.0</v>
      </c>
      <c r="U51" s="33">
        <v>0.0</v>
      </c>
      <c r="V51" s="33">
        <v>0.0</v>
      </c>
      <c r="W51" s="36"/>
      <c r="X51" s="36"/>
      <c r="Y51" s="36"/>
      <c r="Z51" s="45"/>
      <c r="AA51" s="45"/>
      <c r="AB51" s="45"/>
      <c r="AC51" s="45"/>
      <c r="AD51" s="45"/>
      <c r="AE51" s="45"/>
      <c r="AF51" s="45"/>
    </row>
    <row r="52">
      <c r="A52" s="32">
        <v>1.0</v>
      </c>
      <c r="B52" s="32" t="s">
        <v>149</v>
      </c>
      <c r="C52" s="33">
        <v>310.0</v>
      </c>
      <c r="D52" s="33">
        <v>9.0</v>
      </c>
      <c r="E52" s="33" t="s">
        <v>150</v>
      </c>
      <c r="F52" s="35" t="str">
        <f>HYPERLINK("https://senggang.republika.co.id/berita/senggang/asia-pop/pohssn459/kasus-seungri-kotori-jasa-besar-hallyu-pada-ekonomi-korsel ","sumber")</f>
        <v>sumber</v>
      </c>
      <c r="G52" s="33" t="s">
        <v>33</v>
      </c>
      <c r="H52" s="36"/>
      <c r="I52" s="33">
        <v>1.0</v>
      </c>
      <c r="J52" s="33">
        <v>1.0</v>
      </c>
      <c r="K52" s="33" t="s">
        <v>151</v>
      </c>
      <c r="L52" s="33">
        <v>0.0</v>
      </c>
      <c r="M52" s="33">
        <v>0.0</v>
      </c>
      <c r="N52" s="37">
        <v>0.0</v>
      </c>
      <c r="O52" s="33">
        <v>0.0</v>
      </c>
      <c r="P52" s="33">
        <v>0.0</v>
      </c>
      <c r="Q52" s="33">
        <v>0.0</v>
      </c>
      <c r="R52" s="33">
        <v>0.0</v>
      </c>
      <c r="S52" s="36"/>
      <c r="T52" s="33">
        <v>0.0</v>
      </c>
      <c r="U52" s="33">
        <v>0.0</v>
      </c>
      <c r="V52" s="33">
        <v>0.0</v>
      </c>
      <c r="W52" s="36"/>
      <c r="X52" s="36"/>
      <c r="Y52" s="36"/>
      <c r="Z52" s="45"/>
      <c r="AA52" s="45"/>
      <c r="AB52" s="45"/>
      <c r="AC52" s="45"/>
      <c r="AD52" s="45"/>
      <c r="AE52" s="45"/>
      <c r="AF52" s="45"/>
    </row>
    <row r="53">
      <c r="A53" s="24">
        <v>1.0</v>
      </c>
      <c r="B53" s="24" t="s">
        <v>152</v>
      </c>
      <c r="C53" s="25">
        <v>311.0</v>
      </c>
      <c r="D53" s="25">
        <v>9.0</v>
      </c>
      <c r="E53" s="25" t="s">
        <v>153</v>
      </c>
      <c r="F53" s="27" t="str">
        <f>HYPERLINK("https://internasional.republika.co.id/berita/internasional/eropa/po9x7b382/sebut-korban-pemerkosaan-jelek-pengadilan-italia-diprotes ","sumber")</f>
        <v>sumber</v>
      </c>
      <c r="G53" s="25" t="s">
        <v>33</v>
      </c>
      <c r="H53" s="25">
        <v>219.0</v>
      </c>
      <c r="I53" s="25">
        <v>1.0</v>
      </c>
      <c r="J53" s="25">
        <v>1.0</v>
      </c>
      <c r="K53" s="25" t="s">
        <v>154</v>
      </c>
      <c r="L53" s="25">
        <v>0.0</v>
      </c>
      <c r="M53" s="25">
        <v>0.0</v>
      </c>
      <c r="N53" s="38">
        <v>0.0</v>
      </c>
      <c r="O53" s="25">
        <v>0.0</v>
      </c>
      <c r="P53" s="25">
        <v>0.0</v>
      </c>
      <c r="Q53" s="25">
        <v>0.0</v>
      </c>
      <c r="R53" s="25">
        <v>0.0</v>
      </c>
      <c r="S53" s="29"/>
      <c r="T53" s="25">
        <v>0.0</v>
      </c>
      <c r="U53" s="25">
        <v>0.0</v>
      </c>
      <c r="V53" s="25">
        <v>0.0</v>
      </c>
      <c r="W53" s="29"/>
      <c r="X53" s="29"/>
      <c r="Y53" s="29"/>
      <c r="Z53" s="46"/>
      <c r="AA53" s="46"/>
      <c r="AB53" s="46"/>
      <c r="AC53" s="46"/>
      <c r="AD53" s="46"/>
      <c r="AE53" s="46"/>
      <c r="AF53" s="46"/>
    </row>
    <row r="54">
      <c r="A54" s="32">
        <v>1.0</v>
      </c>
      <c r="B54" s="32" t="s">
        <v>155</v>
      </c>
      <c r="C54" s="33">
        <v>312.0</v>
      </c>
      <c r="D54" s="33">
        <v>3.0</v>
      </c>
      <c r="E54" s="33" t="s">
        <v>156</v>
      </c>
      <c r="F54" s="35" t="str">
        <f>HYPERLINK("https://news.okezone.com/read/2019/03/21/65/2032980/kekerasan-seksual-berbasis-siber-apa-itu ","sumber")</f>
        <v>sumber</v>
      </c>
      <c r="G54" s="33" t="s">
        <v>33</v>
      </c>
      <c r="H54" s="36"/>
      <c r="I54" s="33">
        <v>1.0</v>
      </c>
      <c r="J54" s="33">
        <v>1.0</v>
      </c>
      <c r="K54" s="33" t="s">
        <v>157</v>
      </c>
      <c r="L54" s="33">
        <v>0.0</v>
      </c>
      <c r="M54" s="33">
        <v>0.0</v>
      </c>
      <c r="N54" s="37">
        <v>0.0</v>
      </c>
      <c r="O54" s="33">
        <v>0.0</v>
      </c>
      <c r="P54" s="33">
        <v>0.0</v>
      </c>
      <c r="Q54" s="33">
        <v>0.0</v>
      </c>
      <c r="R54" s="33">
        <v>1.0</v>
      </c>
      <c r="S54" s="36"/>
      <c r="T54" s="33">
        <v>0.0</v>
      </c>
      <c r="U54" s="33">
        <v>0.0</v>
      </c>
      <c r="V54" s="33">
        <v>0.0</v>
      </c>
      <c r="W54" s="36"/>
      <c r="X54" s="36"/>
      <c r="Y54" s="36"/>
      <c r="Z54" s="45"/>
      <c r="AA54" s="45"/>
      <c r="AB54" s="45"/>
      <c r="AC54" s="45"/>
      <c r="AD54" s="45"/>
      <c r="AE54" s="45"/>
      <c r="AF54" s="45"/>
    </row>
    <row r="55">
      <c r="A55" s="32">
        <v>1.0</v>
      </c>
      <c r="B55" s="32" t="s">
        <v>158</v>
      </c>
      <c r="C55" s="33">
        <v>313.0</v>
      </c>
      <c r="D55" s="33">
        <v>1.0</v>
      </c>
      <c r="E55" s="33" t="s">
        <v>159</v>
      </c>
      <c r="F55" s="35" t="str">
        <f>HYPERLINK("https://news.detik.com/berita-jawa-timur/d-4483774/muncikari-sudah-disidang-kapan-giliran-vanessa-angel ","sumber")</f>
        <v>sumber</v>
      </c>
      <c r="G55" s="33" t="s">
        <v>33</v>
      </c>
      <c r="H55" s="36"/>
      <c r="I55" s="33">
        <v>1.0</v>
      </c>
      <c r="J55" s="33">
        <v>1.0</v>
      </c>
      <c r="K55" s="33" t="s">
        <v>160</v>
      </c>
      <c r="L55" s="33">
        <v>0.0</v>
      </c>
      <c r="M55" s="33">
        <v>0.0</v>
      </c>
      <c r="N55" s="37">
        <v>0.0</v>
      </c>
      <c r="O55" s="33">
        <v>0.0</v>
      </c>
      <c r="P55" s="33">
        <v>0.0</v>
      </c>
      <c r="Q55" s="33">
        <v>0.0</v>
      </c>
      <c r="R55" s="33">
        <v>0.0</v>
      </c>
      <c r="S55" s="36"/>
      <c r="T55" s="33">
        <v>0.0</v>
      </c>
      <c r="U55" s="33">
        <v>0.0</v>
      </c>
      <c r="V55" s="33">
        <v>0.0</v>
      </c>
      <c r="W55" s="36"/>
      <c r="X55" s="36"/>
      <c r="Y55" s="36"/>
      <c r="Z55" s="45"/>
      <c r="AA55" s="45"/>
      <c r="AB55" s="45"/>
      <c r="AC55" s="45"/>
      <c r="AD55" s="45"/>
      <c r="AE55" s="45"/>
      <c r="AF55" s="45"/>
    </row>
    <row r="56">
      <c r="A56" s="24">
        <v>1.0</v>
      </c>
      <c r="B56" s="24" t="s">
        <v>161</v>
      </c>
      <c r="C56" s="25">
        <v>314.0</v>
      </c>
      <c r="D56" s="25">
        <v>5.0</v>
      </c>
      <c r="E56" s="26">
        <v>43468.0</v>
      </c>
      <c r="F56" s="27" t="str">
        <f>HYPERLINK("https://tirto.id/pkbi-nilai-aturan-soal-aborsi-aman-belum-berpihak-pada-perempuan-didM ","sumber")</f>
        <v>sumber</v>
      </c>
      <c r="G56" s="25" t="s">
        <v>33</v>
      </c>
      <c r="H56" s="25">
        <v>266.0</v>
      </c>
      <c r="I56" s="25">
        <v>4.0</v>
      </c>
      <c r="J56" s="25">
        <v>1.0</v>
      </c>
      <c r="K56" s="25" t="s">
        <v>162</v>
      </c>
      <c r="L56" s="25">
        <v>0.0</v>
      </c>
      <c r="M56" s="25">
        <v>0.0</v>
      </c>
      <c r="N56" s="38">
        <v>0.0</v>
      </c>
      <c r="O56" s="25">
        <v>0.0</v>
      </c>
      <c r="P56" s="25">
        <v>0.0</v>
      </c>
      <c r="Q56" s="25">
        <v>0.0</v>
      </c>
      <c r="R56" s="25">
        <v>1.0</v>
      </c>
      <c r="S56" s="29"/>
      <c r="T56" s="25">
        <v>0.0</v>
      </c>
      <c r="U56" s="25">
        <v>0.0</v>
      </c>
      <c r="V56" s="25">
        <v>1.0</v>
      </c>
      <c r="W56" s="29"/>
      <c r="X56" s="29"/>
      <c r="Y56" s="29"/>
      <c r="Z56" s="46"/>
      <c r="AA56" s="46"/>
      <c r="AB56" s="46"/>
      <c r="AC56" s="46"/>
      <c r="AD56" s="46"/>
      <c r="AE56" s="46"/>
      <c r="AF56" s="46"/>
    </row>
    <row r="57">
      <c r="A57" s="32">
        <v>1.0</v>
      </c>
      <c r="B57" s="32" t="s">
        <v>163</v>
      </c>
      <c r="C57" s="33">
        <v>315.0</v>
      </c>
      <c r="D57" s="33">
        <v>6.0</v>
      </c>
      <c r="E57" s="33" t="s">
        <v>164</v>
      </c>
      <c r="F57" s="35" t="str">
        <f>HYPERLINK("https://olahraga.kompas.com/read/2019/03/30/00202808/lakukan-pelecehan-pulev-terkena-sanksi ","sumber")</f>
        <v>sumber</v>
      </c>
      <c r="G57" s="33" t="s">
        <v>33</v>
      </c>
      <c r="H57" s="36"/>
      <c r="I57" s="33">
        <v>1.0</v>
      </c>
      <c r="J57" s="33">
        <v>1.0</v>
      </c>
      <c r="K57" s="33" t="s">
        <v>165</v>
      </c>
      <c r="L57" s="33">
        <v>0.0</v>
      </c>
      <c r="M57" s="33">
        <v>1.0</v>
      </c>
      <c r="N57" s="37">
        <v>0.0</v>
      </c>
      <c r="O57" s="33">
        <v>0.0</v>
      </c>
      <c r="P57" s="33">
        <v>0.0</v>
      </c>
      <c r="Q57" s="33" t="s">
        <v>166</v>
      </c>
      <c r="R57" s="33" t="s">
        <v>167</v>
      </c>
      <c r="S57" s="36"/>
      <c r="T57" s="33">
        <v>0.0</v>
      </c>
      <c r="U57" s="33">
        <v>0.0</v>
      </c>
      <c r="V57" s="33">
        <v>0.0</v>
      </c>
      <c r="W57" s="36"/>
      <c r="X57" s="36"/>
      <c r="Y57" s="36"/>
      <c r="Z57" s="45"/>
      <c r="AA57" s="45"/>
      <c r="AB57" s="45"/>
      <c r="AC57" s="45"/>
      <c r="AD57" s="45"/>
      <c r="AE57" s="45"/>
      <c r="AF57" s="45"/>
    </row>
    <row r="58">
      <c r="A58" s="32">
        <v>1.0</v>
      </c>
      <c r="B58" s="32" t="s">
        <v>168</v>
      </c>
      <c r="C58" s="33">
        <v>316.0</v>
      </c>
      <c r="D58" s="33">
        <v>7.0</v>
      </c>
      <c r="E58" s="33" t="s">
        <v>164</v>
      </c>
      <c r="F58" s="35" t="str">
        <f>HYPERLINK("http://www.tribunnews.com/seleb/2019/03/30/merasa-tak-adil-rian-tak-dihukum-kuasa-hukum-vanessa-angel-sampai-segitunya-menutupi-laki-lakinya ","sumber")</f>
        <v>sumber</v>
      </c>
      <c r="G58" s="33" t="s">
        <v>33</v>
      </c>
      <c r="H58" s="36"/>
      <c r="I58" s="33">
        <v>1.0</v>
      </c>
      <c r="J58" s="33">
        <v>1.0</v>
      </c>
      <c r="K58" s="33" t="s">
        <v>169</v>
      </c>
      <c r="L58" s="33">
        <v>0.0</v>
      </c>
      <c r="M58" s="33">
        <v>0.0</v>
      </c>
      <c r="N58" s="33">
        <v>-1.0</v>
      </c>
      <c r="O58" s="33">
        <v>0.0</v>
      </c>
      <c r="P58" s="33">
        <v>0.0</v>
      </c>
      <c r="Q58" s="33">
        <v>0.0</v>
      </c>
      <c r="R58" s="33">
        <v>0.0</v>
      </c>
      <c r="S58" s="36"/>
      <c r="T58" s="33">
        <v>0.0</v>
      </c>
      <c r="U58" s="33">
        <v>0.0</v>
      </c>
      <c r="V58" s="33">
        <v>0.0</v>
      </c>
      <c r="W58" s="36"/>
      <c r="X58" s="36"/>
      <c r="Y58" s="36"/>
      <c r="Z58" s="45"/>
      <c r="AA58" s="45"/>
      <c r="AB58" s="45"/>
      <c r="AC58" s="45"/>
      <c r="AD58" s="45"/>
      <c r="AE58" s="45"/>
      <c r="AF58" s="45"/>
    </row>
    <row r="59">
      <c r="A59" s="32">
        <v>1.0</v>
      </c>
      <c r="B59" s="32" t="s">
        <v>170</v>
      </c>
      <c r="C59" s="33">
        <v>317.0</v>
      </c>
      <c r="D59" s="33">
        <v>2.0</v>
      </c>
      <c r="E59" s="33" t="s">
        <v>171</v>
      </c>
      <c r="F59" s="35" t="str">
        <f>HYPERLINK("https://www.cnnindonesia.com/nasional/20190331160922-32-382291/rhoma-irama-sebut-ruu-pks-legalkan-zina-dan-lgbt ","sumber")</f>
        <v>sumber</v>
      </c>
      <c r="G59" s="33" t="s">
        <v>33</v>
      </c>
      <c r="H59" s="36"/>
      <c r="I59" s="33">
        <v>4.0</v>
      </c>
      <c r="J59" s="33">
        <v>1.0</v>
      </c>
      <c r="K59" s="33" t="s">
        <v>172</v>
      </c>
      <c r="L59" s="33">
        <v>0.0</v>
      </c>
      <c r="M59" s="33">
        <v>0.0</v>
      </c>
      <c r="N59" s="37">
        <v>0.0</v>
      </c>
      <c r="O59" s="33">
        <v>0.0</v>
      </c>
      <c r="P59" s="33">
        <v>0.0</v>
      </c>
      <c r="Q59" s="33" t="s">
        <v>61</v>
      </c>
      <c r="R59" s="33" t="s">
        <v>173</v>
      </c>
      <c r="S59" s="36"/>
      <c r="T59" s="33">
        <v>0.0</v>
      </c>
      <c r="U59" s="33">
        <v>0.0</v>
      </c>
      <c r="V59" s="33">
        <v>1.0</v>
      </c>
      <c r="W59" s="36"/>
      <c r="X59" s="36"/>
      <c r="Y59" s="36"/>
      <c r="Z59" s="45"/>
      <c r="AA59" s="45"/>
      <c r="AB59" s="45"/>
      <c r="AC59" s="45"/>
      <c r="AD59" s="45"/>
      <c r="AE59" s="45"/>
      <c r="AF59" s="45"/>
    </row>
    <row r="60">
      <c r="A60" s="32">
        <v>1.0</v>
      </c>
      <c r="B60" s="32" t="s">
        <v>174</v>
      </c>
      <c r="C60" s="33">
        <v>318.0</v>
      </c>
      <c r="D60" s="33">
        <v>8.0</v>
      </c>
      <c r="E60" s="33" t="s">
        <v>171</v>
      </c>
      <c r="F60" s="35" t="str">
        <f>HYPERLINK("https://www.suara.com/entertainment/2019/03/31/205112/vanessa-angel-diborgol-pengacara-apa-perlu-sampai-segitunya ","sumber")</f>
        <v>sumber</v>
      </c>
      <c r="G60" s="33" t="s">
        <v>33</v>
      </c>
      <c r="H60" s="36"/>
      <c r="I60" s="33">
        <v>1.0</v>
      </c>
      <c r="J60" s="33">
        <v>1.0</v>
      </c>
      <c r="K60" s="33" t="s">
        <v>169</v>
      </c>
      <c r="L60" s="33">
        <v>0.0</v>
      </c>
      <c r="M60" s="33">
        <v>0.0</v>
      </c>
      <c r="N60" s="33">
        <v>-1.0</v>
      </c>
      <c r="O60" s="33">
        <v>0.0</v>
      </c>
      <c r="P60" s="33">
        <v>0.0</v>
      </c>
      <c r="Q60" s="33">
        <v>0.0</v>
      </c>
      <c r="R60" s="33">
        <v>0.0</v>
      </c>
      <c r="S60" s="36"/>
      <c r="T60" s="33">
        <v>0.0</v>
      </c>
      <c r="U60" s="33">
        <v>0.0</v>
      </c>
      <c r="V60" s="33">
        <v>0.0</v>
      </c>
      <c r="W60" s="36"/>
      <c r="X60" s="36"/>
      <c r="Y60" s="36"/>
      <c r="Z60" s="45"/>
      <c r="AA60" s="45"/>
      <c r="AB60" s="45"/>
      <c r="AC60" s="45"/>
      <c r="AD60" s="45"/>
      <c r="AE60" s="45"/>
      <c r="AF60" s="45"/>
    </row>
    <row r="61">
      <c r="A61" s="32">
        <v>1.0</v>
      </c>
      <c r="B61" s="32" t="s">
        <v>175</v>
      </c>
      <c r="C61" s="33">
        <v>319.0</v>
      </c>
      <c r="D61" s="33">
        <v>3.0</v>
      </c>
      <c r="E61" s="34">
        <v>43500.0</v>
      </c>
      <c r="F61" s="35" t="str">
        <f>HYPERLINK("https://news.okezone.com/read/2019/04/02/244/2038142/menolak-beli-nasi-istri-dihajar-suami-hingga-babak-belur ","sumber")</f>
        <v>sumber</v>
      </c>
      <c r="G61" s="33" t="s">
        <v>33</v>
      </c>
      <c r="H61" s="36"/>
      <c r="I61" s="33">
        <v>1.0</v>
      </c>
      <c r="J61" s="33">
        <v>1.0</v>
      </c>
      <c r="K61" s="33" t="s">
        <v>176</v>
      </c>
      <c r="L61" s="33">
        <v>0.0</v>
      </c>
      <c r="M61" s="33">
        <v>0.0</v>
      </c>
      <c r="N61" s="37">
        <v>0.0</v>
      </c>
      <c r="O61" s="33">
        <v>0.0</v>
      </c>
      <c r="P61" s="33">
        <v>0.0</v>
      </c>
      <c r="Q61" s="33">
        <v>0.0</v>
      </c>
      <c r="R61" s="33">
        <v>0.0</v>
      </c>
      <c r="S61" s="36"/>
      <c r="T61" s="33">
        <v>0.0</v>
      </c>
      <c r="U61" s="33">
        <v>0.0</v>
      </c>
      <c r="V61" s="33">
        <v>0.0</v>
      </c>
      <c r="W61" s="36"/>
      <c r="X61" s="36"/>
      <c r="Y61" s="36"/>
      <c r="Z61" s="45"/>
      <c r="AA61" s="45"/>
      <c r="AB61" s="45"/>
      <c r="AC61" s="45"/>
      <c r="AD61" s="45"/>
      <c r="AE61" s="45"/>
      <c r="AF61" s="45"/>
    </row>
    <row r="62">
      <c r="A62" s="32">
        <v>1.0</v>
      </c>
      <c r="B62" s="32" t="s">
        <v>177</v>
      </c>
      <c r="C62" s="33">
        <v>320.0</v>
      </c>
      <c r="D62" s="33">
        <v>3.0</v>
      </c>
      <c r="E62" s="34">
        <v>43528.0</v>
      </c>
      <c r="F62" s="35" t="str">
        <f>HYPERLINK("https://celebrity.okezone.com/read/2019/04/03/33/2038760/setelah-dada-diremas-cupi-cupita-alami-insiden-baju-melorot-di-atas-panggung ","sumber")</f>
        <v>sumber</v>
      </c>
      <c r="G62" s="33" t="s">
        <v>33</v>
      </c>
      <c r="H62" s="36"/>
      <c r="I62" s="33">
        <v>1.0</v>
      </c>
      <c r="J62" s="33">
        <v>1.0</v>
      </c>
      <c r="K62" s="33" t="s">
        <v>178</v>
      </c>
      <c r="L62" s="33">
        <v>0.0</v>
      </c>
      <c r="M62" s="33">
        <v>0.0</v>
      </c>
      <c r="N62" s="37">
        <v>0.0</v>
      </c>
      <c r="O62" s="33">
        <v>0.0</v>
      </c>
      <c r="P62" s="33">
        <v>0.0</v>
      </c>
      <c r="Q62" s="33" t="s">
        <v>119</v>
      </c>
      <c r="R62" s="33" t="s">
        <v>62</v>
      </c>
      <c r="S62" s="36"/>
      <c r="T62" s="33">
        <v>0.0</v>
      </c>
      <c r="U62" s="33">
        <v>0.0</v>
      </c>
      <c r="V62" s="33">
        <v>0.0</v>
      </c>
      <c r="W62" s="36"/>
      <c r="X62" s="36"/>
      <c r="Y62" s="36"/>
      <c r="Z62" s="45"/>
      <c r="AA62" s="45"/>
      <c r="AB62" s="45"/>
      <c r="AC62" s="45"/>
      <c r="AD62" s="45"/>
      <c r="AE62" s="45"/>
      <c r="AF62" s="45"/>
    </row>
    <row r="63">
      <c r="A63" s="24">
        <v>1.0</v>
      </c>
      <c r="B63" s="24" t="s">
        <v>179</v>
      </c>
      <c r="C63" s="25">
        <v>321.0</v>
      </c>
      <c r="D63" s="25">
        <v>9.0</v>
      </c>
      <c r="E63" s="26">
        <v>43559.0</v>
      </c>
      <c r="F63" s="27" t="str">
        <f>HYPERLINK(" https://internasional.republika.co.id/berita/internasional/eropa/ppfewk382/amnesty-temukan-angka-pemerkosaan-tinggi-di-negara-nordik ","sumber")</f>
        <v>sumber</v>
      </c>
      <c r="G63" s="25" t="s">
        <v>33</v>
      </c>
      <c r="H63" s="25">
        <v>339.0</v>
      </c>
      <c r="I63" s="25">
        <v>1.0</v>
      </c>
      <c r="J63" s="25">
        <v>1.0</v>
      </c>
      <c r="K63" s="25" t="s">
        <v>180</v>
      </c>
      <c r="L63" s="25">
        <v>0.0</v>
      </c>
      <c r="M63" s="25">
        <v>1.0</v>
      </c>
      <c r="N63" s="38">
        <v>0.0</v>
      </c>
      <c r="O63" s="25">
        <v>0.0</v>
      </c>
      <c r="P63" s="25">
        <v>0.0</v>
      </c>
      <c r="Q63" s="25">
        <v>0.0</v>
      </c>
      <c r="R63" s="25">
        <v>1.0</v>
      </c>
      <c r="S63" s="29"/>
      <c r="T63" s="25">
        <v>0.0</v>
      </c>
      <c r="U63" s="25">
        <v>0.0</v>
      </c>
      <c r="V63" s="25">
        <v>1.0</v>
      </c>
      <c r="W63" s="29"/>
      <c r="X63" s="29"/>
      <c r="Y63" s="29"/>
      <c r="Z63" s="46"/>
      <c r="AA63" s="46"/>
      <c r="AB63" s="46"/>
      <c r="AC63" s="46"/>
      <c r="AD63" s="46"/>
      <c r="AE63" s="46"/>
      <c r="AF63" s="46"/>
    </row>
    <row r="64">
      <c r="A64" s="32">
        <v>1.0</v>
      </c>
      <c r="B64" s="32" t="s">
        <v>181</v>
      </c>
      <c r="C64" s="33">
        <v>322.0</v>
      </c>
      <c r="D64" s="33">
        <v>5.0</v>
      </c>
      <c r="E64" s="34">
        <v>43681.0</v>
      </c>
      <c r="F64" s="35" t="str">
        <f>HYPERLINK("https://tirto.id/uninstallfeminism-benarkah-indonesia-tak-butuh-feminisme-dlfE ","sumber")</f>
        <v>sumber</v>
      </c>
      <c r="G64" s="33" t="s">
        <v>33</v>
      </c>
      <c r="H64" s="36"/>
      <c r="I64" s="33">
        <v>1.0</v>
      </c>
      <c r="J64" s="33">
        <v>1.0</v>
      </c>
      <c r="K64" s="33" t="s">
        <v>182</v>
      </c>
      <c r="L64" s="33">
        <v>0.0</v>
      </c>
      <c r="M64" s="33">
        <v>1.0</v>
      </c>
      <c r="N64" s="37">
        <v>0.0</v>
      </c>
      <c r="O64" s="33">
        <v>0.0</v>
      </c>
      <c r="P64" s="33">
        <v>0.0</v>
      </c>
      <c r="Q64" s="33" t="s">
        <v>144</v>
      </c>
      <c r="R64" s="33" t="s">
        <v>183</v>
      </c>
      <c r="S64" s="36"/>
      <c r="T64" s="33">
        <v>0.0</v>
      </c>
      <c r="U64" s="33">
        <v>0.0</v>
      </c>
      <c r="V64" s="33">
        <v>1.0</v>
      </c>
      <c r="W64" s="36"/>
      <c r="X64" s="36"/>
      <c r="Y64" s="36"/>
      <c r="Z64" s="45"/>
      <c r="AA64" s="45"/>
      <c r="AB64" s="45"/>
      <c r="AC64" s="45"/>
      <c r="AD64" s="45"/>
      <c r="AE64" s="45"/>
      <c r="AF64" s="45"/>
    </row>
    <row r="65">
      <c r="A65" s="24">
        <v>1.0</v>
      </c>
      <c r="B65" s="24" t="s">
        <v>184</v>
      </c>
      <c r="C65" s="25">
        <v>323.0</v>
      </c>
      <c r="D65" s="25">
        <v>3.0</v>
      </c>
      <c r="E65" s="26">
        <v>43803.0</v>
      </c>
      <c r="F65" s="27" t="str">
        <f>HYPERLINK(" https://news.okezone.com/read/2019/04/12/340/2042834/polisi-limpahkan-2-berkas-tersangka-kasus-audrey ","sumber")</f>
        <v>sumber</v>
      </c>
      <c r="G65" s="25" t="s">
        <v>33</v>
      </c>
      <c r="H65" s="25">
        <v>360.0</v>
      </c>
      <c r="I65" s="25">
        <v>1.0</v>
      </c>
      <c r="J65" s="25">
        <v>1.0</v>
      </c>
      <c r="K65" s="25" t="s">
        <v>185</v>
      </c>
      <c r="L65" s="25">
        <v>0.0</v>
      </c>
      <c r="M65" s="25">
        <v>0.0</v>
      </c>
      <c r="N65" s="38">
        <v>0.0</v>
      </c>
      <c r="O65" s="25">
        <v>0.0</v>
      </c>
      <c r="P65" s="25">
        <v>0.0</v>
      </c>
      <c r="Q65" s="25">
        <v>0.0</v>
      </c>
      <c r="R65" s="25">
        <v>0.0</v>
      </c>
      <c r="S65" s="29"/>
      <c r="T65" s="25">
        <v>0.0</v>
      </c>
      <c r="U65" s="25">
        <v>0.0</v>
      </c>
      <c r="V65" s="25">
        <v>0.0</v>
      </c>
      <c r="W65" s="29"/>
      <c r="X65" s="29"/>
      <c r="Y65" s="29"/>
      <c r="Z65" s="46"/>
      <c r="AA65" s="46"/>
      <c r="AB65" s="46"/>
      <c r="AC65" s="46"/>
      <c r="AD65" s="46"/>
      <c r="AE65" s="46"/>
      <c r="AF65" s="46"/>
    </row>
    <row r="66">
      <c r="A66" s="24">
        <v>1.0</v>
      </c>
      <c r="B66" s="24" t="s">
        <v>186</v>
      </c>
      <c r="C66" s="25">
        <v>324.0</v>
      </c>
      <c r="D66" s="25">
        <v>3.0</v>
      </c>
      <c r="E66" s="26">
        <v>43469.0</v>
      </c>
      <c r="F66" s="27" t="str">
        <f>HYPERLINK(" https://celebrity.okezone.com/read/2019/04/01/33/2037790/setelah-perkara-suap-choi-jong-hoon-dijerat-kasus-video-porno ","sumber")</f>
        <v>sumber</v>
      </c>
      <c r="G66" s="25" t="s">
        <v>33</v>
      </c>
      <c r="H66" s="25">
        <v>294.0</v>
      </c>
      <c r="I66" s="25">
        <v>1.0</v>
      </c>
      <c r="J66" s="25">
        <v>1.0</v>
      </c>
      <c r="K66" s="25" t="s">
        <v>187</v>
      </c>
      <c r="L66" s="25">
        <v>0.0</v>
      </c>
      <c r="M66" s="25">
        <v>0.0</v>
      </c>
      <c r="N66" s="38">
        <v>0.0</v>
      </c>
      <c r="O66" s="25">
        <v>0.0</v>
      </c>
      <c r="P66" s="25">
        <v>0.0</v>
      </c>
      <c r="Q66" s="25">
        <v>0.0</v>
      </c>
      <c r="R66" s="25">
        <v>0.0</v>
      </c>
      <c r="S66" s="29"/>
      <c r="T66" s="25">
        <v>0.0</v>
      </c>
      <c r="U66" s="25">
        <v>0.0</v>
      </c>
      <c r="V66" s="25">
        <v>0.0</v>
      </c>
      <c r="W66" s="29"/>
      <c r="X66" s="29"/>
      <c r="Y66" s="29"/>
      <c r="Z66" s="46"/>
      <c r="AA66" s="46"/>
      <c r="AB66" s="46"/>
      <c r="AC66" s="46"/>
      <c r="AD66" s="46"/>
      <c r="AE66" s="46"/>
      <c r="AF66" s="46"/>
    </row>
    <row r="67">
      <c r="A67" s="32">
        <v>1.0</v>
      </c>
      <c r="B67" s="32" t="s">
        <v>188</v>
      </c>
      <c r="C67" s="33">
        <v>325.0</v>
      </c>
      <c r="D67" s="33">
        <v>2.0</v>
      </c>
      <c r="E67" s="33" t="s">
        <v>189</v>
      </c>
      <c r="F67" s="35" t="str">
        <f>HYPERLINK("https://www.cnnindonesia.com/hiburan/20190422111612-227-388408/jadi-wanita-persembahan-nonaria-untuk-wanita ","sumber")</f>
        <v>sumber</v>
      </c>
      <c r="G67" s="33" t="s">
        <v>33</v>
      </c>
      <c r="H67" s="36"/>
      <c r="I67" s="33">
        <v>3.0</v>
      </c>
      <c r="J67" s="33">
        <v>1.0</v>
      </c>
      <c r="K67" s="33" t="s">
        <v>190</v>
      </c>
      <c r="L67" s="33">
        <v>0.0</v>
      </c>
      <c r="M67" s="33">
        <v>0.0</v>
      </c>
      <c r="N67" s="37">
        <v>0.0</v>
      </c>
      <c r="O67" s="33">
        <v>0.0</v>
      </c>
      <c r="P67" s="33">
        <v>0.0</v>
      </c>
      <c r="Q67" s="33" t="s">
        <v>191</v>
      </c>
      <c r="R67" s="33" t="s">
        <v>192</v>
      </c>
      <c r="S67" s="36"/>
      <c r="T67" s="33">
        <v>0.0</v>
      </c>
      <c r="U67" s="33">
        <v>0.0</v>
      </c>
      <c r="V67" s="33">
        <v>0.0</v>
      </c>
      <c r="W67" s="36"/>
      <c r="X67" s="36"/>
      <c r="Y67" s="36"/>
      <c r="Z67" s="45"/>
      <c r="AA67" s="45"/>
      <c r="AB67" s="45"/>
      <c r="AC67" s="45"/>
      <c r="AD67" s="45"/>
      <c r="AE67" s="45"/>
      <c r="AF67" s="45"/>
    </row>
    <row r="68">
      <c r="A68" s="32">
        <v>1.0</v>
      </c>
      <c r="B68" s="32" t="s">
        <v>193</v>
      </c>
      <c r="C68" s="33">
        <v>326.0</v>
      </c>
      <c r="D68" s="33">
        <v>9.0</v>
      </c>
      <c r="E68" s="33" t="s">
        <v>194</v>
      </c>
      <c r="F68" s="35" t="str">
        <f>HYPERLINK("https://nasional.republika.co.id/berita/nasional/umum/pqe1eb414/kenalan-dengan-pria-di-medsos-puluhan-perempuan-jadi-korban ","sumber")</f>
        <v>sumber</v>
      </c>
      <c r="G68" s="33" t="s">
        <v>33</v>
      </c>
      <c r="H68" s="36"/>
      <c r="I68" s="33">
        <v>1.0</v>
      </c>
      <c r="J68" s="33">
        <v>1.0</v>
      </c>
      <c r="K68" s="33" t="s">
        <v>195</v>
      </c>
      <c r="L68" s="33">
        <v>0.0</v>
      </c>
      <c r="M68" s="33">
        <v>0.0</v>
      </c>
      <c r="N68" s="37">
        <v>0.0</v>
      </c>
      <c r="O68" s="33">
        <v>0.0</v>
      </c>
      <c r="P68" s="33">
        <v>0.0</v>
      </c>
      <c r="Q68" s="33">
        <v>1.0</v>
      </c>
      <c r="R68" s="33">
        <v>1.0</v>
      </c>
      <c r="S68" s="36"/>
      <c r="T68" s="33">
        <v>0.0</v>
      </c>
      <c r="U68" s="33">
        <v>0.0</v>
      </c>
      <c r="V68" s="33">
        <v>0.0</v>
      </c>
      <c r="W68" s="36"/>
      <c r="X68" s="36"/>
      <c r="Y68" s="36"/>
      <c r="Z68" s="45"/>
      <c r="AA68" s="45"/>
      <c r="AB68" s="45"/>
      <c r="AC68" s="45"/>
      <c r="AD68" s="45"/>
      <c r="AE68" s="45"/>
      <c r="AF68" s="45"/>
    </row>
    <row r="69">
      <c r="A69" s="32">
        <v>1.0</v>
      </c>
      <c r="B69" s="32" t="s">
        <v>196</v>
      </c>
      <c r="C69" s="33">
        <v>327.0</v>
      </c>
      <c r="D69" s="33">
        <v>1.0</v>
      </c>
      <c r="E69" s="33" t="s">
        <v>197</v>
      </c>
      <c r="F69" s="35" t="str">
        <f>HYPERLINK("https://news.detik.com/berita/d-4523100/vanessa-angel-didakwa-sebar-konten-asusila-terkait-prostitusi ","sumber")</f>
        <v>sumber</v>
      </c>
      <c r="G69" s="33" t="s">
        <v>33</v>
      </c>
      <c r="H69" s="36"/>
      <c r="I69" s="33">
        <v>1.0</v>
      </c>
      <c r="J69" s="33">
        <v>1.0</v>
      </c>
      <c r="K69" s="33" t="s">
        <v>198</v>
      </c>
      <c r="L69" s="33">
        <v>0.0</v>
      </c>
      <c r="M69" s="33">
        <v>-1.0</v>
      </c>
      <c r="N69" s="37">
        <v>0.0</v>
      </c>
      <c r="O69" s="33">
        <v>0.0</v>
      </c>
      <c r="P69" s="33">
        <v>0.0</v>
      </c>
      <c r="Q69" s="33">
        <v>0.0</v>
      </c>
      <c r="R69" s="33">
        <v>0.0</v>
      </c>
      <c r="S69" s="36"/>
      <c r="T69" s="33">
        <v>0.0</v>
      </c>
      <c r="U69" s="33">
        <v>0.0</v>
      </c>
      <c r="V69" s="33">
        <v>0.0</v>
      </c>
      <c r="W69" s="36"/>
      <c r="X69" s="36"/>
      <c r="Y69" s="36"/>
      <c r="Z69" s="45"/>
      <c r="AA69" s="45"/>
      <c r="AB69" s="45"/>
      <c r="AC69" s="45"/>
      <c r="AD69" s="45"/>
      <c r="AE69" s="45"/>
      <c r="AF69" s="45"/>
    </row>
    <row r="70">
      <c r="A70" s="39">
        <v>2.0</v>
      </c>
      <c r="B70" s="39" t="s">
        <v>199</v>
      </c>
      <c r="C70" s="40">
        <v>328.0</v>
      </c>
      <c r="D70" s="40">
        <v>7.0</v>
      </c>
      <c r="E70" s="41"/>
      <c r="F70" s="42" t="str">
        <f>HYPERLINK("http://www.tribunnews.com/australia-plus/2019/04/24/surati-parlemen-eropa-brunei-bela-hukuman-mati-terhadap-pasangan-gay ","sumber")</f>
        <v>sumber</v>
      </c>
      <c r="G70" s="40" t="s">
        <v>33</v>
      </c>
      <c r="H70" s="41"/>
      <c r="I70" s="41"/>
      <c r="J70" s="40">
        <v>1.0</v>
      </c>
      <c r="K70" s="41"/>
      <c r="L70" s="41"/>
      <c r="M70" s="41"/>
      <c r="N70" s="41"/>
      <c r="O70" s="41"/>
      <c r="P70" s="41"/>
      <c r="Q70" s="41"/>
      <c r="R70" s="41"/>
      <c r="S70" s="41"/>
      <c r="T70" s="41"/>
      <c r="U70" s="41"/>
      <c r="V70" s="41"/>
      <c r="W70" s="41"/>
      <c r="X70" s="41"/>
      <c r="Y70" s="41"/>
      <c r="Z70" s="47"/>
      <c r="AA70" s="43"/>
      <c r="AB70" s="48"/>
      <c r="AC70" s="48"/>
      <c r="AD70" s="48"/>
      <c r="AE70" s="48"/>
      <c r="AF70" s="48"/>
    </row>
    <row r="71">
      <c r="A71" s="24">
        <v>1.0</v>
      </c>
      <c r="B71" s="24" t="s">
        <v>200</v>
      </c>
      <c r="C71" s="25">
        <v>329.0</v>
      </c>
      <c r="D71" s="25">
        <v>5.0</v>
      </c>
      <c r="E71" s="26">
        <v>43773.0</v>
      </c>
      <c r="F71" s="27" t="str">
        <f>HYPERLINK(" https://tirto.id/sikap-masa-bodoh-anggota-dpr-atas-ruu-prioritas-dlRB ","sumber")</f>
        <v>sumber</v>
      </c>
      <c r="G71" s="25" t="s">
        <v>33</v>
      </c>
      <c r="H71" s="25">
        <v>1125.0</v>
      </c>
      <c r="I71" s="25">
        <v>4.0</v>
      </c>
      <c r="J71" s="25">
        <v>1.0</v>
      </c>
      <c r="K71" s="25" t="s">
        <v>201</v>
      </c>
      <c r="L71" s="25">
        <v>0.0</v>
      </c>
      <c r="M71" s="25">
        <v>0.0</v>
      </c>
      <c r="N71" s="38">
        <v>0.0</v>
      </c>
      <c r="O71" s="25">
        <v>0.0</v>
      </c>
      <c r="P71" s="25">
        <v>0.0</v>
      </c>
      <c r="Q71" s="25" t="s">
        <v>202</v>
      </c>
      <c r="R71" s="25" t="s">
        <v>203</v>
      </c>
      <c r="S71" s="29"/>
      <c r="T71" s="25">
        <v>0.0</v>
      </c>
      <c r="U71" s="25">
        <v>0.0</v>
      </c>
      <c r="V71" s="25">
        <v>1.0</v>
      </c>
      <c r="W71" s="29"/>
      <c r="X71" s="29"/>
      <c r="Y71" s="29"/>
      <c r="Z71" s="46"/>
      <c r="AA71" s="46"/>
      <c r="AB71" s="46"/>
      <c r="AC71" s="46"/>
      <c r="AD71" s="46"/>
      <c r="AE71" s="46"/>
      <c r="AF71" s="46"/>
    </row>
    <row r="72">
      <c r="A72" s="32">
        <v>1.0</v>
      </c>
      <c r="B72" s="32" t="s">
        <v>204</v>
      </c>
      <c r="C72" s="33">
        <v>330.0</v>
      </c>
      <c r="D72" s="33">
        <v>8.0</v>
      </c>
      <c r="E72" s="33" t="s">
        <v>205</v>
      </c>
      <c r="F72" s="35" t="str">
        <f>HYPERLINK("https://www.suara.com/tekno/2019/04/26/131500/google-ubah-cara-karyawan-melaporkan-pelecehan-dan-diskriminasi ","sumber")</f>
        <v>sumber</v>
      </c>
      <c r="G72" s="33" t="s">
        <v>33</v>
      </c>
      <c r="H72" s="36"/>
      <c r="I72" s="33">
        <v>4.0</v>
      </c>
      <c r="J72" s="33">
        <v>1.0</v>
      </c>
      <c r="K72" s="33" t="s">
        <v>206</v>
      </c>
      <c r="L72" s="33">
        <v>0.0</v>
      </c>
      <c r="M72" s="33">
        <v>0.0</v>
      </c>
      <c r="N72" s="37">
        <v>0.0</v>
      </c>
      <c r="O72" s="33">
        <v>0.0</v>
      </c>
      <c r="P72" s="33">
        <v>0.0</v>
      </c>
      <c r="Q72" s="33" t="s">
        <v>61</v>
      </c>
      <c r="R72" s="33" t="s">
        <v>61</v>
      </c>
      <c r="S72" s="36"/>
      <c r="T72" s="33">
        <v>0.0</v>
      </c>
      <c r="U72" s="33">
        <v>0.0</v>
      </c>
      <c r="V72" s="33">
        <v>1.0</v>
      </c>
      <c r="W72" s="36"/>
      <c r="X72" s="36"/>
      <c r="Y72" s="36"/>
      <c r="Z72" s="45"/>
      <c r="AA72" s="45"/>
      <c r="AB72" s="45"/>
      <c r="AC72" s="45"/>
      <c r="AD72" s="45"/>
      <c r="AE72" s="45"/>
      <c r="AF72" s="45"/>
    </row>
    <row r="73">
      <c r="A73" s="39">
        <v>2.0</v>
      </c>
      <c r="B73" s="39" t="s">
        <v>207</v>
      </c>
      <c r="C73" s="40">
        <v>331.0</v>
      </c>
      <c r="D73" s="40">
        <v>4.0</v>
      </c>
      <c r="E73" s="41"/>
      <c r="F73" s="42" t="str">
        <f>HYPERLINK("https://www.liputan6.com/bola/read/3954440/persija-sudah-bidik-tiga-calon-pengganti-marko-simic ","sumber")</f>
        <v>sumber</v>
      </c>
      <c r="G73" s="40" t="s">
        <v>33</v>
      </c>
      <c r="H73" s="41"/>
      <c r="I73" s="41"/>
      <c r="J73" s="40">
        <v>1.0</v>
      </c>
      <c r="K73" s="41"/>
      <c r="L73" s="41"/>
      <c r="M73" s="41"/>
      <c r="N73" s="41"/>
      <c r="O73" s="41"/>
      <c r="P73" s="41"/>
      <c r="Q73" s="41"/>
      <c r="R73" s="41"/>
      <c r="S73" s="41"/>
      <c r="T73" s="41"/>
      <c r="U73" s="41"/>
      <c r="V73" s="41"/>
      <c r="W73" s="41"/>
      <c r="X73" s="41"/>
      <c r="Y73" s="41"/>
      <c r="Z73" s="47"/>
      <c r="AA73" s="43"/>
      <c r="AB73" s="48"/>
      <c r="AC73" s="48"/>
      <c r="AD73" s="48"/>
      <c r="AE73" s="48"/>
      <c r="AF73" s="48"/>
    </row>
    <row r="74">
      <c r="A74" s="24">
        <v>1.0</v>
      </c>
      <c r="B74" s="24" t="s">
        <v>208</v>
      </c>
      <c r="C74" s="25">
        <v>332.0</v>
      </c>
      <c r="D74" s="25">
        <v>8.0</v>
      </c>
      <c r="E74" s="26">
        <v>43682.0</v>
      </c>
      <c r="F74" s="27" t="str">
        <f>HYPERLINK("https://www.suara.com/lifestyle/2019/05/08/153500/merasa-dilecehkan-perempuan-berbaju-seksi-keroyok-emak-emak-di-mall ","sumber")</f>
        <v>sumber</v>
      </c>
      <c r="G74" s="25" t="s">
        <v>33</v>
      </c>
      <c r="H74" s="25">
        <v>334.0</v>
      </c>
      <c r="I74" s="25">
        <v>1.0</v>
      </c>
      <c r="J74" s="25">
        <v>1.0</v>
      </c>
      <c r="K74" s="25" t="s">
        <v>209</v>
      </c>
      <c r="L74" s="25">
        <v>0.0</v>
      </c>
      <c r="M74" s="25">
        <v>0.0</v>
      </c>
      <c r="N74" s="38">
        <v>0.0</v>
      </c>
      <c r="O74" s="25">
        <v>0.0</v>
      </c>
      <c r="P74" s="25">
        <v>0.0</v>
      </c>
      <c r="Q74" s="25" t="s">
        <v>210</v>
      </c>
      <c r="R74" s="25" t="s">
        <v>192</v>
      </c>
      <c r="S74" s="29"/>
      <c r="T74" s="25">
        <v>0.0</v>
      </c>
      <c r="U74" s="25">
        <v>-1.0</v>
      </c>
      <c r="V74" s="25">
        <v>0.0</v>
      </c>
      <c r="W74" s="29"/>
      <c r="X74" s="29"/>
      <c r="Y74" s="29"/>
      <c r="Z74" s="46"/>
      <c r="AA74" s="46"/>
      <c r="AB74" s="46"/>
      <c r="AC74" s="46"/>
      <c r="AD74" s="46"/>
      <c r="AE74" s="46"/>
      <c r="AF74" s="46"/>
    </row>
    <row r="75">
      <c r="A75" s="24">
        <v>1.0</v>
      </c>
      <c r="B75" s="24" t="s">
        <v>211</v>
      </c>
      <c r="C75" s="25">
        <v>333.0</v>
      </c>
      <c r="D75" s="25">
        <v>3.0</v>
      </c>
      <c r="E75" s="25" t="s">
        <v>212</v>
      </c>
      <c r="F75" s="27" t="str">
        <f>HYPERLINK(" https://internasional.kompas.com/read/2019/05/31/21010911/cegah-kekerasan-seksual-bangladesh-minta-madrasah-tunjuk-mentor ","sumber")</f>
        <v>sumber</v>
      </c>
      <c r="G75" s="25" t="s">
        <v>33</v>
      </c>
      <c r="H75" s="25">
        <v>272.0</v>
      </c>
      <c r="I75" s="25">
        <v>4.0</v>
      </c>
      <c r="J75" s="25">
        <v>1.0</v>
      </c>
      <c r="K75" s="25" t="s">
        <v>213</v>
      </c>
      <c r="L75" s="25">
        <v>0.0</v>
      </c>
      <c r="M75" s="25">
        <v>0.0</v>
      </c>
      <c r="N75" s="38">
        <v>0.0</v>
      </c>
      <c r="O75" s="25">
        <v>0.0</v>
      </c>
      <c r="P75" s="25">
        <v>0.0</v>
      </c>
      <c r="Q75" s="25" t="s">
        <v>214</v>
      </c>
      <c r="R75" s="25" t="s">
        <v>192</v>
      </c>
      <c r="S75" s="29"/>
      <c r="T75" s="25">
        <v>0.0</v>
      </c>
      <c r="U75" s="25">
        <v>0.0</v>
      </c>
      <c r="V75" s="25">
        <v>1.0</v>
      </c>
      <c r="W75" s="29"/>
      <c r="X75" s="29"/>
      <c r="Y75" s="29"/>
      <c r="Z75" s="46"/>
      <c r="AA75" s="46"/>
      <c r="AB75" s="46"/>
      <c r="AC75" s="46"/>
      <c r="AD75" s="46"/>
      <c r="AE75" s="46"/>
      <c r="AF75" s="46"/>
    </row>
    <row r="76">
      <c r="A76" s="24">
        <v>1.0</v>
      </c>
      <c r="B76" s="24" t="s">
        <v>215</v>
      </c>
      <c r="C76" s="25">
        <v>334.0</v>
      </c>
      <c r="D76" s="25">
        <v>3.0</v>
      </c>
      <c r="E76" s="26">
        <v>43560.0</v>
      </c>
      <c r="F76" s="27" t="str">
        <f>HYPERLINK("https://regional.kompas.com/read/2019/05/04/15230851/6-fakta-oknum-desertir-tni-culik-dan-perkosa-7-anak-ditangkap-di-kolong ","sumber")</f>
        <v>sumber</v>
      </c>
      <c r="G76" s="25" t="s">
        <v>33</v>
      </c>
      <c r="H76" s="25">
        <v>328.0</v>
      </c>
      <c r="I76" s="25">
        <v>1.0</v>
      </c>
      <c r="J76" s="25">
        <v>1.0</v>
      </c>
      <c r="K76" s="25" t="s">
        <v>216</v>
      </c>
      <c r="L76" s="25">
        <v>0.0</v>
      </c>
      <c r="M76" s="25">
        <v>1.0</v>
      </c>
      <c r="N76" s="38">
        <v>0.0</v>
      </c>
      <c r="O76" s="25">
        <v>0.0</v>
      </c>
      <c r="P76" s="25">
        <v>0.0</v>
      </c>
      <c r="Q76" s="25" t="s">
        <v>217</v>
      </c>
      <c r="R76" s="25" t="s">
        <v>217</v>
      </c>
      <c r="S76" s="29"/>
      <c r="T76" s="25">
        <v>0.0</v>
      </c>
      <c r="U76" s="25">
        <v>0.0</v>
      </c>
      <c r="V76" s="25">
        <v>0.0</v>
      </c>
      <c r="W76" s="29"/>
      <c r="X76" s="29"/>
      <c r="Y76" s="29"/>
      <c r="Z76" s="46"/>
      <c r="AA76" s="46"/>
      <c r="AB76" s="46"/>
      <c r="AC76" s="46"/>
      <c r="AD76" s="46"/>
      <c r="AE76" s="46"/>
      <c r="AF76" s="46"/>
    </row>
    <row r="77">
      <c r="A77" s="39">
        <v>2.0</v>
      </c>
      <c r="B77" s="39" t="s">
        <v>218</v>
      </c>
      <c r="C77" s="40">
        <v>335.0</v>
      </c>
      <c r="D77" s="40">
        <v>4.0</v>
      </c>
      <c r="E77" s="41"/>
      <c r="F77" s="42" t="str">
        <f>HYPERLINK("https://www.liputan6.com/citizen6/read/3957442/tubuh-bayi-ini-dipenuhi-bekas-gigitan-usai-dititipkan-di-tempat-penitipan-anak ","sumber")</f>
        <v>sumber</v>
      </c>
      <c r="G77" s="40" t="s">
        <v>33</v>
      </c>
      <c r="H77" s="41"/>
      <c r="I77" s="41"/>
      <c r="J77" s="40">
        <v>1.0</v>
      </c>
      <c r="K77" s="41"/>
      <c r="L77" s="41"/>
      <c r="M77" s="41"/>
      <c r="N77" s="41"/>
      <c r="O77" s="41"/>
      <c r="P77" s="41"/>
      <c r="Q77" s="41"/>
      <c r="R77" s="41"/>
      <c r="S77" s="41"/>
      <c r="T77" s="41"/>
      <c r="U77" s="41"/>
      <c r="V77" s="41"/>
      <c r="W77" s="41"/>
      <c r="X77" s="41"/>
      <c r="Y77" s="41"/>
      <c r="Z77" s="47"/>
      <c r="AA77" s="43"/>
      <c r="AB77" s="48"/>
      <c r="AC77" s="48"/>
      <c r="AD77" s="48"/>
      <c r="AE77" s="48"/>
      <c r="AF77" s="48"/>
    </row>
    <row r="78">
      <c r="A78" s="32">
        <v>1.0</v>
      </c>
      <c r="B78" s="32" t="s">
        <v>219</v>
      </c>
      <c r="C78" s="33">
        <v>336.0</v>
      </c>
      <c r="D78" s="33">
        <v>10.0</v>
      </c>
      <c r="E78" s="34">
        <v>43590.0</v>
      </c>
      <c r="F78" s="35" t="str">
        <f>HYPERLINK("https://nasional.tempo.co/read/1202239/pemerintah-diminta-tidak-terburu-buru-mengesahkan-rkuhp ","sumber")</f>
        <v>sumber</v>
      </c>
      <c r="G78" s="33" t="s">
        <v>33</v>
      </c>
      <c r="H78" s="36"/>
      <c r="I78" s="33">
        <v>4.0</v>
      </c>
      <c r="J78" s="33">
        <v>1.0</v>
      </c>
      <c r="K78" s="33" t="s">
        <v>220</v>
      </c>
      <c r="L78" s="33">
        <v>0.0</v>
      </c>
      <c r="M78" s="33">
        <v>0.0</v>
      </c>
      <c r="N78" s="37">
        <v>0.0</v>
      </c>
      <c r="O78" s="33">
        <v>0.0</v>
      </c>
      <c r="P78" s="33">
        <v>0.0</v>
      </c>
      <c r="Q78" s="33" t="s">
        <v>61</v>
      </c>
      <c r="R78" s="33" t="s">
        <v>61</v>
      </c>
      <c r="S78" s="36"/>
      <c r="T78" s="33">
        <v>0.0</v>
      </c>
      <c r="U78" s="33">
        <v>0.0</v>
      </c>
      <c r="V78" s="33">
        <v>1.0</v>
      </c>
      <c r="W78" s="36"/>
      <c r="X78" s="36"/>
      <c r="Y78" s="36"/>
      <c r="Z78" s="45"/>
      <c r="AA78" s="45"/>
      <c r="AB78" s="45"/>
      <c r="AC78" s="45"/>
      <c r="AD78" s="45"/>
      <c r="AE78" s="45"/>
      <c r="AF78" s="45"/>
    </row>
    <row r="79">
      <c r="A79" s="32">
        <v>1.0</v>
      </c>
      <c r="B79" s="32" t="s">
        <v>221</v>
      </c>
      <c r="C79" s="33">
        <v>337.0</v>
      </c>
      <c r="D79" s="33">
        <v>8.0</v>
      </c>
      <c r="E79" s="34">
        <v>43621.0</v>
      </c>
      <c r="F79" s="35" t="str">
        <f>HYPERLINK("https://www.suara.com/entertainment/2019/05/06/145222/kasihan-vanessa-angel-batal-dijenguk-ayah-di-rutan-medaeng ","sumber")</f>
        <v>sumber</v>
      </c>
      <c r="G79" s="33" t="s">
        <v>33</v>
      </c>
      <c r="H79" s="36"/>
      <c r="I79" s="33">
        <v>1.0</v>
      </c>
      <c r="J79" s="33">
        <v>1.0</v>
      </c>
      <c r="K79" s="33" t="s">
        <v>222</v>
      </c>
      <c r="L79" s="33">
        <v>0.0</v>
      </c>
      <c r="M79" s="33">
        <v>0.0</v>
      </c>
      <c r="N79" s="37">
        <v>0.0</v>
      </c>
      <c r="O79" s="33">
        <v>0.0</v>
      </c>
      <c r="P79" s="33">
        <v>0.0</v>
      </c>
      <c r="Q79" s="33">
        <v>0.0</v>
      </c>
      <c r="R79" s="33">
        <v>0.0</v>
      </c>
      <c r="S79" s="36"/>
      <c r="T79" s="33">
        <v>0.0</v>
      </c>
      <c r="U79" s="33">
        <v>0.0</v>
      </c>
      <c r="V79" s="33">
        <v>0.0</v>
      </c>
      <c r="W79" s="36"/>
      <c r="X79" s="36"/>
      <c r="Y79" s="36"/>
      <c r="Z79" s="45"/>
      <c r="AA79" s="45"/>
      <c r="AB79" s="45"/>
      <c r="AC79" s="45"/>
      <c r="AD79" s="45"/>
      <c r="AE79" s="45"/>
      <c r="AF79" s="45"/>
    </row>
    <row r="80">
      <c r="A80" s="32">
        <v>1.0</v>
      </c>
      <c r="B80" s="32" t="s">
        <v>223</v>
      </c>
      <c r="C80" s="33">
        <v>338.0</v>
      </c>
      <c r="D80" s="33">
        <v>7.0</v>
      </c>
      <c r="E80" s="34">
        <v>43621.0</v>
      </c>
      <c r="F80" s="35" t="str">
        <f>HYPERLINK("http://www.tribunnews.com/regional/2019/05/06/gadis-asal-pontianak-ditipu-dan-diperkosa-usai-ditawari-lowongan-pekerjaan-lewat-medsos ","sumber")</f>
        <v>sumber</v>
      </c>
      <c r="G80" s="33" t="s">
        <v>33</v>
      </c>
      <c r="H80" s="36"/>
      <c r="I80" s="33">
        <v>1.0</v>
      </c>
      <c r="J80" s="33">
        <v>1.0</v>
      </c>
      <c r="K80" s="33" t="s">
        <v>224</v>
      </c>
      <c r="L80" s="33">
        <v>0.0</v>
      </c>
      <c r="M80" s="33">
        <v>0.0</v>
      </c>
      <c r="N80" s="37">
        <v>0.0</v>
      </c>
      <c r="O80" s="33">
        <v>1.0</v>
      </c>
      <c r="P80" s="33">
        <v>-1.0</v>
      </c>
      <c r="Q80" s="33">
        <v>0.0</v>
      </c>
      <c r="R80" s="33">
        <v>0.0</v>
      </c>
      <c r="S80" s="36"/>
      <c r="T80" s="33">
        <v>0.0</v>
      </c>
      <c r="U80" s="33">
        <v>0.0</v>
      </c>
      <c r="V80" s="33">
        <v>0.0</v>
      </c>
      <c r="W80" s="36"/>
      <c r="X80" s="36"/>
      <c r="Y80" s="36"/>
      <c r="Z80" s="45"/>
      <c r="AA80" s="45"/>
      <c r="AB80" s="45"/>
      <c r="AC80" s="45"/>
      <c r="AD80" s="45"/>
      <c r="AE80" s="45"/>
      <c r="AF80" s="45"/>
    </row>
    <row r="81">
      <c r="A81" s="39">
        <v>2.0</v>
      </c>
      <c r="B81" s="39" t="s">
        <v>225</v>
      </c>
      <c r="C81" s="40">
        <v>339.0</v>
      </c>
      <c r="D81" s="40">
        <v>5.0</v>
      </c>
      <c r="E81" s="41"/>
      <c r="F81" s="42" t="str">
        <f>HYPERLINK("https://tirto.id/polda-maluku-serahkan-2-tersangka-peredaran-sopi-lewat-jalur-laut-drt1 ","sumber")</f>
        <v>sumber</v>
      </c>
      <c r="G81" s="40" t="s">
        <v>33</v>
      </c>
      <c r="H81" s="41"/>
      <c r="I81" s="41"/>
      <c r="J81" s="40">
        <v>1.0</v>
      </c>
      <c r="K81" s="41"/>
      <c r="L81" s="41"/>
      <c r="M81" s="41"/>
      <c r="N81" s="41"/>
      <c r="O81" s="41"/>
      <c r="P81" s="41"/>
      <c r="Q81" s="41"/>
      <c r="R81" s="41"/>
      <c r="S81" s="41"/>
      <c r="T81" s="41"/>
      <c r="U81" s="41"/>
      <c r="V81" s="41"/>
      <c r="W81" s="41"/>
      <c r="X81" s="41"/>
      <c r="Y81" s="41"/>
      <c r="Z81" s="47"/>
      <c r="AA81" s="43"/>
      <c r="AB81" s="48"/>
      <c r="AC81" s="48"/>
      <c r="AD81" s="48"/>
      <c r="AE81" s="48"/>
      <c r="AF81" s="48"/>
    </row>
    <row r="82">
      <c r="A82" s="32">
        <v>1.0</v>
      </c>
      <c r="B82" s="32" t="s">
        <v>226</v>
      </c>
      <c r="C82" s="33">
        <v>340.0</v>
      </c>
      <c r="D82" s="33">
        <v>6.0</v>
      </c>
      <c r="E82" s="34">
        <v>43713.0</v>
      </c>
      <c r="F82" s="35" t="str">
        <f>HYPERLINK("https://entertainment.kompas.com/read/2019/05/09/141648010/selain-kepada-investor-seungri-diduga-pakai-jasa-prostitusi-untuk ","sumber")</f>
        <v>sumber</v>
      </c>
      <c r="G82" s="33" t="s">
        <v>33</v>
      </c>
      <c r="H82" s="36"/>
      <c r="I82" s="33">
        <v>1.0</v>
      </c>
      <c r="J82" s="33">
        <v>1.0</v>
      </c>
      <c r="K82" s="33" t="s">
        <v>227</v>
      </c>
      <c r="L82" s="33">
        <v>0.0</v>
      </c>
      <c r="M82" s="33">
        <v>0.0</v>
      </c>
      <c r="N82" s="37">
        <v>0.0</v>
      </c>
      <c r="O82" s="33">
        <v>0.0</v>
      </c>
      <c r="P82" s="33">
        <v>0.0</v>
      </c>
      <c r="Q82" s="33" t="s">
        <v>61</v>
      </c>
      <c r="R82" s="33" t="s">
        <v>61</v>
      </c>
      <c r="S82" s="36"/>
      <c r="T82" s="33">
        <v>0.0</v>
      </c>
      <c r="U82" s="33">
        <v>0.0</v>
      </c>
      <c r="V82" s="33">
        <v>0.0</v>
      </c>
      <c r="W82" s="36"/>
      <c r="X82" s="36"/>
      <c r="Y82" s="36"/>
      <c r="Z82" s="45"/>
      <c r="AA82" s="45"/>
      <c r="AB82" s="45"/>
      <c r="AC82" s="45"/>
      <c r="AD82" s="45"/>
      <c r="AE82" s="45"/>
      <c r="AF82" s="45"/>
    </row>
    <row r="83">
      <c r="A83" s="32">
        <v>1.0</v>
      </c>
      <c r="B83" s="32" t="s">
        <v>228</v>
      </c>
      <c r="C83" s="33">
        <v>341.0</v>
      </c>
      <c r="D83" s="33">
        <v>7.0</v>
      </c>
      <c r="E83" s="34">
        <v>43713.0</v>
      </c>
      <c r="F83" s="35" t="str">
        <f>HYPERLINK("http://www.tribunnews.com/superskor/2019/05/09/marko-simic-sempat-bikin-manajer-persija-kecewa ","sumber")</f>
        <v>sumber</v>
      </c>
      <c r="G83" s="33" t="s">
        <v>33</v>
      </c>
      <c r="H83" s="36"/>
      <c r="I83" s="33">
        <v>1.0</v>
      </c>
      <c r="J83" s="33">
        <v>1.0</v>
      </c>
      <c r="K83" s="33" t="s">
        <v>229</v>
      </c>
      <c r="L83" s="33">
        <v>0.0</v>
      </c>
      <c r="M83" s="33">
        <v>0.0</v>
      </c>
      <c r="N83" s="37">
        <v>0.0</v>
      </c>
      <c r="O83" s="33">
        <v>0.0</v>
      </c>
      <c r="P83" s="33">
        <v>0.0</v>
      </c>
      <c r="Q83" s="33" t="s">
        <v>61</v>
      </c>
      <c r="R83" s="33" t="s">
        <v>61</v>
      </c>
      <c r="S83" s="36"/>
      <c r="T83" s="33">
        <v>0.0</v>
      </c>
      <c r="U83" s="33">
        <v>0.0</v>
      </c>
      <c r="V83" s="33">
        <v>0.0</v>
      </c>
      <c r="W83" s="36"/>
      <c r="X83" s="36"/>
      <c r="Y83" s="36"/>
      <c r="Z83" s="45"/>
      <c r="AA83" s="45"/>
      <c r="AB83" s="45"/>
      <c r="AC83" s="45"/>
      <c r="AD83" s="45"/>
      <c r="AE83" s="45"/>
      <c r="AF83" s="45"/>
    </row>
    <row r="84">
      <c r="A84" s="39">
        <v>2.0</v>
      </c>
      <c r="B84" s="39" t="s">
        <v>230</v>
      </c>
      <c r="C84" s="40">
        <v>342.0</v>
      </c>
      <c r="D84" s="40">
        <v>1.0</v>
      </c>
      <c r="E84" s="41"/>
      <c r="F84" s="42" t="str">
        <f>HYPERLINK("https://news.detik.com/berita/d-4546440/pria-di-aceh-yang-ngamuk-gegara-sumbangan-rp-1000-saya-minta-maaf ","sumber")</f>
        <v>sumber</v>
      </c>
      <c r="G84" s="40" t="s">
        <v>33</v>
      </c>
      <c r="H84" s="41"/>
      <c r="I84" s="41"/>
      <c r="J84" s="40">
        <v>1.0</v>
      </c>
      <c r="K84" s="41"/>
      <c r="L84" s="41"/>
      <c r="M84" s="41"/>
      <c r="N84" s="41"/>
      <c r="O84" s="41"/>
      <c r="P84" s="41"/>
      <c r="Q84" s="41"/>
      <c r="R84" s="41"/>
      <c r="S84" s="41"/>
      <c r="T84" s="41"/>
      <c r="U84" s="41"/>
      <c r="V84" s="41"/>
      <c r="W84" s="41"/>
      <c r="X84" s="41"/>
      <c r="Y84" s="41"/>
      <c r="Z84" s="47"/>
      <c r="AA84" s="43"/>
      <c r="AB84" s="48"/>
      <c r="AC84" s="48"/>
      <c r="AD84" s="48"/>
      <c r="AE84" s="48"/>
      <c r="AF84" s="48"/>
    </row>
    <row r="85">
      <c r="A85" s="32">
        <v>1.0</v>
      </c>
      <c r="B85" s="32" t="s">
        <v>231</v>
      </c>
      <c r="C85" s="33">
        <v>343.0</v>
      </c>
      <c r="D85" s="33">
        <v>2.0</v>
      </c>
      <c r="E85" s="33" t="s">
        <v>232</v>
      </c>
      <c r="F85" s="35" t="str">
        <f>HYPERLINK("https://www.cnnindonesia.com/internasional/20190513192700-134-394538/swedia-kembali-buka-kasus-pemerkosaan-yang-jerat-assange ","sumber")</f>
        <v>sumber</v>
      </c>
      <c r="G85" s="33" t="s">
        <v>33</v>
      </c>
      <c r="H85" s="36"/>
      <c r="I85" s="33">
        <v>1.0</v>
      </c>
      <c r="J85" s="33">
        <v>1.0</v>
      </c>
      <c r="K85" s="33" t="s">
        <v>233</v>
      </c>
      <c r="L85" s="33">
        <v>0.0</v>
      </c>
      <c r="M85" s="33">
        <v>0.0</v>
      </c>
      <c r="N85" s="37">
        <v>0.0</v>
      </c>
      <c r="O85" s="33">
        <v>0.0</v>
      </c>
      <c r="P85" s="33">
        <v>0.0</v>
      </c>
      <c r="Q85" s="33">
        <v>0.0</v>
      </c>
      <c r="R85" s="33">
        <v>0.0</v>
      </c>
      <c r="S85" s="36"/>
      <c r="T85" s="33">
        <v>0.0</v>
      </c>
      <c r="U85" s="33">
        <v>0.0</v>
      </c>
      <c r="V85" s="33">
        <v>0.0</v>
      </c>
      <c r="W85" s="36"/>
      <c r="X85" s="36"/>
      <c r="Y85" s="36"/>
      <c r="Z85" s="45"/>
      <c r="AA85" s="45"/>
      <c r="AB85" s="45"/>
      <c r="AC85" s="45"/>
      <c r="AD85" s="45"/>
      <c r="AE85" s="45"/>
      <c r="AF85" s="45"/>
    </row>
    <row r="86">
      <c r="A86" s="32">
        <v>1.0</v>
      </c>
      <c r="B86" s="32" t="s">
        <v>234</v>
      </c>
      <c r="C86" s="33">
        <v>344.0</v>
      </c>
      <c r="D86" s="33">
        <v>6.0</v>
      </c>
      <c r="E86" s="33" t="s">
        <v>232</v>
      </c>
      <c r="F86" s="35" t="str">
        <f>HYPERLINK("https://regional.kompas.com/read/2019/05/14/19300561/bupati-madiun-tutup-48-warung-makan-yang-diduga-sediakan-layanan-prostitusi ","sumber")</f>
        <v>sumber</v>
      </c>
      <c r="G86" s="33" t="s">
        <v>33</v>
      </c>
      <c r="H86" s="36"/>
      <c r="I86" s="33">
        <v>1.0</v>
      </c>
      <c r="J86" s="33">
        <v>1.0</v>
      </c>
      <c r="K86" s="33" t="s">
        <v>235</v>
      </c>
      <c r="L86" s="33">
        <v>0.0</v>
      </c>
      <c r="M86" s="33">
        <v>0.0</v>
      </c>
      <c r="N86" s="37">
        <v>0.0</v>
      </c>
      <c r="O86" s="33">
        <v>0.0</v>
      </c>
      <c r="P86" s="33">
        <v>0.0</v>
      </c>
      <c r="Q86" s="33">
        <v>0.0</v>
      </c>
      <c r="R86" s="33">
        <v>0.0</v>
      </c>
      <c r="S86" s="36"/>
      <c r="T86" s="33">
        <v>0.0</v>
      </c>
      <c r="U86" s="33">
        <v>0.0</v>
      </c>
      <c r="V86" s="33">
        <v>0.0</v>
      </c>
      <c r="W86" s="36"/>
      <c r="X86" s="36"/>
      <c r="Y86" s="36"/>
      <c r="Z86" s="45"/>
      <c r="AA86" s="45"/>
      <c r="AB86" s="45"/>
      <c r="AC86" s="45"/>
      <c r="AD86" s="45"/>
      <c r="AE86" s="45"/>
      <c r="AF86" s="45"/>
    </row>
    <row r="87">
      <c r="A87" s="32">
        <v>1.0</v>
      </c>
      <c r="B87" s="32" t="s">
        <v>236</v>
      </c>
      <c r="C87" s="33">
        <v>345.0</v>
      </c>
      <c r="D87" s="33">
        <v>7.0</v>
      </c>
      <c r="E87" s="33" t="s">
        <v>237</v>
      </c>
      <c r="F87" s="35" t="str">
        <f>HYPERLINK("http://www.tribunnews.com/seleb/2019/05/21/terungkap-pesan-singkat-berisi-curhat-vanessa-angel-di-balik-jeruji-besi ","sumber")</f>
        <v>sumber</v>
      </c>
      <c r="G87" s="33" t="s">
        <v>33</v>
      </c>
      <c r="H87" s="36"/>
      <c r="I87" s="33">
        <v>1.0</v>
      </c>
      <c r="J87" s="33">
        <v>1.0</v>
      </c>
      <c r="K87" s="33" t="s">
        <v>238</v>
      </c>
      <c r="L87" s="33">
        <v>0.0</v>
      </c>
      <c r="M87" s="33">
        <v>0.0</v>
      </c>
      <c r="N87" s="37">
        <v>0.0</v>
      </c>
      <c r="O87" s="33">
        <v>0.0</v>
      </c>
      <c r="P87" s="33">
        <v>0.0</v>
      </c>
      <c r="Q87" s="33" t="s">
        <v>61</v>
      </c>
      <c r="R87" s="33" t="s">
        <v>61</v>
      </c>
      <c r="S87" s="36"/>
      <c r="T87" s="33">
        <v>0.0</v>
      </c>
      <c r="U87" s="33">
        <v>0.0</v>
      </c>
      <c r="V87" s="33">
        <v>0.0</v>
      </c>
      <c r="W87" s="36"/>
      <c r="X87" s="36"/>
      <c r="Y87" s="36"/>
      <c r="Z87" s="45"/>
      <c r="AA87" s="45"/>
      <c r="AB87" s="45"/>
      <c r="AC87" s="45"/>
      <c r="AD87" s="45"/>
      <c r="AE87" s="45"/>
      <c r="AF87" s="45"/>
    </row>
    <row r="88">
      <c r="A88" s="32">
        <v>1.0</v>
      </c>
      <c r="B88" s="32" t="s">
        <v>239</v>
      </c>
      <c r="C88" s="33">
        <v>346.0</v>
      </c>
      <c r="D88" s="33">
        <v>2.0</v>
      </c>
      <c r="E88" s="33" t="s">
        <v>240</v>
      </c>
      <c r="F88" s="35" t="str">
        <f>HYPERLINK("https://www.cnnindonesia.com/nasional/20190521124532-32-396846/psi-jadi-oposisi-anies-penyeimbang-pks-di-dki ","sumber")</f>
        <v>sumber</v>
      </c>
      <c r="G88" s="33" t="s">
        <v>33</v>
      </c>
      <c r="H88" s="36"/>
      <c r="I88" s="33">
        <v>4.0</v>
      </c>
      <c r="J88" s="33">
        <v>1.0</v>
      </c>
      <c r="K88" s="33" t="s">
        <v>241</v>
      </c>
      <c r="L88" s="33">
        <v>0.0</v>
      </c>
      <c r="M88" s="33">
        <v>0.0</v>
      </c>
      <c r="N88" s="37">
        <v>0.0</v>
      </c>
      <c r="O88" s="33">
        <v>0.0</v>
      </c>
      <c r="P88" s="33">
        <v>0.0</v>
      </c>
      <c r="Q88" s="33" t="s">
        <v>53</v>
      </c>
      <c r="R88" s="33" t="s">
        <v>242</v>
      </c>
      <c r="S88" s="36"/>
      <c r="T88" s="33">
        <v>0.0</v>
      </c>
      <c r="U88" s="33">
        <v>0.0</v>
      </c>
      <c r="V88" s="33">
        <v>1.0</v>
      </c>
      <c r="W88" s="36"/>
      <c r="X88" s="36"/>
      <c r="Y88" s="36"/>
      <c r="Z88" s="45"/>
      <c r="AA88" s="45"/>
      <c r="AB88" s="45"/>
      <c r="AC88" s="45"/>
      <c r="AD88" s="45"/>
      <c r="AE88" s="45"/>
      <c r="AF88" s="45"/>
    </row>
    <row r="89">
      <c r="A89" s="24">
        <v>1.0</v>
      </c>
      <c r="B89" s="24" t="s">
        <v>243</v>
      </c>
      <c r="C89" s="25">
        <v>347.0</v>
      </c>
      <c r="D89" s="25">
        <v>9.0</v>
      </c>
      <c r="E89" s="25" t="s">
        <v>244</v>
      </c>
      <c r="F89" s="27" t="str">
        <f>HYPERLINK("https://nasional.republika.co.id/berita/nasional/daerah/prssy9335/pelaku-mutilasi-dituntut-15-tahun-penjara ","sumber")</f>
        <v>sumber</v>
      </c>
      <c r="G89" s="25" t="s">
        <v>33</v>
      </c>
      <c r="H89" s="25">
        <v>341.0</v>
      </c>
      <c r="I89" s="25">
        <v>1.0</v>
      </c>
      <c r="J89" s="25">
        <v>1.0</v>
      </c>
      <c r="K89" s="25" t="s">
        <v>245</v>
      </c>
      <c r="L89" s="25">
        <v>0.0</v>
      </c>
      <c r="M89" s="25">
        <v>0.0</v>
      </c>
      <c r="N89" s="38">
        <v>0.0</v>
      </c>
      <c r="O89" s="25">
        <v>1.0</v>
      </c>
      <c r="P89" s="25">
        <v>0.0</v>
      </c>
      <c r="Q89" s="25">
        <v>0.0</v>
      </c>
      <c r="R89" s="25">
        <v>0.0</v>
      </c>
      <c r="S89" s="29"/>
      <c r="T89" s="25">
        <v>0.0</v>
      </c>
      <c r="U89" s="25">
        <v>0.0</v>
      </c>
      <c r="V89" s="25">
        <v>0.0</v>
      </c>
      <c r="W89" s="29"/>
      <c r="X89" s="29"/>
      <c r="Y89" s="29"/>
      <c r="Z89" s="46"/>
      <c r="AA89" s="46"/>
      <c r="AB89" s="46"/>
      <c r="AC89" s="46"/>
      <c r="AD89" s="46"/>
      <c r="AE89" s="46"/>
      <c r="AF89" s="46"/>
    </row>
    <row r="90">
      <c r="A90" s="24">
        <v>1.0</v>
      </c>
      <c r="B90" s="24" t="s">
        <v>246</v>
      </c>
      <c r="C90" s="25">
        <v>348.0</v>
      </c>
      <c r="D90" s="25">
        <v>10.0</v>
      </c>
      <c r="E90" s="25" t="s">
        <v>247</v>
      </c>
      <c r="F90" s="27" t="str">
        <f>HYPERLINK("https://dunia.tempo.co/read/1204994/swedia-buka-lagi-kasus-dugaan-perkosaan-oleh-julian-assange ","sumber")</f>
        <v>sumber</v>
      </c>
      <c r="G90" s="25" t="s">
        <v>33</v>
      </c>
      <c r="H90" s="25">
        <v>243.0</v>
      </c>
      <c r="I90" s="25">
        <v>1.0</v>
      </c>
      <c r="J90" s="25">
        <v>1.0</v>
      </c>
      <c r="K90" s="25" t="s">
        <v>248</v>
      </c>
      <c r="L90" s="25">
        <v>0.0</v>
      </c>
      <c r="M90" s="25">
        <v>0.0</v>
      </c>
      <c r="N90" s="38">
        <v>0.0</v>
      </c>
      <c r="O90" s="25">
        <v>0.0</v>
      </c>
      <c r="P90" s="25">
        <v>0.0</v>
      </c>
      <c r="Q90" s="25">
        <v>0.0</v>
      </c>
      <c r="R90" s="25">
        <v>0.0</v>
      </c>
      <c r="S90" s="29"/>
      <c r="T90" s="25">
        <v>0.0</v>
      </c>
      <c r="U90" s="25">
        <v>0.0</v>
      </c>
      <c r="V90" s="25">
        <v>0.0</v>
      </c>
      <c r="W90" s="29"/>
      <c r="X90" s="29"/>
      <c r="Y90" s="29"/>
      <c r="Z90" s="46"/>
      <c r="AA90" s="46"/>
      <c r="AB90" s="46"/>
      <c r="AC90" s="46"/>
      <c r="AD90" s="46"/>
      <c r="AE90" s="46"/>
      <c r="AF90" s="46"/>
    </row>
    <row r="91">
      <c r="A91" s="24">
        <v>1.0</v>
      </c>
      <c r="B91" s="24" t="s">
        <v>249</v>
      </c>
      <c r="C91" s="25">
        <v>349.0</v>
      </c>
      <c r="D91" s="25">
        <v>1.0</v>
      </c>
      <c r="E91" s="25" t="s">
        <v>237</v>
      </c>
      <c r="F91" s="27" t="str">
        <f>HYPERLINK(" https://news.detik.com/internasional/d-4559033/ribuan-wanita-korut-diselundupkan-dan-dijual-jadi-budak-seks-di-china ","sumber")</f>
        <v>sumber</v>
      </c>
      <c r="G91" s="25" t="s">
        <v>33</v>
      </c>
      <c r="H91" s="25">
        <v>458.0</v>
      </c>
      <c r="I91" s="25">
        <v>1.0</v>
      </c>
      <c r="J91" s="25">
        <v>1.0</v>
      </c>
      <c r="K91" s="25" t="s">
        <v>250</v>
      </c>
      <c r="L91" s="25">
        <v>0.0</v>
      </c>
      <c r="M91" s="25">
        <v>0.0</v>
      </c>
      <c r="N91" s="38">
        <v>0.0</v>
      </c>
      <c r="O91" s="25">
        <v>0.0</v>
      </c>
      <c r="P91" s="25">
        <v>0.0</v>
      </c>
      <c r="Q91" s="25">
        <v>1.0</v>
      </c>
      <c r="R91" s="25">
        <v>1.0</v>
      </c>
      <c r="S91" s="29"/>
      <c r="T91" s="25">
        <v>0.0</v>
      </c>
      <c r="U91" s="25">
        <v>0.0</v>
      </c>
      <c r="V91" s="25">
        <v>0.0</v>
      </c>
      <c r="W91" s="29"/>
      <c r="X91" s="29"/>
      <c r="Y91" s="29"/>
      <c r="Z91" s="46"/>
      <c r="AA91" s="46"/>
      <c r="AB91" s="46"/>
      <c r="AC91" s="46"/>
      <c r="AD91" s="46"/>
      <c r="AE91" s="46"/>
      <c r="AF91" s="46"/>
    </row>
    <row r="92">
      <c r="A92" s="24">
        <v>1.0</v>
      </c>
      <c r="B92" s="24" t="s">
        <v>251</v>
      </c>
      <c r="C92" s="25">
        <v>350.0</v>
      </c>
      <c r="D92" s="25">
        <v>6.0</v>
      </c>
      <c r="E92" s="25" t="s">
        <v>252</v>
      </c>
      <c r="F92" s="27" t="str">
        <f>HYPERLINK(" https://news.okezone.com/read/2019/06/21/18/2069271/pengantin-baru-di-jerman-tewas-setelah-berhubungan-seks-bdsm-selama-48-jam ","sumber")</f>
        <v>sumber</v>
      </c>
      <c r="G92" s="25" t="s">
        <v>33</v>
      </c>
      <c r="H92" s="25">
        <v>509.0</v>
      </c>
      <c r="I92" s="25">
        <v>1.0</v>
      </c>
      <c r="J92" s="25">
        <v>1.0</v>
      </c>
      <c r="K92" s="25" t="s">
        <v>253</v>
      </c>
      <c r="L92" s="25">
        <v>0.0</v>
      </c>
      <c r="M92" s="25">
        <v>0.0</v>
      </c>
      <c r="N92" s="38">
        <v>0.0</v>
      </c>
      <c r="O92" s="25">
        <v>0.0</v>
      </c>
      <c r="P92" s="25">
        <v>0.0</v>
      </c>
      <c r="Q92" s="25" t="s">
        <v>61</v>
      </c>
      <c r="R92" s="25" t="s">
        <v>61</v>
      </c>
      <c r="S92" s="29"/>
      <c r="T92" s="25">
        <v>0.0</v>
      </c>
      <c r="U92" s="25">
        <v>0.0</v>
      </c>
      <c r="V92" s="25">
        <v>0.0</v>
      </c>
      <c r="W92" s="29"/>
      <c r="X92" s="29"/>
      <c r="Y92" s="29"/>
      <c r="Z92" s="46"/>
      <c r="AA92" s="46"/>
      <c r="AB92" s="46"/>
      <c r="AC92" s="46"/>
      <c r="AD92" s="46"/>
      <c r="AE92" s="46"/>
      <c r="AF92" s="46"/>
    </row>
    <row r="93">
      <c r="A93" s="39">
        <v>2.0</v>
      </c>
      <c r="B93" s="39" t="s">
        <v>254</v>
      </c>
      <c r="C93" s="40">
        <v>351.0</v>
      </c>
      <c r="D93" s="40">
        <v>2.0</v>
      </c>
      <c r="E93" s="41"/>
      <c r="F93" s="42" t="str">
        <f>HYPERLINK("https://www.cnnindonesia.com/olahraga/20190609161201-142-401889/cedera-engkel-paksa-neymar-absen-empat-pekan ","sumber")</f>
        <v>sumber</v>
      </c>
      <c r="G93" s="40" t="s">
        <v>33</v>
      </c>
      <c r="H93" s="41"/>
      <c r="I93" s="41"/>
      <c r="J93" s="40">
        <v>1.0</v>
      </c>
      <c r="K93" s="41"/>
      <c r="L93" s="41"/>
      <c r="M93" s="41"/>
      <c r="N93" s="41"/>
      <c r="O93" s="41"/>
      <c r="P93" s="41"/>
      <c r="Q93" s="41"/>
      <c r="R93" s="41"/>
      <c r="S93" s="41"/>
      <c r="T93" s="41"/>
      <c r="U93" s="41"/>
      <c r="V93" s="41"/>
      <c r="W93" s="41"/>
      <c r="X93" s="41"/>
      <c r="Y93" s="41"/>
      <c r="Z93" s="47"/>
      <c r="AA93" s="43"/>
      <c r="AB93" s="48"/>
      <c r="AC93" s="48"/>
      <c r="AD93" s="48"/>
      <c r="AE93" s="48"/>
      <c r="AF93" s="48"/>
    </row>
    <row r="94">
      <c r="A94" s="39">
        <v>2.0</v>
      </c>
      <c r="B94" s="39" t="s">
        <v>255</v>
      </c>
      <c r="C94" s="40">
        <v>352.0</v>
      </c>
      <c r="D94" s="40">
        <v>5.0</v>
      </c>
      <c r="E94" s="41"/>
      <c r="F94" s="42" t="str">
        <f>HYPERLINK("https://tirto.id/setelah-lelah-liburan-mudik-dan-pelesir-pijat-saja-ebb9 ","sumber")</f>
        <v>sumber</v>
      </c>
      <c r="G94" s="40" t="s">
        <v>33</v>
      </c>
      <c r="H94" s="41"/>
      <c r="I94" s="41"/>
      <c r="J94" s="40">
        <v>1.0</v>
      </c>
      <c r="K94" s="41"/>
      <c r="L94" s="41"/>
      <c r="M94" s="41"/>
      <c r="N94" s="41"/>
      <c r="O94" s="41"/>
      <c r="P94" s="41"/>
      <c r="Q94" s="41"/>
      <c r="R94" s="41"/>
      <c r="S94" s="41"/>
      <c r="T94" s="41"/>
      <c r="U94" s="41"/>
      <c r="V94" s="41"/>
      <c r="W94" s="41"/>
      <c r="X94" s="41"/>
      <c r="Y94" s="41"/>
      <c r="Z94" s="47"/>
      <c r="AA94" s="43"/>
      <c r="AB94" s="48"/>
      <c r="AC94" s="48"/>
      <c r="AD94" s="48"/>
      <c r="AE94" s="48"/>
      <c r="AF94" s="48"/>
    </row>
    <row r="95">
      <c r="A95" s="32">
        <v>1.0</v>
      </c>
      <c r="B95" s="32" t="s">
        <v>256</v>
      </c>
      <c r="C95" s="33">
        <v>353.0</v>
      </c>
      <c r="D95" s="33">
        <v>8.0</v>
      </c>
      <c r="E95" s="34">
        <v>43805.0</v>
      </c>
      <c r="F95" s="35" t="str">
        <f>HYPERLINK("https://jatim.suara.com/read/2019/06/12/210353/keberatan-dijerat-uu-ite-pengacara-chat-dan-foto-masuk-privasi-vanessa ","sumber")</f>
        <v>sumber</v>
      </c>
      <c r="G95" s="33" t="s">
        <v>33</v>
      </c>
      <c r="H95" s="36"/>
      <c r="I95" s="33">
        <v>1.0</v>
      </c>
      <c r="J95" s="33">
        <v>1.0</v>
      </c>
      <c r="K95" s="33" t="s">
        <v>257</v>
      </c>
      <c r="L95" s="33">
        <v>0.0</v>
      </c>
      <c r="M95" s="33">
        <v>0.0</v>
      </c>
      <c r="N95" s="37">
        <v>0.0</v>
      </c>
      <c r="O95" s="33">
        <v>0.0</v>
      </c>
      <c r="P95" s="33">
        <v>0.0</v>
      </c>
      <c r="Q95" s="33">
        <v>0.0</v>
      </c>
      <c r="R95" s="33">
        <v>0.0</v>
      </c>
      <c r="S95" s="36"/>
      <c r="T95" s="33">
        <v>0.0</v>
      </c>
      <c r="U95" s="33">
        <v>0.0</v>
      </c>
      <c r="V95" s="33">
        <v>0.0</v>
      </c>
      <c r="W95" s="36"/>
      <c r="X95" s="36"/>
      <c r="Y95" s="36"/>
      <c r="Z95" s="45"/>
      <c r="AA95" s="45"/>
      <c r="AB95" s="45"/>
      <c r="AC95" s="45"/>
      <c r="AD95" s="45"/>
      <c r="AE95" s="45"/>
      <c r="AF95" s="45"/>
    </row>
    <row r="96">
      <c r="A96" s="32">
        <v>1.0</v>
      </c>
      <c r="B96" s="32" t="s">
        <v>258</v>
      </c>
      <c r="C96" s="33">
        <v>354.0</v>
      </c>
      <c r="D96" s="33">
        <v>8.0</v>
      </c>
      <c r="E96" s="33" t="s">
        <v>259</v>
      </c>
      <c r="F96" s="35" t="str">
        <f>HYPERLINK("https://www.suara.com/news/2019/06/15/211835/sambil-diikat-polisi-gadungan-perkosa-gadis-belia-di-depan-sang-pacar ","sumber")</f>
        <v>sumber</v>
      </c>
      <c r="G96" s="33" t="s">
        <v>33</v>
      </c>
      <c r="H96" s="36"/>
      <c r="I96" s="33">
        <v>1.0</v>
      </c>
      <c r="J96" s="33">
        <v>1.0</v>
      </c>
      <c r="K96" s="33" t="s">
        <v>260</v>
      </c>
      <c r="L96" s="33">
        <v>0.0</v>
      </c>
      <c r="M96" s="33">
        <v>0.0</v>
      </c>
      <c r="N96" s="37">
        <v>0.0</v>
      </c>
      <c r="O96" s="33">
        <v>1.0</v>
      </c>
      <c r="P96" s="33">
        <v>0.0</v>
      </c>
      <c r="Q96" s="33">
        <v>0.0</v>
      </c>
      <c r="R96" s="33">
        <v>0.0</v>
      </c>
      <c r="S96" s="36"/>
      <c r="T96" s="33">
        <v>0.0</v>
      </c>
      <c r="U96" s="33">
        <v>0.0</v>
      </c>
      <c r="V96" s="33">
        <v>0.0</v>
      </c>
      <c r="W96" s="36"/>
      <c r="X96" s="36"/>
      <c r="Y96" s="36"/>
      <c r="Z96" s="45"/>
      <c r="AA96" s="45"/>
      <c r="AB96" s="45"/>
      <c r="AC96" s="45"/>
      <c r="AD96" s="45"/>
      <c r="AE96" s="45"/>
      <c r="AF96" s="45"/>
    </row>
    <row r="97">
      <c r="A97" s="32">
        <v>1.0</v>
      </c>
      <c r="B97" s="32" t="s">
        <v>261</v>
      </c>
      <c r="C97" s="33">
        <v>355.0</v>
      </c>
      <c r="D97" s="33">
        <v>5.0</v>
      </c>
      <c r="E97" s="33" t="s">
        <v>259</v>
      </c>
      <c r="F97" s="35" t="str">
        <f>HYPERLINK("https://tirto.id/dari-jennie-hingga-yang-hyun-suk-kronologi-skandal-yg-entertaiment-ecqU ","sumber")</f>
        <v>sumber</v>
      </c>
      <c r="G97" s="33" t="s">
        <v>33</v>
      </c>
      <c r="H97" s="36"/>
      <c r="I97" s="33">
        <v>1.0</v>
      </c>
      <c r="J97" s="33">
        <v>1.0</v>
      </c>
      <c r="K97" s="33" t="s">
        <v>262</v>
      </c>
      <c r="L97" s="33">
        <v>0.0</v>
      </c>
      <c r="M97" s="33">
        <v>0.0</v>
      </c>
      <c r="N97" s="37">
        <v>0.0</v>
      </c>
      <c r="O97" s="33">
        <v>0.0</v>
      </c>
      <c r="P97" s="33">
        <v>0.0</v>
      </c>
      <c r="Q97" s="33" t="s">
        <v>89</v>
      </c>
      <c r="R97" s="33" t="s">
        <v>89</v>
      </c>
      <c r="S97" s="36"/>
      <c r="T97" s="33">
        <v>0.0</v>
      </c>
      <c r="U97" s="33">
        <v>0.0</v>
      </c>
      <c r="V97" s="33">
        <v>0.0</v>
      </c>
      <c r="W97" s="36"/>
      <c r="X97" s="36"/>
      <c r="Y97" s="36"/>
      <c r="Z97" s="45"/>
      <c r="AA97" s="45"/>
      <c r="AB97" s="45"/>
      <c r="AC97" s="45"/>
      <c r="AD97" s="45"/>
      <c r="AE97" s="45"/>
      <c r="AF97" s="45"/>
    </row>
    <row r="98">
      <c r="A98" s="39">
        <v>2.0</v>
      </c>
      <c r="B98" s="39" t="s">
        <v>263</v>
      </c>
      <c r="C98" s="40">
        <v>356.0</v>
      </c>
      <c r="D98" s="40">
        <v>4.0</v>
      </c>
      <c r="E98" s="41"/>
      <c r="F98" s="42" t="str">
        <f>HYPERLINK("https://www.liputan6.com/news/read/3994460/pimpin-delegasi-indonesia-pada-sidang-ilc-di-swiss-menaker-sampaikan-4-hal-ini ","sumber")</f>
        <v>sumber</v>
      </c>
      <c r="G98" s="40" t="s">
        <v>33</v>
      </c>
      <c r="H98" s="41"/>
      <c r="I98" s="41"/>
      <c r="J98" s="40">
        <v>1.0</v>
      </c>
      <c r="K98" s="41"/>
      <c r="L98" s="41"/>
      <c r="M98" s="41"/>
      <c r="N98" s="41"/>
      <c r="O98" s="41"/>
      <c r="P98" s="41"/>
      <c r="Q98" s="41"/>
      <c r="R98" s="41"/>
      <c r="S98" s="41"/>
      <c r="T98" s="41"/>
      <c r="U98" s="41"/>
      <c r="V98" s="41"/>
      <c r="W98" s="41"/>
      <c r="X98" s="41"/>
      <c r="Y98" s="41"/>
      <c r="Z98" s="47"/>
      <c r="AA98" s="43"/>
      <c r="AB98" s="48"/>
      <c r="AC98" s="48"/>
      <c r="AD98" s="48"/>
      <c r="AE98" s="48"/>
      <c r="AF98" s="48"/>
    </row>
    <row r="99">
      <c r="A99" s="24">
        <v>1.0</v>
      </c>
      <c r="B99" s="24" t="s">
        <v>264</v>
      </c>
      <c r="C99" s="25">
        <v>357.0</v>
      </c>
      <c r="D99" s="25">
        <v>2.0</v>
      </c>
      <c r="E99" s="25" t="s">
        <v>259</v>
      </c>
      <c r="F99" s="27" t="str">
        <f>HYPERLINK(" https://www.cnnindonesia.com/internasional/20190615035326-134-403480/asa-upah-setara-dalam-unjuk-rasa-ratusan-ribu-perempuan-swiss ","sumber")</f>
        <v>sumber</v>
      </c>
      <c r="G99" s="25" t="s">
        <v>33</v>
      </c>
      <c r="H99" s="25">
        <v>451.0</v>
      </c>
      <c r="I99" s="25">
        <v>4.0</v>
      </c>
      <c r="J99" s="25">
        <v>1.0</v>
      </c>
      <c r="K99" s="25" t="s">
        <v>265</v>
      </c>
      <c r="L99" s="25">
        <v>0.0</v>
      </c>
      <c r="M99" s="25">
        <v>0.0</v>
      </c>
      <c r="N99" s="38">
        <v>0.0</v>
      </c>
      <c r="O99" s="25">
        <v>0.0</v>
      </c>
      <c r="P99" s="25">
        <v>0.0</v>
      </c>
      <c r="Q99" s="25" t="s">
        <v>61</v>
      </c>
      <c r="R99" s="25" t="s">
        <v>214</v>
      </c>
      <c r="S99" s="29"/>
      <c r="T99" s="25">
        <v>0.0</v>
      </c>
      <c r="U99" s="25">
        <v>0.0</v>
      </c>
      <c r="V99" s="25">
        <v>1.0</v>
      </c>
      <c r="W99" s="29"/>
      <c r="X99" s="29"/>
      <c r="Y99" s="29"/>
      <c r="Z99" s="46"/>
      <c r="AA99" s="46"/>
      <c r="AB99" s="46"/>
      <c r="AC99" s="46"/>
      <c r="AD99" s="46"/>
      <c r="AE99" s="46"/>
      <c r="AF99" s="46"/>
    </row>
    <row r="100">
      <c r="A100" s="32">
        <v>1.0</v>
      </c>
      <c r="B100" s="32" t="s">
        <v>266</v>
      </c>
      <c r="C100" s="33">
        <v>358.0</v>
      </c>
      <c r="D100" s="33">
        <v>6.0</v>
      </c>
      <c r="E100" s="33" t="s">
        <v>267</v>
      </c>
      <c r="F100" s="35" t="str">
        <f>HYPERLINK("https://news.okezone.com/read/2019/06/21/609/2069464/pemerkosaan-pelayan-warung-dari-5-pelaku-ada-yang-hanya-mencium-dan-meraba ","sumber")</f>
        <v>sumber</v>
      </c>
      <c r="G100" s="33" t="s">
        <v>33</v>
      </c>
      <c r="H100" s="36"/>
      <c r="I100" s="33">
        <v>1.0</v>
      </c>
      <c r="J100" s="33">
        <v>1.0</v>
      </c>
      <c r="K100" s="33" t="s">
        <v>268</v>
      </c>
      <c r="L100" s="33">
        <v>0.0</v>
      </c>
      <c r="M100" s="33">
        <v>0.0</v>
      </c>
      <c r="N100" s="37">
        <v>0.0</v>
      </c>
      <c r="O100" s="33">
        <v>1.0</v>
      </c>
      <c r="P100" s="33">
        <v>-1.0</v>
      </c>
      <c r="Q100" s="33">
        <v>0.0</v>
      </c>
      <c r="R100" s="33">
        <v>0.0</v>
      </c>
      <c r="S100" s="36"/>
      <c r="T100" s="33">
        <v>0.0</v>
      </c>
      <c r="U100" s="33">
        <v>0.0</v>
      </c>
      <c r="V100" s="33">
        <v>0.0</v>
      </c>
      <c r="W100" s="36"/>
      <c r="X100" s="36"/>
      <c r="Y100" s="36"/>
      <c r="Z100" s="45"/>
      <c r="AA100" s="45"/>
      <c r="AB100" s="45"/>
      <c r="AC100" s="45"/>
      <c r="AD100" s="45"/>
      <c r="AE100" s="45"/>
      <c r="AF100" s="45"/>
    </row>
    <row r="101">
      <c r="A101" s="32">
        <v>1.0</v>
      </c>
      <c r="B101" s="32" t="s">
        <v>269</v>
      </c>
      <c r="C101" s="33">
        <v>359.0</v>
      </c>
      <c r="D101" s="33">
        <v>2.0</v>
      </c>
      <c r="E101" s="33" t="s">
        <v>270</v>
      </c>
      <c r="F101" s="35" t="str">
        <f>HYPERLINK("https://www.cnnindonesia.com/internasional/20190625122411-127-406175/faedah-jurus-pencak-silat-lindungi-kaum-hawa-di-mesir ","sumber")</f>
        <v>sumber</v>
      </c>
      <c r="G101" s="33" t="s">
        <v>33</v>
      </c>
      <c r="H101" s="36"/>
      <c r="I101" s="33">
        <v>1.0</v>
      </c>
      <c r="J101" s="33">
        <v>1.0</v>
      </c>
      <c r="K101" s="33" t="s">
        <v>271</v>
      </c>
      <c r="L101" s="33">
        <v>0.0</v>
      </c>
      <c r="M101" s="33">
        <v>0.0</v>
      </c>
      <c r="N101" s="37">
        <v>0.0</v>
      </c>
      <c r="O101" s="33">
        <v>0.0</v>
      </c>
      <c r="P101" s="33">
        <v>0.0</v>
      </c>
      <c r="Q101" s="33" t="s">
        <v>210</v>
      </c>
      <c r="R101" s="33" t="s">
        <v>61</v>
      </c>
      <c r="S101" s="36"/>
      <c r="T101" s="33">
        <v>0.0</v>
      </c>
      <c r="U101" s="33">
        <v>0.0</v>
      </c>
      <c r="V101" s="33">
        <v>0.0</v>
      </c>
      <c r="W101" s="36"/>
      <c r="X101" s="36"/>
      <c r="Y101" s="36"/>
      <c r="Z101" s="45"/>
      <c r="AA101" s="45"/>
      <c r="AB101" s="45"/>
      <c r="AC101" s="45"/>
      <c r="AD101" s="45"/>
      <c r="AE101" s="45"/>
      <c r="AF101" s="45"/>
    </row>
    <row r="102">
      <c r="A102" s="32">
        <v>1.0</v>
      </c>
      <c r="B102" s="32" t="s">
        <v>272</v>
      </c>
      <c r="C102" s="33">
        <v>360.0</v>
      </c>
      <c r="D102" s="33">
        <v>10.0</v>
      </c>
      <c r="E102" s="33" t="s">
        <v>273</v>
      </c>
      <c r="F102" s="35" t="str">
        <f>HYPERLINK("https://bola.tempo.co/read/1219149/bela-pemain-yang-lakukan-pelecehan-seksual-mo-salah-dikritik ","sumber")</f>
        <v>sumber</v>
      </c>
      <c r="G102" s="33" t="s">
        <v>33</v>
      </c>
      <c r="H102" s="36"/>
      <c r="I102" s="33">
        <v>1.0</v>
      </c>
      <c r="J102" s="33">
        <v>1.0</v>
      </c>
      <c r="K102" s="33" t="s">
        <v>274</v>
      </c>
      <c r="L102" s="33">
        <v>0.0</v>
      </c>
      <c r="M102" s="33">
        <v>0.0</v>
      </c>
      <c r="N102" s="37">
        <v>0.0</v>
      </c>
      <c r="O102" s="33">
        <v>0.0</v>
      </c>
      <c r="P102" s="33">
        <v>0.0</v>
      </c>
      <c r="Q102" s="33" t="s">
        <v>61</v>
      </c>
      <c r="R102" s="33" t="s">
        <v>214</v>
      </c>
      <c r="S102" s="36"/>
      <c r="T102" s="33">
        <v>0.0</v>
      </c>
      <c r="U102" s="33">
        <v>0.0</v>
      </c>
      <c r="V102" s="33">
        <v>0.0</v>
      </c>
      <c r="W102" s="36"/>
      <c r="X102" s="36"/>
      <c r="Y102" s="36"/>
      <c r="Z102" s="45"/>
      <c r="AA102" s="45"/>
      <c r="AB102" s="45"/>
      <c r="AC102" s="45"/>
      <c r="AD102" s="45"/>
      <c r="AE102" s="45"/>
      <c r="AF102" s="45"/>
    </row>
    <row r="103">
      <c r="A103" s="32">
        <v>1.0</v>
      </c>
      <c r="B103" s="32" t="s">
        <v>275</v>
      </c>
      <c r="C103" s="33">
        <v>361.0</v>
      </c>
      <c r="D103" s="33">
        <v>4.0</v>
      </c>
      <c r="E103" s="34">
        <v>43472.0</v>
      </c>
      <c r="F103" s="35" t="str">
        <f>HYPERLINK("https://hot.liputan6.com/read/4002439/fairuz-a-rafiq-laporkan-galih-ginanjar-ke-polisi-ini-kronologi-perseteruannya ","sumber")</f>
        <v>sumber</v>
      </c>
      <c r="G103" s="33" t="s">
        <v>33</v>
      </c>
      <c r="H103" s="36"/>
      <c r="I103" s="33">
        <v>1.0</v>
      </c>
      <c r="J103" s="33">
        <v>1.0</v>
      </c>
      <c r="K103" s="33" t="s">
        <v>276</v>
      </c>
      <c r="L103" s="33">
        <v>0.0</v>
      </c>
      <c r="M103" s="33">
        <v>0.0</v>
      </c>
      <c r="N103" s="37">
        <v>0.0</v>
      </c>
      <c r="O103" s="33">
        <v>0.0</v>
      </c>
      <c r="P103" s="33">
        <v>0.0</v>
      </c>
      <c r="Q103" s="33" t="s">
        <v>277</v>
      </c>
      <c r="R103" s="33" t="s">
        <v>278</v>
      </c>
      <c r="S103" s="36"/>
      <c r="T103" s="33">
        <v>0.0</v>
      </c>
      <c r="U103" s="33">
        <v>0.0</v>
      </c>
      <c r="V103" s="33">
        <v>0.0</v>
      </c>
      <c r="W103" s="36"/>
      <c r="X103" s="36"/>
      <c r="Y103" s="36"/>
      <c r="Z103" s="45"/>
      <c r="AA103" s="45"/>
      <c r="AB103" s="45"/>
      <c r="AC103" s="45"/>
      <c r="AD103" s="45"/>
      <c r="AE103" s="45"/>
      <c r="AF103" s="45"/>
    </row>
    <row r="104">
      <c r="A104" s="32">
        <v>1.0</v>
      </c>
      <c r="B104" s="32" t="s">
        <v>279</v>
      </c>
      <c r="C104" s="33">
        <v>362.0</v>
      </c>
      <c r="D104" s="33">
        <v>6.0</v>
      </c>
      <c r="E104" s="34">
        <v>43623.0</v>
      </c>
      <c r="F104" s="35" t="str">
        <f>HYPERLINK("https://celebrity.okezone.com/read/2019/07/06/33/2075537/pamer-belahan-dada-vanessa-angel-tuai-kritikan-netizen ","sumber")</f>
        <v>sumber</v>
      </c>
      <c r="G104" s="33" t="s">
        <v>33</v>
      </c>
      <c r="H104" s="36"/>
      <c r="I104" s="33">
        <v>1.0</v>
      </c>
      <c r="J104" s="33">
        <v>1.0</v>
      </c>
      <c r="K104" s="33" t="s">
        <v>280</v>
      </c>
      <c r="L104" s="33">
        <v>0.0</v>
      </c>
      <c r="M104" s="33">
        <v>-1.0</v>
      </c>
      <c r="N104" s="37">
        <v>0.0</v>
      </c>
      <c r="O104" s="33">
        <v>0.0</v>
      </c>
      <c r="P104" s="33">
        <v>0.0</v>
      </c>
      <c r="Q104" s="33" t="s">
        <v>53</v>
      </c>
      <c r="R104" s="33" t="s">
        <v>281</v>
      </c>
      <c r="S104" s="36"/>
      <c r="T104" s="33">
        <v>0.0</v>
      </c>
      <c r="U104" s="33">
        <v>0.0</v>
      </c>
      <c r="V104" s="33">
        <v>0.0</v>
      </c>
      <c r="W104" s="36"/>
      <c r="X104" s="36"/>
      <c r="Y104" s="36"/>
      <c r="Z104" s="45"/>
      <c r="AA104" s="45"/>
      <c r="AB104" s="45"/>
      <c r="AC104" s="45"/>
      <c r="AD104" s="45"/>
      <c r="AE104" s="45"/>
      <c r="AF104" s="45"/>
    </row>
    <row r="105">
      <c r="A105" s="32">
        <v>1.0</v>
      </c>
      <c r="B105" s="32" t="s">
        <v>282</v>
      </c>
      <c r="C105" s="33">
        <v>363.0</v>
      </c>
      <c r="D105" s="33">
        <v>7.0</v>
      </c>
      <c r="E105" s="34">
        <v>43653.0</v>
      </c>
      <c r="F105" s="35" t="str">
        <f>HYPERLINK("http://www.tribunnews.com/superskor/2019/07/07/wasit-seksi-mendapat-pelecehan-seksual-penggemarnya-minta-pelaku-dipolisikan ","sumber")</f>
        <v>sumber</v>
      </c>
      <c r="G105" s="33" t="s">
        <v>33</v>
      </c>
      <c r="H105" s="36"/>
      <c r="I105" s="33">
        <v>1.0</v>
      </c>
      <c r="J105" s="33">
        <v>1.0</v>
      </c>
      <c r="K105" s="33" t="s">
        <v>283</v>
      </c>
      <c r="L105" s="33">
        <v>0.0</v>
      </c>
      <c r="M105" s="33">
        <v>1.0</v>
      </c>
      <c r="N105" s="37">
        <v>0.0</v>
      </c>
      <c r="O105" s="33">
        <v>0.0</v>
      </c>
      <c r="P105" s="33">
        <v>0.0</v>
      </c>
      <c r="Q105" s="33">
        <v>2.0</v>
      </c>
      <c r="R105" s="33">
        <v>1.0</v>
      </c>
      <c r="S105" s="36"/>
      <c r="T105" s="33">
        <v>0.0</v>
      </c>
      <c r="U105" s="33">
        <v>-1.0</v>
      </c>
      <c r="V105" s="33">
        <v>0.0</v>
      </c>
      <c r="W105" s="36"/>
      <c r="X105" s="36"/>
      <c r="Y105" s="36"/>
      <c r="Z105" s="45"/>
      <c r="AA105" s="45"/>
      <c r="AB105" s="45"/>
      <c r="AC105" s="45"/>
      <c r="AD105" s="45"/>
      <c r="AE105" s="45"/>
      <c r="AF105" s="45"/>
    </row>
    <row r="106">
      <c r="A106" s="32">
        <v>1.0</v>
      </c>
      <c r="B106" s="32" t="s">
        <v>284</v>
      </c>
      <c r="C106" s="33">
        <v>364.0</v>
      </c>
      <c r="D106" s="33">
        <v>6.0</v>
      </c>
      <c r="E106" s="34">
        <v>43745.0</v>
      </c>
      <c r="F106" s="35" t="str">
        <f>HYPERLINK("https://megapolitan.kompas.com/read/2019/07/10/17495161/polisi-periksa-kondisi-kejiwaan-pelaku-yang-bacok-istri-karena-tolak ","sumber")</f>
        <v>sumber</v>
      </c>
      <c r="G106" s="33" t="s">
        <v>33</v>
      </c>
      <c r="H106" s="36"/>
      <c r="I106" s="33">
        <v>1.0</v>
      </c>
      <c r="J106" s="33">
        <v>1.0</v>
      </c>
      <c r="K106" s="33" t="s">
        <v>285</v>
      </c>
      <c r="L106" s="33">
        <v>0.0</v>
      </c>
      <c r="M106" s="33">
        <v>0.0</v>
      </c>
      <c r="N106" s="37">
        <v>0.0</v>
      </c>
      <c r="O106" s="33">
        <v>0.0</v>
      </c>
      <c r="P106" s="33">
        <v>0.0</v>
      </c>
      <c r="Q106" s="33">
        <v>0.0</v>
      </c>
      <c r="R106" s="33">
        <v>0.0</v>
      </c>
      <c r="S106" s="36"/>
      <c r="T106" s="33">
        <v>0.0</v>
      </c>
      <c r="U106" s="33">
        <v>0.0</v>
      </c>
      <c r="V106" s="33">
        <v>0.0</v>
      </c>
      <c r="W106" s="36"/>
      <c r="X106" s="36"/>
      <c r="Y106" s="36"/>
      <c r="Z106" s="45"/>
      <c r="AA106" s="45"/>
      <c r="AB106" s="45"/>
      <c r="AC106" s="45"/>
      <c r="AD106" s="45"/>
      <c r="AE106" s="45"/>
      <c r="AF106" s="45"/>
    </row>
    <row r="107">
      <c r="A107" s="32">
        <v>1.0</v>
      </c>
      <c r="B107" s="32" t="s">
        <v>286</v>
      </c>
      <c r="C107" s="33">
        <v>365.0</v>
      </c>
      <c r="D107" s="33">
        <v>9.0</v>
      </c>
      <c r="E107" s="34">
        <v>43745.0</v>
      </c>
      <c r="F107" s="35" t="str">
        <f>HYPERLINK("https://nasional.republika.co.id/berita/puewxb409/laporan-berhenti-di-penyelidikan-baiq-nuril-fokus-amnesti ","sumber")</f>
        <v>sumber</v>
      </c>
      <c r="G107" s="33" t="s">
        <v>33</v>
      </c>
      <c r="H107" s="36"/>
      <c r="I107" s="33">
        <v>1.0</v>
      </c>
      <c r="J107" s="33">
        <v>1.0</v>
      </c>
      <c r="K107" s="33" t="s">
        <v>287</v>
      </c>
      <c r="L107" s="33">
        <v>0.0</v>
      </c>
      <c r="M107" s="33">
        <v>0.0</v>
      </c>
      <c r="N107" s="37">
        <v>0.0</v>
      </c>
      <c r="O107" s="33">
        <v>0.0</v>
      </c>
      <c r="P107" s="33">
        <v>0.0</v>
      </c>
      <c r="Q107" s="33" t="s">
        <v>53</v>
      </c>
      <c r="R107" s="33" t="s">
        <v>53</v>
      </c>
      <c r="S107" s="36"/>
      <c r="T107" s="33">
        <v>0.0</v>
      </c>
      <c r="U107" s="33">
        <v>0.0</v>
      </c>
      <c r="V107" s="33">
        <v>0.0</v>
      </c>
      <c r="W107" s="36"/>
      <c r="X107" s="36"/>
      <c r="Y107" s="36"/>
      <c r="Z107" s="45"/>
      <c r="AA107" s="45"/>
      <c r="AB107" s="45"/>
      <c r="AC107" s="45"/>
      <c r="AD107" s="45"/>
      <c r="AE107" s="45"/>
      <c r="AF107" s="45"/>
    </row>
    <row r="108">
      <c r="A108" s="32">
        <v>1.0</v>
      </c>
      <c r="B108" s="32" t="s">
        <v>288</v>
      </c>
      <c r="C108" s="33">
        <v>366.0</v>
      </c>
      <c r="D108" s="33">
        <v>7.0</v>
      </c>
      <c r="E108" s="34">
        <v>43745.0</v>
      </c>
      <c r="F108" s="35" t="str">
        <f>HYPERLINK("https://www.tribunnews.com/regional/2019/07/10/modus-kemalaman-dan-ajak-bermalam-di-kantor-lelaki-di-sulut-ini-perkosa-wanita-rekan-sendiri ","sumber")</f>
        <v>sumber</v>
      </c>
      <c r="G108" s="33" t="s">
        <v>33</v>
      </c>
      <c r="H108" s="36"/>
      <c r="I108" s="33">
        <v>1.0</v>
      </c>
      <c r="J108" s="33">
        <v>1.0</v>
      </c>
      <c r="K108" s="33" t="s">
        <v>289</v>
      </c>
      <c r="L108" s="33">
        <v>0.0</v>
      </c>
      <c r="M108" s="33">
        <v>0.0</v>
      </c>
      <c r="N108" s="37">
        <v>0.0</v>
      </c>
      <c r="O108" s="33">
        <v>1.0</v>
      </c>
      <c r="P108" s="33">
        <v>0.0</v>
      </c>
      <c r="Q108" s="33">
        <v>0.0</v>
      </c>
      <c r="R108" s="33">
        <v>0.0</v>
      </c>
      <c r="S108" s="36"/>
      <c r="T108" s="33">
        <v>0.0</v>
      </c>
      <c r="U108" s="33">
        <v>0.0</v>
      </c>
      <c r="V108" s="33">
        <v>0.0</v>
      </c>
      <c r="W108" s="36"/>
      <c r="X108" s="36"/>
      <c r="Y108" s="36"/>
      <c r="Z108" s="45"/>
      <c r="AA108" s="45"/>
      <c r="AB108" s="45"/>
      <c r="AC108" s="45"/>
      <c r="AD108" s="45"/>
      <c r="AE108" s="45"/>
      <c r="AF108" s="45"/>
    </row>
    <row r="109">
      <c r="A109" s="32">
        <v>1.0</v>
      </c>
      <c r="B109" s="32" t="s">
        <v>290</v>
      </c>
      <c r="C109" s="33">
        <v>367.0</v>
      </c>
      <c r="D109" s="33">
        <v>9.0</v>
      </c>
      <c r="E109" s="34">
        <v>43806.0</v>
      </c>
      <c r="F109" s="35" t="str">
        <f>HYPERLINK("https://nasional.republika.co.id/berita/pui5kf440/babak-baru-kasus-pelecehan-baiq-nuril ","sumber")</f>
        <v>sumber</v>
      </c>
      <c r="G109" s="33" t="s">
        <v>33</v>
      </c>
      <c r="H109" s="36"/>
      <c r="I109" s="33">
        <v>1.0</v>
      </c>
      <c r="J109" s="33">
        <v>1.0</v>
      </c>
      <c r="K109" s="33" t="s">
        <v>291</v>
      </c>
      <c r="L109" s="33">
        <v>0.0</v>
      </c>
      <c r="M109" s="33">
        <v>0.0</v>
      </c>
      <c r="N109" s="37">
        <v>0.0</v>
      </c>
      <c r="O109" s="33">
        <v>0.0</v>
      </c>
      <c r="P109" s="33">
        <v>0.0</v>
      </c>
      <c r="Q109" s="33" t="s">
        <v>53</v>
      </c>
      <c r="R109" s="33" t="s">
        <v>53</v>
      </c>
      <c r="S109" s="36"/>
      <c r="T109" s="33">
        <v>0.0</v>
      </c>
      <c r="U109" s="33">
        <v>0.0</v>
      </c>
      <c r="V109" s="33">
        <v>0.0</v>
      </c>
      <c r="W109" s="36"/>
      <c r="X109" s="36"/>
      <c r="Y109" s="36"/>
      <c r="Z109" s="45"/>
      <c r="AA109" s="45"/>
      <c r="AB109" s="45"/>
      <c r="AC109" s="45"/>
      <c r="AD109" s="45"/>
      <c r="AE109" s="45"/>
      <c r="AF109" s="45"/>
    </row>
    <row r="110">
      <c r="A110" s="32">
        <v>1.0</v>
      </c>
      <c r="B110" s="32" t="s">
        <v>292</v>
      </c>
      <c r="C110" s="33">
        <v>368.0</v>
      </c>
      <c r="D110" s="33">
        <v>4.0</v>
      </c>
      <c r="E110" s="33" t="s">
        <v>293</v>
      </c>
      <c r="F110" s="35" t="str">
        <f>HYPERLINK("https://www.liputan6.com/showbiz/read/4015795/saat-ditangkap-polisi-kang-ji-hwan-sedang-asyik-karaoke ","sumber")</f>
        <v>sumber</v>
      </c>
      <c r="G110" s="33" t="s">
        <v>33</v>
      </c>
      <c r="H110" s="36"/>
      <c r="I110" s="33">
        <v>1.0</v>
      </c>
      <c r="J110" s="33">
        <v>1.0</v>
      </c>
      <c r="K110" s="33"/>
      <c r="L110" s="33">
        <v>0.0</v>
      </c>
      <c r="M110" s="33">
        <v>0.0</v>
      </c>
      <c r="N110" s="37">
        <v>0.0</v>
      </c>
      <c r="O110" s="33">
        <v>0.0</v>
      </c>
      <c r="P110" s="33">
        <v>0.0</v>
      </c>
      <c r="Q110" s="33"/>
      <c r="R110" s="33"/>
      <c r="S110" s="36"/>
      <c r="T110" s="33">
        <v>0.0</v>
      </c>
      <c r="U110" s="33">
        <v>0.0</v>
      </c>
      <c r="V110" s="33">
        <v>0.0</v>
      </c>
      <c r="W110" s="36"/>
      <c r="X110" s="36"/>
      <c r="Y110" s="36"/>
      <c r="Z110" s="45"/>
      <c r="AA110" s="45"/>
      <c r="AB110" s="45"/>
      <c r="AC110" s="45"/>
      <c r="AD110" s="45"/>
      <c r="AE110" s="45"/>
      <c r="AF110" s="45"/>
    </row>
    <row r="111">
      <c r="A111" s="32">
        <v>1.0</v>
      </c>
      <c r="B111" s="32" t="s">
        <v>294</v>
      </c>
      <c r="C111" s="33">
        <v>369.0</v>
      </c>
      <c r="D111" s="33">
        <v>5.0</v>
      </c>
      <c r="E111" s="33" t="s">
        <v>295</v>
      </c>
      <c r="F111" s="35" t="str">
        <f>HYPERLINK("https://tirto.id/setujui-amnesti-baiq-nuril-dpr-juga-minta-kasus-pelecehan-diusut-eeZh ","sumber")</f>
        <v>sumber</v>
      </c>
      <c r="G111" s="33" t="s">
        <v>33</v>
      </c>
      <c r="H111" s="36"/>
      <c r="I111" s="33">
        <v>1.0</v>
      </c>
      <c r="J111" s="33">
        <v>1.0</v>
      </c>
      <c r="K111" s="33" t="s">
        <v>296</v>
      </c>
      <c r="L111" s="33">
        <v>0.0</v>
      </c>
      <c r="M111" s="33">
        <v>0.0</v>
      </c>
      <c r="N111" s="37">
        <v>0.0</v>
      </c>
      <c r="O111" s="33">
        <v>0.0</v>
      </c>
      <c r="P111" s="33">
        <v>0.0</v>
      </c>
      <c r="Q111" s="33">
        <v>0.0</v>
      </c>
      <c r="R111" s="33">
        <v>0.0</v>
      </c>
      <c r="S111" s="36"/>
      <c r="T111" s="33">
        <v>0.0</v>
      </c>
      <c r="U111" s="33">
        <v>0.0</v>
      </c>
      <c r="V111" s="33">
        <v>0.0</v>
      </c>
      <c r="W111" s="36"/>
      <c r="X111" s="36"/>
      <c r="Y111" s="36"/>
      <c r="Z111" s="45"/>
      <c r="AA111" s="45"/>
      <c r="AB111" s="45"/>
      <c r="AC111" s="45"/>
      <c r="AD111" s="45"/>
      <c r="AE111" s="45"/>
      <c r="AF111" s="45"/>
    </row>
    <row r="112">
      <c r="A112" s="32">
        <v>1.0</v>
      </c>
      <c r="B112" s="32" t="s">
        <v>297</v>
      </c>
      <c r="C112" s="33">
        <v>370.0</v>
      </c>
      <c r="D112" s="33">
        <v>8.0</v>
      </c>
      <c r="E112" s="34">
        <v>43685.0</v>
      </c>
      <c r="F112" s="35" t="str">
        <f>HYPERLINK("https://www.suara.com/news/2019/08/08/130421/pencari-suaka-afganistan-diduga-pesta-seks-dengan-2-perempuan-indonesia ","sumber")</f>
        <v>sumber</v>
      </c>
      <c r="G112" s="33" t="s">
        <v>33</v>
      </c>
      <c r="H112" s="36"/>
      <c r="I112" s="33">
        <v>1.0</v>
      </c>
      <c r="J112" s="33">
        <v>1.0</v>
      </c>
      <c r="K112" s="33" t="s">
        <v>298</v>
      </c>
      <c r="L112" s="33">
        <v>0.0</v>
      </c>
      <c r="M112" s="33">
        <v>0.0</v>
      </c>
      <c r="N112" s="37">
        <v>0.0</v>
      </c>
      <c r="O112" s="33">
        <v>0.0</v>
      </c>
      <c r="P112" s="33">
        <v>0.0</v>
      </c>
      <c r="Q112" s="33">
        <v>0.0</v>
      </c>
      <c r="R112" s="33">
        <v>0.0</v>
      </c>
      <c r="S112" s="36"/>
      <c r="T112" s="33">
        <v>0.0</v>
      </c>
      <c r="U112" s="33">
        <v>0.0</v>
      </c>
      <c r="V112" s="33">
        <v>0.0</v>
      </c>
      <c r="W112" s="36"/>
      <c r="X112" s="36"/>
      <c r="Y112" s="36"/>
      <c r="Z112" s="45"/>
      <c r="AA112" s="45"/>
      <c r="AB112" s="45"/>
      <c r="AC112" s="45"/>
      <c r="AD112" s="45"/>
      <c r="AE112" s="45"/>
      <c r="AF112" s="45"/>
    </row>
    <row r="113">
      <c r="A113" s="24">
        <v>1.0</v>
      </c>
      <c r="B113" s="24" t="s">
        <v>299</v>
      </c>
      <c r="C113" s="25">
        <v>371.0</v>
      </c>
      <c r="D113" s="25">
        <v>7.0</v>
      </c>
      <c r="E113" s="25" t="s">
        <v>300</v>
      </c>
      <c r="F113" s="27" t="str">
        <f>HYPERLINK("https://www.tribunnews.com/metropolitan/2019/08/18/pelaku-pelecehan-seksual-di-gerbong-krl-ditangkap-mengaku-pengantin-baru ","sumber")</f>
        <v>sumber</v>
      </c>
      <c r="G113" s="25" t="s">
        <v>33</v>
      </c>
      <c r="H113" s="25">
        <v>232.0</v>
      </c>
      <c r="I113" s="25">
        <v>1.0</v>
      </c>
      <c r="J113" s="25">
        <v>1.0</v>
      </c>
      <c r="K113" s="25" t="s">
        <v>301</v>
      </c>
      <c r="L113" s="25">
        <v>0.0</v>
      </c>
      <c r="M113" s="25">
        <v>0.0</v>
      </c>
      <c r="N113" s="38">
        <v>0.0</v>
      </c>
      <c r="O113" s="25">
        <v>0.0</v>
      </c>
      <c r="P113" s="25">
        <v>0.0</v>
      </c>
      <c r="Q113" s="25">
        <v>0.0</v>
      </c>
      <c r="R113" s="25">
        <v>0.0</v>
      </c>
      <c r="S113" s="29"/>
      <c r="T113" s="25">
        <v>0.0</v>
      </c>
      <c r="U113" s="25">
        <v>0.0</v>
      </c>
      <c r="V113" s="25">
        <v>0.0</v>
      </c>
      <c r="W113" s="29"/>
      <c r="X113" s="29"/>
      <c r="Y113" s="29"/>
      <c r="Z113" s="46"/>
      <c r="AA113" s="46"/>
      <c r="AB113" s="46"/>
      <c r="AC113" s="46"/>
      <c r="AD113" s="46"/>
      <c r="AE113" s="46"/>
      <c r="AF113" s="46"/>
    </row>
    <row r="114">
      <c r="A114" s="32">
        <v>1.0</v>
      </c>
      <c r="B114" s="32" t="s">
        <v>302</v>
      </c>
      <c r="C114" s="33">
        <v>372.0</v>
      </c>
      <c r="D114" s="33">
        <v>8.0</v>
      </c>
      <c r="E114" s="33" t="s">
        <v>303</v>
      </c>
      <c r="F114" s="35" t="str">
        <f>HYPERLINK("https://jatim.suara.com/read/2019/08/14/210339/khusus-threesome-dian-jual-istri-siri-di-grup-fb-pasutri-bahagia ","sumber")</f>
        <v>sumber</v>
      </c>
      <c r="G114" s="33" t="s">
        <v>33</v>
      </c>
      <c r="H114" s="36"/>
      <c r="I114" s="33">
        <v>1.0</v>
      </c>
      <c r="J114" s="33">
        <v>1.0</v>
      </c>
      <c r="K114" s="33" t="s">
        <v>304</v>
      </c>
      <c r="L114" s="33">
        <v>0.0</v>
      </c>
      <c r="M114" s="33">
        <v>0.0</v>
      </c>
      <c r="N114" s="37">
        <v>0.0</v>
      </c>
      <c r="O114" s="33">
        <v>0.0</v>
      </c>
      <c r="P114" s="33">
        <v>0.0</v>
      </c>
      <c r="Q114" s="33">
        <v>0.0</v>
      </c>
      <c r="R114" s="33">
        <v>0.0</v>
      </c>
      <c r="S114" s="36"/>
      <c r="T114" s="33">
        <v>0.0</v>
      </c>
      <c r="U114" s="33">
        <v>0.0</v>
      </c>
      <c r="V114" s="33">
        <v>0.0</v>
      </c>
      <c r="W114" s="36"/>
      <c r="X114" s="36"/>
      <c r="Y114" s="36"/>
      <c r="Z114" s="45"/>
      <c r="AA114" s="45"/>
      <c r="AB114" s="45"/>
      <c r="AC114" s="45"/>
      <c r="AD114" s="45"/>
      <c r="AE114" s="45"/>
      <c r="AF114" s="45"/>
    </row>
    <row r="115">
      <c r="A115" s="32">
        <v>1.0</v>
      </c>
      <c r="B115" s="32" t="s">
        <v>305</v>
      </c>
      <c r="C115" s="33">
        <v>373.0</v>
      </c>
      <c r="D115" s="33">
        <v>1.0</v>
      </c>
      <c r="E115" s="33" t="s">
        <v>306</v>
      </c>
      <c r="F115" s="35" t="str">
        <f>HYPERLINK("https://news.detik.com/berita/d-4680262/lpsk-sayangkan-anggaran-turun-drastis-permohonan-layanan-naik-signifikan ","sumber")</f>
        <v>sumber</v>
      </c>
      <c r="G115" s="33" t="s">
        <v>33</v>
      </c>
      <c r="H115" s="36"/>
      <c r="I115" s="33">
        <v>4.0</v>
      </c>
      <c r="J115" s="33">
        <v>1.0</v>
      </c>
      <c r="K115" s="33" t="s">
        <v>307</v>
      </c>
      <c r="L115" s="33">
        <v>0.0</v>
      </c>
      <c r="M115" s="33">
        <v>0.0</v>
      </c>
      <c r="N115" s="37">
        <v>0.0</v>
      </c>
      <c r="O115" s="33">
        <v>0.0</v>
      </c>
      <c r="P115" s="33">
        <v>0.0</v>
      </c>
      <c r="Q115" s="33" t="s">
        <v>61</v>
      </c>
      <c r="R115" s="33" t="s">
        <v>192</v>
      </c>
      <c r="S115" s="36"/>
      <c r="T115" s="33">
        <v>0.0</v>
      </c>
      <c r="U115" s="33">
        <v>0.0</v>
      </c>
      <c r="V115" s="33">
        <v>1.0</v>
      </c>
      <c r="W115" s="36"/>
      <c r="X115" s="36"/>
      <c r="Y115" s="36"/>
      <c r="Z115" s="45"/>
      <c r="AA115" s="45"/>
      <c r="AB115" s="45"/>
      <c r="AC115" s="45"/>
      <c r="AD115" s="45"/>
      <c r="AE115" s="45"/>
      <c r="AF115" s="45"/>
    </row>
    <row r="116">
      <c r="A116" s="39">
        <v>2.0</v>
      </c>
      <c r="B116" s="39" t="s">
        <v>308</v>
      </c>
      <c r="C116" s="40">
        <v>374.0</v>
      </c>
      <c r="D116" s="40">
        <v>4.0</v>
      </c>
      <c r="E116" s="41"/>
      <c r="F116" s="42" t="str">
        <f>HYPERLINK("https://www.liputan6.com/global/read/4047289/kisah-matematikawan-era-pd-ii-alan-turing-dikebiri-kimia-akibat-homosekual ","sumber")</f>
        <v>sumber</v>
      </c>
      <c r="G116" s="40" t="s">
        <v>33</v>
      </c>
      <c r="H116" s="41"/>
      <c r="I116" s="41"/>
      <c r="J116" s="40">
        <v>1.0</v>
      </c>
      <c r="K116" s="41"/>
      <c r="L116" s="41"/>
      <c r="M116" s="41"/>
      <c r="N116" s="41"/>
      <c r="O116" s="41"/>
      <c r="P116" s="41"/>
      <c r="Q116" s="41"/>
      <c r="R116" s="41"/>
      <c r="S116" s="41"/>
      <c r="T116" s="41"/>
      <c r="U116" s="41"/>
      <c r="V116" s="41"/>
      <c r="W116" s="41"/>
      <c r="X116" s="41"/>
      <c r="Y116" s="41"/>
      <c r="Z116" s="47"/>
      <c r="AA116" s="43"/>
      <c r="AB116" s="48"/>
      <c r="AC116" s="48"/>
      <c r="AD116" s="48"/>
      <c r="AE116" s="48"/>
      <c r="AF116" s="48"/>
    </row>
    <row r="117">
      <c r="A117" s="32">
        <v>1.0</v>
      </c>
      <c r="B117" s="32" t="s">
        <v>309</v>
      </c>
      <c r="C117" s="33">
        <v>375.0</v>
      </c>
      <c r="D117" s="33">
        <v>7.0</v>
      </c>
      <c r="E117" s="33" t="s">
        <v>310</v>
      </c>
      <c r="F117" s="35" t="str">
        <f>HYPERLINK("https://www.tribunnews.com/nasional/2019/08/26/soal-vonis-kebiri-predator-anak-beda-pendapat-menteri-yohana-dan-khofifah-di-masa-lalu-jadi-sorotan ","sumber")</f>
        <v>sumber</v>
      </c>
      <c r="G117" s="33" t="s">
        <v>33</v>
      </c>
      <c r="H117" s="36"/>
      <c r="I117" s="33">
        <v>4.0</v>
      </c>
      <c r="J117" s="33">
        <v>1.0</v>
      </c>
      <c r="K117" s="33" t="s">
        <v>311</v>
      </c>
      <c r="L117" s="33">
        <v>0.0</v>
      </c>
      <c r="M117" s="33">
        <v>0.0</v>
      </c>
      <c r="N117" s="37">
        <v>0.0</v>
      </c>
      <c r="O117" s="33">
        <v>0.0</v>
      </c>
      <c r="P117" s="33">
        <v>0.0</v>
      </c>
      <c r="Q117" s="33" t="s">
        <v>53</v>
      </c>
      <c r="R117" s="33" t="s">
        <v>138</v>
      </c>
      <c r="S117" s="36"/>
      <c r="T117" s="33">
        <v>0.0</v>
      </c>
      <c r="U117" s="33">
        <v>0.0</v>
      </c>
      <c r="V117" s="33">
        <v>1.0</v>
      </c>
      <c r="W117" s="36"/>
      <c r="X117" s="36"/>
      <c r="Y117" s="36"/>
      <c r="Z117" s="45"/>
      <c r="AA117" s="45"/>
      <c r="AB117" s="45"/>
      <c r="AC117" s="45"/>
      <c r="AD117" s="45"/>
      <c r="AE117" s="45"/>
      <c r="AF117" s="45"/>
    </row>
    <row r="118">
      <c r="A118" s="24">
        <v>1.0</v>
      </c>
      <c r="B118" s="24" t="s">
        <v>312</v>
      </c>
      <c r="C118" s="25">
        <v>376.0</v>
      </c>
      <c r="D118" s="25">
        <v>1.0</v>
      </c>
      <c r="E118" s="26">
        <v>43624.0</v>
      </c>
      <c r="F118" s="27" t="str">
        <f>HYPERLINK(" https://news.detik.com/berita-jawa-timur/d-4654575/praktik-trafficking-di-pesisir-trenggalek-terbongkar ","sumber")</f>
        <v>sumber</v>
      </c>
      <c r="G118" s="25" t="s">
        <v>33</v>
      </c>
      <c r="H118" s="25">
        <v>434.0</v>
      </c>
      <c r="I118" s="25">
        <v>1.0</v>
      </c>
      <c r="J118" s="25">
        <v>1.0</v>
      </c>
      <c r="K118" s="25" t="s">
        <v>313</v>
      </c>
      <c r="L118" s="25">
        <v>0.0</v>
      </c>
      <c r="M118" s="25">
        <v>0.0</v>
      </c>
      <c r="N118" s="38">
        <v>0.0</v>
      </c>
      <c r="O118" s="25">
        <v>0.0</v>
      </c>
      <c r="P118" s="25">
        <v>0.0</v>
      </c>
      <c r="Q118" s="25" t="s">
        <v>61</v>
      </c>
      <c r="R118" s="25" t="s">
        <v>61</v>
      </c>
      <c r="S118" s="29"/>
      <c r="T118" s="25">
        <v>0.0</v>
      </c>
      <c r="U118" s="25">
        <v>0.0</v>
      </c>
      <c r="V118" s="25">
        <v>0.0</v>
      </c>
      <c r="W118" s="29"/>
      <c r="X118" s="29"/>
      <c r="Y118" s="29"/>
      <c r="Z118" s="46"/>
      <c r="AA118" s="46"/>
      <c r="AB118" s="46"/>
      <c r="AC118" s="46"/>
      <c r="AD118" s="46"/>
      <c r="AE118" s="46"/>
      <c r="AF118" s="46"/>
    </row>
    <row r="119">
      <c r="A119" s="32">
        <v>1.0</v>
      </c>
      <c r="B119" s="32" t="s">
        <v>314</v>
      </c>
      <c r="C119" s="33">
        <v>377.0</v>
      </c>
      <c r="D119" s="33">
        <v>3.0</v>
      </c>
      <c r="E119" s="33" t="s">
        <v>315</v>
      </c>
      <c r="F119" s="35" t="str">
        <f>HYPERLINK("https://nasional.okezone.com/read/2019/08/27/337/2097184/kpai-apresiasi-vonis-hukuman-kebiri-pemerkosa-9-anak-di-mojokerto ","sumber")</f>
        <v>sumber</v>
      </c>
      <c r="G119" s="33" t="s">
        <v>33</v>
      </c>
      <c r="H119" s="36"/>
      <c r="I119" s="33">
        <v>1.0</v>
      </c>
      <c r="J119" s="33">
        <v>1.0</v>
      </c>
      <c r="K119" s="33" t="s">
        <v>316</v>
      </c>
      <c r="L119" s="33">
        <v>0.0</v>
      </c>
      <c r="M119" s="33">
        <v>0.0</v>
      </c>
      <c r="N119" s="37">
        <v>0.0</v>
      </c>
      <c r="O119" s="33">
        <v>0.0</v>
      </c>
      <c r="P119" s="33">
        <v>0.0</v>
      </c>
      <c r="Q119" s="33">
        <v>0.0</v>
      </c>
      <c r="R119" s="33">
        <v>0.0</v>
      </c>
      <c r="S119" s="36"/>
      <c r="T119" s="33">
        <v>0.0</v>
      </c>
      <c r="U119" s="33">
        <v>0.0</v>
      </c>
      <c r="V119" s="33">
        <v>0.0</v>
      </c>
      <c r="W119" s="36"/>
      <c r="X119" s="36"/>
      <c r="Y119" s="36"/>
      <c r="Z119" s="45"/>
      <c r="AA119" s="45"/>
      <c r="AB119" s="45"/>
      <c r="AC119" s="45"/>
      <c r="AD119" s="45"/>
      <c r="AE119" s="45"/>
      <c r="AF119" s="45"/>
    </row>
    <row r="120">
      <c r="A120" s="32">
        <v>1.0</v>
      </c>
      <c r="B120" s="32" t="s">
        <v>317</v>
      </c>
      <c r="C120" s="33">
        <v>378.0</v>
      </c>
      <c r="D120" s="33">
        <v>2.0</v>
      </c>
      <c r="E120" s="33" t="s">
        <v>318</v>
      </c>
      <c r="F120" s="35" t="str">
        <f>HYPERLINK("https://www.cnnindonesia.com/internasional/20190829135326-113-425715/pedemo-jadi-korban-pelecehan-polisi-warga-hong-kong-protes ","sumber")</f>
        <v>sumber</v>
      </c>
      <c r="G120" s="33" t="s">
        <v>33</v>
      </c>
      <c r="H120" s="36"/>
      <c r="I120" s="33">
        <v>1.0</v>
      </c>
      <c r="J120" s="33">
        <v>1.0</v>
      </c>
      <c r="K120" s="33" t="s">
        <v>319</v>
      </c>
      <c r="L120" s="33">
        <v>0.0</v>
      </c>
      <c r="M120" s="33">
        <v>0.0</v>
      </c>
      <c r="N120" s="37">
        <v>0.0</v>
      </c>
      <c r="O120" s="33">
        <v>0.0</v>
      </c>
      <c r="P120" s="33">
        <v>0.0</v>
      </c>
      <c r="Q120" s="33" t="s">
        <v>61</v>
      </c>
      <c r="R120" s="33" t="s">
        <v>85</v>
      </c>
      <c r="S120" s="36"/>
      <c r="T120" s="33">
        <v>0.0</v>
      </c>
      <c r="U120" s="33">
        <v>0.0</v>
      </c>
      <c r="V120" s="33">
        <v>0.0</v>
      </c>
      <c r="W120" s="36"/>
      <c r="X120" s="36"/>
      <c r="Y120" s="36"/>
      <c r="Z120" s="45"/>
      <c r="AA120" s="45"/>
      <c r="AB120" s="45"/>
      <c r="AC120" s="45"/>
      <c r="AD120" s="45"/>
      <c r="AE120" s="45"/>
      <c r="AF120" s="45"/>
    </row>
    <row r="121">
      <c r="A121" s="24">
        <v>1.0</v>
      </c>
      <c r="B121" s="24" t="s">
        <v>320</v>
      </c>
      <c r="C121" s="25">
        <v>379.0</v>
      </c>
      <c r="D121" s="25">
        <v>5.0</v>
      </c>
      <c r="E121" s="26">
        <v>43716.0</v>
      </c>
      <c r="F121" s="27" t="str">
        <f>HYPERLINK("https://tirto.id/polisi-selidiki-kasus-begal-payudara-di-bintaro-efYC ","sumber")</f>
        <v>sumber</v>
      </c>
      <c r="G121" s="25" t="s">
        <v>33</v>
      </c>
      <c r="H121" s="25">
        <v>311.0</v>
      </c>
      <c r="I121" s="25">
        <v>1.0</v>
      </c>
      <c r="J121" s="25">
        <v>1.0</v>
      </c>
      <c r="K121" s="25" t="s">
        <v>321</v>
      </c>
      <c r="L121" s="25">
        <v>0.0</v>
      </c>
      <c r="M121" s="25">
        <v>0.0</v>
      </c>
      <c r="N121" s="38">
        <v>0.0</v>
      </c>
      <c r="O121" s="25">
        <v>0.0</v>
      </c>
      <c r="P121" s="25">
        <v>0.0</v>
      </c>
      <c r="Q121" s="25" t="s">
        <v>61</v>
      </c>
      <c r="R121" s="25" t="s">
        <v>61</v>
      </c>
      <c r="S121" s="29"/>
      <c r="T121" s="25">
        <v>0.0</v>
      </c>
      <c r="U121" s="25">
        <v>0.0</v>
      </c>
      <c r="V121" s="25">
        <v>0.0</v>
      </c>
      <c r="W121" s="29"/>
      <c r="X121" s="29"/>
      <c r="Y121" s="29"/>
      <c r="Z121" s="46"/>
      <c r="AA121" s="46"/>
      <c r="AB121" s="46"/>
      <c r="AC121" s="46"/>
      <c r="AD121" s="46"/>
      <c r="AE121" s="46"/>
      <c r="AF121" s="46"/>
    </row>
    <row r="122">
      <c r="A122" s="24">
        <v>1.0</v>
      </c>
      <c r="B122" s="24" t="s">
        <v>322</v>
      </c>
      <c r="C122" s="25">
        <v>380.0</v>
      </c>
      <c r="D122" s="25">
        <v>2.0</v>
      </c>
      <c r="E122" s="26">
        <v>43474.0</v>
      </c>
      <c r="F122" s="27" t="str">
        <f>HYPERLINK("https://www.cnnindonesia.com/nasional/20190901192625-12-426609/polisi-selidiki-kasus-pembunuhan-perempuan-baduy ","sumber")</f>
        <v>sumber</v>
      </c>
      <c r="G122" s="25" t="s">
        <v>33</v>
      </c>
      <c r="H122" s="25">
        <v>290.0</v>
      </c>
      <c r="I122" s="25">
        <v>1.0</v>
      </c>
      <c r="J122" s="25">
        <v>1.0</v>
      </c>
      <c r="K122" s="25" t="s">
        <v>323</v>
      </c>
      <c r="L122" s="25">
        <v>0.0</v>
      </c>
      <c r="M122" s="25">
        <v>0.0</v>
      </c>
      <c r="N122" s="38">
        <v>0.0</v>
      </c>
      <c r="O122" s="25">
        <v>0.0</v>
      </c>
      <c r="P122" s="25">
        <v>0.0</v>
      </c>
      <c r="Q122" s="25">
        <v>0.0</v>
      </c>
      <c r="R122" s="25">
        <v>0.0</v>
      </c>
      <c r="S122" s="29"/>
      <c r="T122" s="25">
        <v>0.0</v>
      </c>
      <c r="U122" s="25">
        <v>-1.0</v>
      </c>
      <c r="V122" s="25">
        <v>0.0</v>
      </c>
      <c r="W122" s="29"/>
      <c r="X122" s="29"/>
      <c r="Y122" s="29"/>
      <c r="Z122" s="46"/>
      <c r="AA122" s="46"/>
      <c r="AB122" s="46"/>
      <c r="AC122" s="46"/>
      <c r="AD122" s="46"/>
      <c r="AE122" s="46"/>
      <c r="AF122" s="46"/>
    </row>
    <row r="123">
      <c r="A123" s="32">
        <v>1.0</v>
      </c>
      <c r="B123" s="32" t="s">
        <v>324</v>
      </c>
      <c r="C123" s="33">
        <v>381.0</v>
      </c>
      <c r="D123" s="33">
        <v>1.0</v>
      </c>
      <c r="E123" s="34">
        <v>43474.0</v>
      </c>
      <c r="F123" s="35" t="str">
        <f>HYPERLINK("https://hot.detik.com/celeb/d-4688854/doddy-soedrajat-disebut-menjual-vanessa-angel-lewat-prostitusi-online ","sumber")</f>
        <v>sumber</v>
      </c>
      <c r="G123" s="33" t="s">
        <v>33</v>
      </c>
      <c r="H123" s="36"/>
      <c r="I123" s="33">
        <v>1.0</v>
      </c>
      <c r="J123" s="33">
        <v>1.0</v>
      </c>
      <c r="K123" s="50" t="s">
        <v>325</v>
      </c>
      <c r="L123" s="33">
        <v>0.0</v>
      </c>
      <c r="M123" s="33">
        <v>-1.0</v>
      </c>
      <c r="N123" s="33">
        <v>-1.0</v>
      </c>
      <c r="O123" s="33">
        <v>0.0</v>
      </c>
      <c r="P123" s="33">
        <v>0.0</v>
      </c>
      <c r="Q123" s="33">
        <v>0.0</v>
      </c>
      <c r="R123" s="33">
        <v>-1.0</v>
      </c>
      <c r="S123" s="36"/>
      <c r="T123" s="33">
        <v>0.0</v>
      </c>
      <c r="U123" s="33">
        <v>0.0</v>
      </c>
      <c r="V123" s="33">
        <v>0.0</v>
      </c>
      <c r="W123" s="36"/>
      <c r="X123" s="36"/>
      <c r="Y123" s="36"/>
      <c r="Z123" s="45"/>
      <c r="AA123" s="45"/>
      <c r="AB123" s="45"/>
      <c r="AC123" s="45"/>
      <c r="AD123" s="45"/>
      <c r="AE123" s="45"/>
      <c r="AF123" s="45"/>
    </row>
    <row r="124">
      <c r="A124" s="32">
        <v>1.0</v>
      </c>
      <c r="B124" s="32" t="s">
        <v>326</v>
      </c>
      <c r="C124" s="33">
        <v>382.0</v>
      </c>
      <c r="D124" s="33">
        <v>7.0</v>
      </c>
      <c r="E124" s="34">
        <v>43474.0</v>
      </c>
      <c r="F124" s="35" t="str">
        <f>HYPERLINK("https://www.tribunnews.com/seleb/2019/09/01/nikita-mirzani-tak-buka-pintu-maaf-dan-laporkan-putri-angkat-elza-syarief-ke-polisi ","sumber")</f>
        <v>sumber</v>
      </c>
      <c r="G124" s="33" t="s">
        <v>33</v>
      </c>
      <c r="H124" s="36"/>
      <c r="I124" s="33">
        <v>1.0</v>
      </c>
      <c r="J124" s="33">
        <v>1.0</v>
      </c>
      <c r="K124" s="33" t="s">
        <v>327</v>
      </c>
      <c r="L124" s="33">
        <v>0.0</v>
      </c>
      <c r="M124" s="33">
        <v>0.0</v>
      </c>
      <c r="N124" s="37">
        <v>0.0</v>
      </c>
      <c r="O124" s="33">
        <v>0.0</v>
      </c>
      <c r="P124" s="33">
        <v>0.0</v>
      </c>
      <c r="Q124" s="33">
        <v>2.0</v>
      </c>
      <c r="R124" s="33">
        <v>0.0</v>
      </c>
      <c r="S124" s="36"/>
      <c r="T124" s="33">
        <v>0.0</v>
      </c>
      <c r="U124" s="33">
        <v>0.0</v>
      </c>
      <c r="V124" s="33">
        <v>0.0</v>
      </c>
      <c r="W124" s="36"/>
      <c r="X124" s="36"/>
      <c r="Y124" s="36"/>
      <c r="Z124" s="45"/>
      <c r="AA124" s="45"/>
      <c r="AB124" s="45"/>
      <c r="AC124" s="45"/>
      <c r="AD124" s="45"/>
      <c r="AE124" s="45"/>
      <c r="AF124" s="45"/>
    </row>
    <row r="125">
      <c r="A125" s="39">
        <v>2.0</v>
      </c>
      <c r="B125" s="39" t="s">
        <v>328</v>
      </c>
      <c r="C125" s="40">
        <v>383.0</v>
      </c>
      <c r="D125" s="40">
        <v>10.0</v>
      </c>
      <c r="E125" s="41"/>
      <c r="F125" s="42" t="str">
        <f>HYPERLINK("https://bola.tempo.co/read/1242925/gol-ke-2-lukaku-di-inter-milan-dan-rasisme-suporter-di-cagliari ","sumber")</f>
        <v>sumber</v>
      </c>
      <c r="G125" s="40" t="s">
        <v>33</v>
      </c>
      <c r="H125" s="41"/>
      <c r="I125" s="41"/>
      <c r="J125" s="40">
        <v>1.0</v>
      </c>
      <c r="K125" s="41"/>
      <c r="L125" s="41"/>
      <c r="M125" s="41"/>
      <c r="N125" s="41"/>
      <c r="O125" s="41"/>
      <c r="P125" s="41"/>
      <c r="Q125" s="41"/>
      <c r="R125" s="41"/>
      <c r="S125" s="41"/>
      <c r="T125" s="41"/>
      <c r="U125" s="41"/>
      <c r="V125" s="41"/>
      <c r="W125" s="41"/>
      <c r="X125" s="41"/>
      <c r="Y125" s="41"/>
      <c r="Z125" s="47"/>
      <c r="AA125" s="43"/>
      <c r="AB125" s="48"/>
      <c r="AC125" s="48"/>
      <c r="AD125" s="48"/>
      <c r="AE125" s="48"/>
      <c r="AF125" s="48"/>
    </row>
    <row r="126">
      <c r="A126" s="24">
        <v>1.0</v>
      </c>
      <c r="B126" s="24" t="s">
        <v>329</v>
      </c>
      <c r="C126" s="25">
        <v>384.0</v>
      </c>
      <c r="D126" s="25">
        <v>1.0</v>
      </c>
      <c r="E126" s="26">
        <v>43533.0</v>
      </c>
      <c r="F126" s="27" t="str">
        <f>HYPERLINK(" https://news.detik.com/berita/d-4691567/kasus-kadis-cium-pipi-staf-saat-selfie-naik-ke-penyidikan ","sumber")</f>
        <v>sumber</v>
      </c>
      <c r="G126" s="25" t="s">
        <v>33</v>
      </c>
      <c r="H126" s="25">
        <v>297.0</v>
      </c>
      <c r="I126" s="25">
        <v>1.0</v>
      </c>
      <c r="J126" s="25">
        <v>1.0</v>
      </c>
      <c r="K126" s="25" t="s">
        <v>330</v>
      </c>
      <c r="L126" s="25">
        <v>0.0</v>
      </c>
      <c r="M126" s="25">
        <v>0.0</v>
      </c>
      <c r="N126" s="38">
        <v>0.0</v>
      </c>
      <c r="O126" s="25">
        <v>0.0</v>
      </c>
      <c r="P126" s="25">
        <v>0.0</v>
      </c>
      <c r="Q126" s="25" t="s">
        <v>61</v>
      </c>
      <c r="R126" s="25" t="s">
        <v>85</v>
      </c>
      <c r="S126" s="29"/>
      <c r="T126" s="25">
        <v>0.0</v>
      </c>
      <c r="U126" s="25">
        <v>0.0</v>
      </c>
      <c r="V126" s="25">
        <v>0.0</v>
      </c>
      <c r="W126" s="29"/>
      <c r="X126" s="29"/>
      <c r="Y126" s="29"/>
      <c r="Z126" s="46"/>
      <c r="AA126" s="46"/>
      <c r="AB126" s="46"/>
      <c r="AC126" s="46"/>
      <c r="AD126" s="46"/>
      <c r="AE126" s="46"/>
      <c r="AF126" s="46"/>
    </row>
    <row r="127">
      <c r="A127" s="39">
        <v>2.0</v>
      </c>
      <c r="B127" s="39" t="s">
        <v>331</v>
      </c>
      <c r="C127" s="40">
        <v>385.0</v>
      </c>
      <c r="D127" s="40">
        <v>4.0</v>
      </c>
      <c r="E127" s="41"/>
      <c r="F127" s="42" t="str">
        <f>HYPERLINK("https://www.liputan6.com/bola/read/4053816/paul-pogba-bela-lukaku-yang-jadi-korban-penghinaan-rasial ","sumber")</f>
        <v>sumber</v>
      </c>
      <c r="G127" s="40" t="s">
        <v>33</v>
      </c>
      <c r="H127" s="41"/>
      <c r="I127" s="41"/>
      <c r="J127" s="40">
        <v>1.0</v>
      </c>
      <c r="K127" s="41"/>
      <c r="L127" s="41"/>
      <c r="M127" s="41"/>
      <c r="N127" s="41"/>
      <c r="O127" s="41"/>
      <c r="P127" s="41"/>
      <c r="Q127" s="41"/>
      <c r="R127" s="41"/>
      <c r="S127" s="41"/>
      <c r="T127" s="41"/>
      <c r="U127" s="41"/>
      <c r="V127" s="41"/>
      <c r="W127" s="41"/>
      <c r="X127" s="41"/>
      <c r="Y127" s="41"/>
      <c r="Z127" s="47"/>
      <c r="AA127" s="43"/>
      <c r="AB127" s="48"/>
      <c r="AC127" s="48"/>
      <c r="AD127" s="48"/>
      <c r="AE127" s="48"/>
      <c r="AF127" s="48"/>
    </row>
    <row r="128">
      <c r="A128" s="32">
        <v>1.0</v>
      </c>
      <c r="B128" s="32" t="s">
        <v>332</v>
      </c>
      <c r="C128" s="33">
        <v>386.0</v>
      </c>
      <c r="D128" s="33">
        <v>1.0</v>
      </c>
      <c r="E128" s="34">
        <v>43564.0</v>
      </c>
      <c r="F128" s="35" t="str">
        <f>HYPERLINK("https://news.detik.com/berita/d-4692701/pemerkosa-bocah-di-bogor-remaja-17-tahun ","sumber")</f>
        <v>sumber</v>
      </c>
      <c r="G128" s="33" t="s">
        <v>33</v>
      </c>
      <c r="H128" s="36"/>
      <c r="I128" s="33">
        <v>1.0</v>
      </c>
      <c r="J128" s="33">
        <v>1.0</v>
      </c>
      <c r="K128" s="33" t="s">
        <v>333</v>
      </c>
      <c r="L128" s="33">
        <v>0.0</v>
      </c>
      <c r="M128" s="33">
        <v>0.0</v>
      </c>
      <c r="N128" s="33">
        <v>-1.0</v>
      </c>
      <c r="O128" s="33">
        <v>0.0</v>
      </c>
      <c r="P128" s="33">
        <v>0.0</v>
      </c>
      <c r="Q128" s="33">
        <v>0.0</v>
      </c>
      <c r="R128" s="33">
        <v>0.0</v>
      </c>
      <c r="S128" s="36"/>
      <c r="T128" s="33">
        <v>0.0</v>
      </c>
      <c r="U128" s="33">
        <v>0.0</v>
      </c>
      <c r="V128" s="33">
        <v>0.0</v>
      </c>
      <c r="W128" s="36"/>
      <c r="X128" s="36"/>
      <c r="Y128" s="36"/>
      <c r="Z128" s="45"/>
      <c r="AA128" s="45"/>
      <c r="AB128" s="45"/>
      <c r="AC128" s="45"/>
      <c r="AD128" s="45"/>
      <c r="AE128" s="45"/>
      <c r="AF128" s="45"/>
    </row>
    <row r="129">
      <c r="A129" s="32">
        <v>1.0</v>
      </c>
      <c r="B129" s="32" t="s">
        <v>334</v>
      </c>
      <c r="C129" s="33">
        <v>387.0</v>
      </c>
      <c r="D129" s="33">
        <v>5.0</v>
      </c>
      <c r="E129" s="34">
        <v>43564.0</v>
      </c>
      <c r="F129" s="35" t="str">
        <f>HYPERLINK("https://tirto.id/rkuhp-paksa-pasangan-sah-bersetubuh-terancam-12-tahun-penjara-ehtW ","sumber")</f>
        <v>sumber</v>
      </c>
      <c r="G129" s="33" t="s">
        <v>33</v>
      </c>
      <c r="H129" s="36"/>
      <c r="I129" s="33">
        <v>4.0</v>
      </c>
      <c r="J129" s="33">
        <v>1.0</v>
      </c>
      <c r="K129" s="33" t="s">
        <v>335</v>
      </c>
      <c r="L129" s="33">
        <v>0.0</v>
      </c>
      <c r="M129" s="33">
        <v>0.0</v>
      </c>
      <c r="N129" s="37">
        <v>0.0</v>
      </c>
      <c r="O129" s="33">
        <v>0.0</v>
      </c>
      <c r="P129" s="33">
        <v>0.0</v>
      </c>
      <c r="Q129" s="33" t="s">
        <v>61</v>
      </c>
      <c r="R129" s="33" t="s">
        <v>192</v>
      </c>
      <c r="S129" s="36"/>
      <c r="T129" s="33">
        <v>0.0</v>
      </c>
      <c r="U129" s="33">
        <v>0.0</v>
      </c>
      <c r="V129" s="33">
        <v>1.0</v>
      </c>
      <c r="W129" s="36"/>
      <c r="X129" s="36"/>
      <c r="Y129" s="36"/>
      <c r="Z129" s="45"/>
      <c r="AA129" s="45"/>
      <c r="AB129" s="45"/>
      <c r="AC129" s="45"/>
      <c r="AD129" s="45"/>
      <c r="AE129" s="45"/>
      <c r="AF129" s="45"/>
    </row>
    <row r="130">
      <c r="A130" s="32">
        <v>1.0</v>
      </c>
      <c r="B130" s="32" t="s">
        <v>336</v>
      </c>
      <c r="C130" s="33">
        <v>388.0</v>
      </c>
      <c r="D130" s="33">
        <v>2.0</v>
      </c>
      <c r="E130" s="33" t="s">
        <v>337</v>
      </c>
      <c r="F130" s="35" t="str">
        <f>HYPERLINK("https://www.cnnindonesia.com/hiburan/20190926115109-234-434236/blinks-tak-terima-jennie-blackpink-disebut-penari-klub ","sumber")</f>
        <v>sumber</v>
      </c>
      <c r="G130" s="33" t="s">
        <v>33</v>
      </c>
      <c r="H130" s="36"/>
      <c r="I130" s="33">
        <v>1.0</v>
      </c>
      <c r="J130" s="33">
        <v>1.0</v>
      </c>
      <c r="K130" s="33" t="s">
        <v>338</v>
      </c>
      <c r="L130" s="33">
        <v>0.0</v>
      </c>
      <c r="M130" s="33">
        <v>0.0</v>
      </c>
      <c r="N130" s="37">
        <v>0.0</v>
      </c>
      <c r="O130" s="33">
        <v>0.0</v>
      </c>
      <c r="P130" s="33">
        <v>0.0</v>
      </c>
      <c r="Q130" s="33" t="s">
        <v>89</v>
      </c>
      <c r="R130" s="33" t="s">
        <v>89</v>
      </c>
      <c r="S130" s="36"/>
      <c r="T130" s="33">
        <v>0.0</v>
      </c>
      <c r="U130" s="33">
        <v>0.0</v>
      </c>
      <c r="V130" s="33">
        <v>0.0</v>
      </c>
      <c r="W130" s="36"/>
      <c r="X130" s="36"/>
      <c r="Y130" s="36"/>
      <c r="Z130" s="45"/>
      <c r="AA130" s="45"/>
      <c r="AB130" s="45"/>
      <c r="AC130" s="45"/>
      <c r="AD130" s="45"/>
      <c r="AE130" s="45"/>
      <c r="AF130" s="45"/>
    </row>
    <row r="131">
      <c r="A131" s="24">
        <v>1.0</v>
      </c>
      <c r="B131" s="24" t="s">
        <v>339</v>
      </c>
      <c r="C131" s="25">
        <v>389.0</v>
      </c>
      <c r="D131" s="25">
        <v>9.0</v>
      </c>
      <c r="E131" s="25" t="s">
        <v>337</v>
      </c>
      <c r="F131" s="27" t="str">
        <f>HYPERLINK("https://nasional.republika.co.id/berita/pyfoll335/demo-di-cimahi-diwarnai-aksi-selotip-mulut ","sumber")</f>
        <v>sumber</v>
      </c>
      <c r="G131" s="25" t="s">
        <v>33</v>
      </c>
      <c r="H131" s="25">
        <v>300.0</v>
      </c>
      <c r="I131" s="25">
        <v>1.0</v>
      </c>
      <c r="J131" s="25">
        <v>1.0</v>
      </c>
      <c r="K131" s="25" t="s">
        <v>340</v>
      </c>
      <c r="L131" s="25">
        <v>0.0</v>
      </c>
      <c r="M131" s="25">
        <v>0.0</v>
      </c>
      <c r="N131" s="38">
        <v>0.0</v>
      </c>
      <c r="O131" s="25">
        <v>0.0</v>
      </c>
      <c r="P131" s="25">
        <v>0.0</v>
      </c>
      <c r="Q131" s="25" t="s">
        <v>166</v>
      </c>
      <c r="R131" s="25" t="s">
        <v>341</v>
      </c>
      <c r="S131" s="29"/>
      <c r="T131" s="25">
        <v>0.0</v>
      </c>
      <c r="U131" s="25">
        <v>0.0</v>
      </c>
      <c r="V131" s="25">
        <v>0.0</v>
      </c>
      <c r="W131" s="29"/>
      <c r="X131" s="29"/>
      <c r="Y131" s="29"/>
      <c r="Z131" s="46"/>
      <c r="AA131" s="46"/>
      <c r="AB131" s="46"/>
      <c r="AC131" s="46"/>
      <c r="AD131" s="46"/>
      <c r="AE131" s="46"/>
      <c r="AF131" s="46"/>
    </row>
    <row r="132">
      <c r="A132" s="32">
        <v>1.0</v>
      </c>
      <c r="B132" s="32" t="s">
        <v>342</v>
      </c>
      <c r="C132" s="33">
        <v>390.0</v>
      </c>
      <c r="D132" s="33">
        <v>10.0</v>
      </c>
      <c r="E132" s="33" t="s">
        <v>337</v>
      </c>
      <c r="F132" s="35" t="str">
        <f>HYPERLINK("https://nasional.tempo.co/read/1252588/judul-saja-belum-disepakati-ketua-dpr-pastikan-ruu-pks-ditunda ","sumber")</f>
        <v>sumber</v>
      </c>
      <c r="G132" s="33" t="s">
        <v>33</v>
      </c>
      <c r="H132" s="36"/>
      <c r="I132" s="33">
        <v>4.0</v>
      </c>
      <c r="J132" s="33">
        <v>1.0</v>
      </c>
      <c r="K132" s="33" t="s">
        <v>343</v>
      </c>
      <c r="L132" s="33">
        <v>0.0</v>
      </c>
      <c r="M132" s="33">
        <v>0.0</v>
      </c>
      <c r="N132" s="37">
        <v>0.0</v>
      </c>
      <c r="O132" s="33">
        <v>0.0</v>
      </c>
      <c r="P132" s="33">
        <v>0.0</v>
      </c>
      <c r="Q132" s="33">
        <v>0.0</v>
      </c>
      <c r="R132" s="33">
        <v>0.0</v>
      </c>
      <c r="S132" s="36"/>
      <c r="T132" s="33">
        <v>0.0</v>
      </c>
      <c r="U132" s="33">
        <v>0.0</v>
      </c>
      <c r="V132" s="33">
        <v>1.0</v>
      </c>
      <c r="W132" s="36"/>
      <c r="X132" s="36"/>
      <c r="Y132" s="36"/>
      <c r="Z132" s="45"/>
      <c r="AA132" s="45"/>
      <c r="AB132" s="45"/>
      <c r="AC132" s="45"/>
      <c r="AD132" s="45"/>
      <c r="AE132" s="45"/>
      <c r="AF132" s="45"/>
    </row>
    <row r="133">
      <c r="A133" s="39">
        <v>2.0</v>
      </c>
      <c r="B133" s="39" t="s">
        <v>344</v>
      </c>
      <c r="C133" s="40">
        <v>2.0</v>
      </c>
      <c r="D133" s="40">
        <v>3.0</v>
      </c>
      <c r="E133" s="40"/>
      <c r="F133" s="42" t="str">
        <f>HYPERLINK("https://news.okezone.com/read/2019/01/17/337/2005565/peristiwa-17-januari-ditemukannya-puncak-everest-hingga-perjanjian-renville-indonesia-belanda ","sumber")</f>
        <v>sumber</v>
      </c>
      <c r="G133" s="40" t="s">
        <v>33</v>
      </c>
      <c r="H133" s="40"/>
      <c r="I133" s="41"/>
      <c r="J133" s="40">
        <v>4.0</v>
      </c>
      <c r="K133" s="41"/>
      <c r="L133" s="41"/>
      <c r="M133" s="41"/>
      <c r="N133" s="41"/>
      <c r="O133" s="41"/>
      <c r="P133" s="41"/>
      <c r="Q133" s="41"/>
      <c r="R133" s="41"/>
      <c r="S133" s="41"/>
      <c r="T133" s="41"/>
      <c r="U133" s="41"/>
      <c r="V133" s="41"/>
      <c r="W133" s="41"/>
      <c r="X133" s="41"/>
      <c r="Y133" s="41"/>
      <c r="Z133" s="43"/>
      <c r="AA133" s="43"/>
      <c r="AB133" s="51"/>
      <c r="AC133" s="51"/>
      <c r="AD133" s="51"/>
      <c r="AE133" s="51"/>
      <c r="AF133" s="51"/>
    </row>
    <row r="134">
      <c r="A134" s="32">
        <v>1.0</v>
      </c>
      <c r="B134" s="32" t="s">
        <v>345</v>
      </c>
      <c r="C134" s="33">
        <v>3.0</v>
      </c>
      <c r="D134" s="33">
        <v>2.0</v>
      </c>
      <c r="E134" s="33" t="s">
        <v>346</v>
      </c>
      <c r="F134" s="35" t="str">
        <f>HYPERLINK("https://www.cnnindonesia.com/nasional/20190125133616-12-363795/kontras-sebut-bebasnya-ahok-momentum-hapus-pasal-156a ","sumber")</f>
        <v>sumber</v>
      </c>
      <c r="G134" s="33" t="s">
        <v>33</v>
      </c>
      <c r="H134" s="33">
        <v>653.0</v>
      </c>
      <c r="I134" s="33">
        <v>4.0</v>
      </c>
      <c r="J134" s="33">
        <v>4.0</v>
      </c>
      <c r="K134" s="33" t="s">
        <v>347</v>
      </c>
      <c r="L134" s="33">
        <v>0.0</v>
      </c>
      <c r="M134" s="33">
        <v>0.0</v>
      </c>
      <c r="N134" s="37">
        <v>0.0</v>
      </c>
      <c r="O134" s="33">
        <v>0.0</v>
      </c>
      <c r="P134" s="33">
        <v>0.0</v>
      </c>
      <c r="Q134" s="33">
        <v>0.0</v>
      </c>
      <c r="R134" s="33">
        <v>1.0</v>
      </c>
      <c r="S134" s="33"/>
      <c r="T134" s="33">
        <v>0.0</v>
      </c>
      <c r="U134" s="33">
        <v>0.0</v>
      </c>
      <c r="V134" s="33">
        <v>1.0</v>
      </c>
      <c r="W134" s="36"/>
      <c r="X134" s="36"/>
      <c r="Y134" s="36"/>
      <c r="Z134" s="52"/>
      <c r="AA134" s="9"/>
      <c r="AB134" s="9"/>
      <c r="AC134" s="9"/>
      <c r="AD134" s="9"/>
      <c r="AE134" s="9"/>
      <c r="AF134" s="9"/>
    </row>
    <row r="135">
      <c r="A135" s="39">
        <v>2.0</v>
      </c>
      <c r="B135" s="39" t="s">
        <v>348</v>
      </c>
      <c r="C135" s="40">
        <v>4.0</v>
      </c>
      <c r="D135" s="40">
        <v>8.0</v>
      </c>
      <c r="E135" s="53"/>
      <c r="F135" s="42" t="str">
        <f>HYPERLINK("https://www.suara.com/news/2019/02/01/201108/jadi-pengacara-rocky-gerung-aktivis-ham-haris-azhar-diterpa-isu-miring ","sumber")</f>
        <v>sumber</v>
      </c>
      <c r="G135" s="40" t="s">
        <v>33</v>
      </c>
      <c r="H135" s="40"/>
      <c r="I135" s="41"/>
      <c r="J135" s="40">
        <v>4.0</v>
      </c>
      <c r="K135" s="41"/>
      <c r="L135" s="41"/>
      <c r="M135" s="41"/>
      <c r="N135" s="41"/>
      <c r="O135" s="41"/>
      <c r="P135" s="41"/>
      <c r="Q135" s="41"/>
      <c r="R135" s="41"/>
      <c r="S135" s="41"/>
      <c r="T135" s="41"/>
      <c r="U135" s="41"/>
      <c r="V135" s="41"/>
      <c r="W135" s="41"/>
      <c r="X135" s="41"/>
      <c r="Y135" s="41"/>
      <c r="Z135" s="43"/>
      <c r="AA135" s="43"/>
      <c r="AB135" s="51"/>
      <c r="AC135" s="51"/>
      <c r="AD135" s="51"/>
      <c r="AE135" s="51"/>
      <c r="AF135" s="51"/>
    </row>
    <row r="136">
      <c r="A136" s="39">
        <v>2.0</v>
      </c>
      <c r="B136" s="39" t="s">
        <v>349</v>
      </c>
      <c r="C136" s="40">
        <v>5.0</v>
      </c>
      <c r="D136" s="40">
        <v>1.0</v>
      </c>
      <c r="E136" s="41"/>
      <c r="F136" s="42" t="str">
        <f>HYPERLINK("https://news.detik.com/bbc-world/d-4411681/kisah-perjalanan-udara-yang-menentukan-revolusi-islam-iran ","sumber")</f>
        <v>sumber</v>
      </c>
      <c r="G136" s="40" t="s">
        <v>33</v>
      </c>
      <c r="H136" s="40"/>
      <c r="I136" s="41"/>
      <c r="J136" s="40">
        <v>4.0</v>
      </c>
      <c r="K136" s="41"/>
      <c r="L136" s="41"/>
      <c r="M136" s="41"/>
      <c r="N136" s="41"/>
      <c r="O136" s="41"/>
      <c r="P136" s="41"/>
      <c r="Q136" s="41"/>
      <c r="R136" s="41"/>
      <c r="S136" s="41"/>
      <c r="T136" s="41"/>
      <c r="U136" s="41"/>
      <c r="V136" s="41"/>
      <c r="W136" s="41"/>
      <c r="X136" s="41"/>
      <c r="Y136" s="41"/>
      <c r="Z136" s="43"/>
      <c r="AA136" s="43"/>
      <c r="AB136" s="51"/>
      <c r="AC136" s="51"/>
      <c r="AD136" s="51"/>
      <c r="AE136" s="51"/>
      <c r="AF136" s="51"/>
    </row>
    <row r="137">
      <c r="A137" s="39">
        <v>2.0</v>
      </c>
      <c r="B137" s="39" t="s">
        <v>350</v>
      </c>
      <c r="C137" s="40">
        <v>6.0</v>
      </c>
      <c r="D137" s="40">
        <v>1.0</v>
      </c>
      <c r="E137" s="41"/>
      <c r="F137" s="42" t="str">
        <f>HYPERLINK("https://news.detik.com/berita/d-4412559/cerita-horor-orang-hazara-diburu-taliban-hingga-ngungsi-ke-kalideres ","sumber")</f>
        <v>sumber</v>
      </c>
      <c r="G137" s="40" t="s">
        <v>33</v>
      </c>
      <c r="H137" s="40"/>
      <c r="I137" s="41"/>
      <c r="J137" s="40">
        <v>4.0</v>
      </c>
      <c r="K137" s="41"/>
      <c r="L137" s="41"/>
      <c r="M137" s="41"/>
      <c r="N137" s="41"/>
      <c r="O137" s="41"/>
      <c r="P137" s="41"/>
      <c r="Q137" s="41"/>
      <c r="R137" s="41"/>
      <c r="S137" s="41"/>
      <c r="T137" s="41"/>
      <c r="U137" s="41"/>
      <c r="V137" s="41"/>
      <c r="W137" s="41"/>
      <c r="X137" s="41"/>
      <c r="Y137" s="41"/>
      <c r="Z137" s="43"/>
      <c r="AA137" s="43"/>
      <c r="AB137" s="51"/>
      <c r="AC137" s="51"/>
      <c r="AD137" s="51"/>
      <c r="AE137" s="51"/>
      <c r="AF137" s="51"/>
    </row>
    <row r="138">
      <c r="A138" s="39">
        <v>2.0</v>
      </c>
      <c r="B138" s="39" t="s">
        <v>351</v>
      </c>
      <c r="C138" s="40">
        <v>7.0</v>
      </c>
      <c r="D138" s="40">
        <v>3.0</v>
      </c>
      <c r="E138" s="41"/>
      <c r="F138" s="42" t="str">
        <f>HYPERLINK("https://news.okezone.com/read/2019/02/10/65/2015933/daftar-100-perguruan-tinggi-terbaik-di-indonesia-versi-unirank ","sumber")</f>
        <v>sumber</v>
      </c>
      <c r="G138" s="40" t="s">
        <v>33</v>
      </c>
      <c r="H138" s="40"/>
      <c r="I138" s="41"/>
      <c r="J138" s="40">
        <v>4.0</v>
      </c>
      <c r="K138" s="41"/>
      <c r="L138" s="41"/>
      <c r="M138" s="41"/>
      <c r="N138" s="41"/>
      <c r="O138" s="41"/>
      <c r="P138" s="41"/>
      <c r="Q138" s="41"/>
      <c r="R138" s="41"/>
      <c r="S138" s="41"/>
      <c r="T138" s="41"/>
      <c r="U138" s="41"/>
      <c r="V138" s="41"/>
      <c r="W138" s="41"/>
      <c r="X138" s="41"/>
      <c r="Y138" s="41"/>
      <c r="Z138" s="43"/>
      <c r="AA138" s="43"/>
      <c r="AB138" s="51"/>
      <c r="AC138" s="51"/>
      <c r="AD138" s="51"/>
      <c r="AE138" s="51"/>
      <c r="AF138" s="51"/>
    </row>
    <row r="139">
      <c r="A139" s="39">
        <v>2.0</v>
      </c>
      <c r="B139" s="39" t="s">
        <v>352</v>
      </c>
      <c r="C139" s="40">
        <v>8.0</v>
      </c>
      <c r="D139" s="40">
        <v>2.0</v>
      </c>
      <c r="E139" s="41"/>
      <c r="F139" s="42" t="str">
        <f>HYPERLINK("https://www.cnnindonesia.com/internasional/20190214200320-120-369418/iran-janji-balas-serangan-bom-tuding-as-israel-dalang-teror ","sumber")</f>
        <v>sumber</v>
      </c>
      <c r="G139" s="40" t="s">
        <v>33</v>
      </c>
      <c r="H139" s="40"/>
      <c r="I139" s="41"/>
      <c r="J139" s="40">
        <v>4.0</v>
      </c>
      <c r="K139" s="41"/>
      <c r="L139" s="41"/>
      <c r="M139" s="41"/>
      <c r="N139" s="41"/>
      <c r="O139" s="41"/>
      <c r="P139" s="41"/>
      <c r="Q139" s="41"/>
      <c r="R139" s="41"/>
      <c r="S139" s="41"/>
      <c r="T139" s="41"/>
      <c r="U139" s="41"/>
      <c r="V139" s="41"/>
      <c r="W139" s="41"/>
      <c r="X139" s="41"/>
      <c r="Y139" s="41"/>
      <c r="Z139" s="43"/>
      <c r="AA139" s="43"/>
      <c r="AB139" s="51"/>
      <c r="AC139" s="51"/>
      <c r="AD139" s="51"/>
      <c r="AE139" s="51"/>
      <c r="AF139" s="51"/>
    </row>
    <row r="140">
      <c r="A140" s="32">
        <v>1.0</v>
      </c>
      <c r="B140" s="32" t="s">
        <v>353</v>
      </c>
      <c r="C140" s="33">
        <v>9.0</v>
      </c>
      <c r="D140" s="33">
        <v>4.0</v>
      </c>
      <c r="E140" s="33" t="s">
        <v>354</v>
      </c>
      <c r="F140" s="35" t="str">
        <f>HYPERLINK("https://www.liputan6.com/regional/read/3900180/senyum-lebar-warga-bandung-terima-e-ktp-pertama-dengan-kolom-kepercayaan ","sumber")</f>
        <v>sumber</v>
      </c>
      <c r="G140" s="33" t="s">
        <v>33</v>
      </c>
      <c r="H140" s="33">
        <v>733.0</v>
      </c>
      <c r="I140" s="33">
        <v>4.0</v>
      </c>
      <c r="J140" s="33">
        <v>4.0</v>
      </c>
      <c r="K140" s="33" t="s">
        <v>355</v>
      </c>
      <c r="L140" s="33">
        <v>0.0</v>
      </c>
      <c r="M140" s="33">
        <v>0.0</v>
      </c>
      <c r="N140" s="37">
        <v>0.0</v>
      </c>
      <c r="O140" s="33">
        <v>0.0</v>
      </c>
      <c r="P140" s="33">
        <v>0.0</v>
      </c>
      <c r="Q140" s="33" t="s">
        <v>210</v>
      </c>
      <c r="R140" s="33" t="s">
        <v>192</v>
      </c>
      <c r="S140" s="36"/>
      <c r="T140" s="33">
        <v>0.0</v>
      </c>
      <c r="U140" s="33">
        <v>0.0</v>
      </c>
      <c r="V140" s="33">
        <v>0.0</v>
      </c>
      <c r="W140" s="36"/>
      <c r="X140" s="36"/>
      <c r="Y140" s="36"/>
      <c r="Z140" s="9"/>
      <c r="AA140" s="9"/>
      <c r="AB140" s="9"/>
      <c r="AC140" s="9"/>
      <c r="AD140" s="9"/>
      <c r="AE140" s="9"/>
      <c r="AF140" s="9"/>
    </row>
    <row r="141">
      <c r="A141" s="32">
        <v>1.0</v>
      </c>
      <c r="B141" s="32" t="s">
        <v>356</v>
      </c>
      <c r="C141" s="33">
        <v>10.0</v>
      </c>
      <c r="D141" s="33">
        <v>4.0</v>
      </c>
      <c r="E141" s="33" t="s">
        <v>357</v>
      </c>
      <c r="F141" s="35" t="str">
        <f>HYPERLINK("https://www.liputan6.com/news/read/3904564/jk-minta-masyarakat-terima-pencantuman-penghayat-kepercayaan-di-kolom-agama-ktp ","sumber")</f>
        <v>sumber</v>
      </c>
      <c r="G141" s="33" t="s">
        <v>33</v>
      </c>
      <c r="H141" s="33">
        <v>305.0</v>
      </c>
      <c r="I141" s="33">
        <v>4.0</v>
      </c>
      <c r="J141" s="33">
        <v>4.0</v>
      </c>
      <c r="K141" s="33" t="s">
        <v>358</v>
      </c>
      <c r="L141" s="33">
        <v>0.0</v>
      </c>
      <c r="M141" s="33">
        <v>0.0</v>
      </c>
      <c r="N141" s="37">
        <v>0.0</v>
      </c>
      <c r="O141" s="33">
        <v>0.0</v>
      </c>
      <c r="P141" s="33">
        <v>0.0</v>
      </c>
      <c r="Q141" s="33" t="s">
        <v>61</v>
      </c>
      <c r="R141" s="33" t="s">
        <v>61</v>
      </c>
      <c r="S141" s="36"/>
      <c r="T141" s="33">
        <v>0.0</v>
      </c>
      <c r="U141" s="33">
        <v>0.0</v>
      </c>
      <c r="V141" s="33">
        <v>1.0</v>
      </c>
      <c r="W141" s="36"/>
      <c r="X141" s="36"/>
      <c r="Y141" s="36"/>
      <c r="Z141" s="9"/>
      <c r="AA141" s="9"/>
      <c r="AB141" s="9"/>
      <c r="AC141" s="9"/>
      <c r="AD141" s="9"/>
      <c r="AE141" s="9"/>
      <c r="AF141" s="9"/>
    </row>
    <row r="142">
      <c r="A142" s="32">
        <v>1.0</v>
      </c>
      <c r="B142" s="32" t="s">
        <v>359</v>
      </c>
      <c r="C142" s="33">
        <v>11.0</v>
      </c>
      <c r="D142" s="33">
        <v>5.0</v>
      </c>
      <c r="E142" s="33" t="s">
        <v>360</v>
      </c>
      <c r="F142" s="35" t="str">
        <f>HYPERLINK("https://tirto.id/kelumit-kisah-penghayat-sebelum-kepercayaan-dicatat-di-ktp-dhTF ","sumber")</f>
        <v>sumber</v>
      </c>
      <c r="G142" s="33" t="s">
        <v>33</v>
      </c>
      <c r="H142" s="33">
        <v>773.0</v>
      </c>
      <c r="I142" s="33">
        <v>4.0</v>
      </c>
      <c r="J142" s="33">
        <v>4.0</v>
      </c>
      <c r="K142" s="33" t="s">
        <v>361</v>
      </c>
      <c r="L142" s="33">
        <v>0.0</v>
      </c>
      <c r="M142" s="33">
        <v>0.0</v>
      </c>
      <c r="N142" s="37">
        <v>0.0</v>
      </c>
      <c r="O142" s="33">
        <v>0.0</v>
      </c>
      <c r="P142" s="33">
        <v>0.0</v>
      </c>
      <c r="Q142" s="33">
        <v>2.0</v>
      </c>
      <c r="R142" s="33">
        <v>1.0</v>
      </c>
      <c r="S142" s="36"/>
      <c r="T142" s="33">
        <v>0.0</v>
      </c>
      <c r="U142" s="33">
        <v>0.0</v>
      </c>
      <c r="V142" s="33">
        <v>0.0</v>
      </c>
      <c r="W142" s="36"/>
      <c r="X142" s="36"/>
      <c r="Y142" s="36"/>
      <c r="Z142" s="9"/>
      <c r="AA142" s="9"/>
      <c r="AB142" s="9"/>
      <c r="AC142" s="9"/>
      <c r="AD142" s="9"/>
      <c r="AE142" s="9"/>
      <c r="AF142" s="9"/>
    </row>
    <row r="143">
      <c r="A143" s="39">
        <v>2.0</v>
      </c>
      <c r="B143" s="39" t="s">
        <v>362</v>
      </c>
      <c r="C143" s="40">
        <v>12.0</v>
      </c>
      <c r="D143" s="40">
        <v>5.0</v>
      </c>
      <c r="E143" s="41"/>
      <c r="F143" s="42" t="str">
        <f>HYPERLINK("https://tirto.id/akankah-jokowi-keok-bila-muslim-konservatif-dimobilisasi-prabowo-didk ","sumber")</f>
        <v>sumber</v>
      </c>
      <c r="G143" s="40" t="s">
        <v>33</v>
      </c>
      <c r="H143" s="40"/>
      <c r="I143" s="40"/>
      <c r="J143" s="40">
        <v>4.0</v>
      </c>
      <c r="K143" s="41"/>
      <c r="L143" s="41"/>
      <c r="M143" s="41"/>
      <c r="N143" s="41"/>
      <c r="O143" s="41"/>
      <c r="P143" s="41"/>
      <c r="Q143" s="41"/>
      <c r="R143" s="41"/>
      <c r="S143" s="41"/>
      <c r="T143" s="41"/>
      <c r="U143" s="41"/>
      <c r="V143" s="41"/>
      <c r="W143" s="41"/>
      <c r="X143" s="41"/>
      <c r="Y143" s="41"/>
      <c r="Z143" s="43"/>
      <c r="AA143" s="43"/>
      <c r="AB143" s="51"/>
      <c r="AC143" s="51"/>
      <c r="AD143" s="51"/>
      <c r="AE143" s="51"/>
      <c r="AF143" s="51"/>
    </row>
    <row r="144">
      <c r="A144" s="24">
        <v>1.0</v>
      </c>
      <c r="B144" s="24" t="s">
        <v>363</v>
      </c>
      <c r="C144" s="25">
        <v>13.0</v>
      </c>
      <c r="D144" s="25">
        <v>8.0</v>
      </c>
      <c r="E144" s="26">
        <v>43499.0</v>
      </c>
      <c r="F144" s="27" t="str">
        <f>HYPERLINK("https://www.suara.com/news/2019/03/02/162358/istilah-kafir-dihapus-kiai-luthfi-liberalis-mau-amandemen-alquran","sumber")</f>
        <v>sumber</v>
      </c>
      <c r="G144" s="25" t="s">
        <v>33</v>
      </c>
      <c r="H144" s="25">
        <v>410.0</v>
      </c>
      <c r="I144" s="25">
        <v>1.0</v>
      </c>
      <c r="J144" s="25">
        <v>4.0</v>
      </c>
      <c r="K144" s="54" t="s">
        <v>364</v>
      </c>
      <c r="L144" s="25">
        <v>0.0</v>
      </c>
      <c r="M144" s="25">
        <v>1.0</v>
      </c>
      <c r="N144" s="38">
        <v>0.0</v>
      </c>
      <c r="O144" s="25">
        <v>0.0</v>
      </c>
      <c r="P144" s="25">
        <v>0.0</v>
      </c>
      <c r="Q144" s="25" t="s">
        <v>61</v>
      </c>
      <c r="R144" s="25" t="s">
        <v>173</v>
      </c>
      <c r="S144" s="29"/>
      <c r="T144" s="25">
        <v>0.0</v>
      </c>
      <c r="U144" s="25">
        <v>0.0</v>
      </c>
      <c r="V144" s="25">
        <v>0.0</v>
      </c>
      <c r="W144" s="29"/>
      <c r="X144" s="29"/>
      <c r="Y144" s="29"/>
      <c r="Z144" s="31"/>
      <c r="AA144" s="31"/>
      <c r="AB144" s="31"/>
      <c r="AC144" s="31"/>
      <c r="AD144" s="31"/>
      <c r="AE144" s="31"/>
      <c r="AF144" s="31"/>
    </row>
    <row r="145">
      <c r="A145" s="24">
        <v>1.0</v>
      </c>
      <c r="B145" s="24" t="s">
        <v>365</v>
      </c>
      <c r="C145" s="25">
        <v>14.0</v>
      </c>
      <c r="D145" s="25">
        <v>1.0</v>
      </c>
      <c r="E145" s="26">
        <v>43527.0</v>
      </c>
      <c r="F145" s="27" t="str">
        <f>HYPERLINK("https://news.detik.com/berita/d-4451395/begini-upacara-pemakaman-bagi-penghayat-sapta-darma","sumber")</f>
        <v>sumber</v>
      </c>
      <c r="G145" s="25" t="s">
        <v>33</v>
      </c>
      <c r="H145" s="25"/>
      <c r="I145" s="25">
        <v>2.0</v>
      </c>
      <c r="J145" s="25">
        <v>4.0</v>
      </c>
      <c r="K145" s="25" t="s">
        <v>366</v>
      </c>
      <c r="L145" s="25">
        <v>0.0</v>
      </c>
      <c r="M145" s="25">
        <v>0.0</v>
      </c>
      <c r="N145" s="38">
        <v>0.0</v>
      </c>
      <c r="O145" s="25">
        <v>0.0</v>
      </c>
      <c r="P145" s="25">
        <v>0.0</v>
      </c>
      <c r="Q145" s="25" t="s">
        <v>100</v>
      </c>
      <c r="R145" s="25" t="s">
        <v>61</v>
      </c>
      <c r="S145" s="29"/>
      <c r="T145" s="25">
        <v>0.0</v>
      </c>
      <c r="U145" s="25">
        <v>0.0</v>
      </c>
      <c r="V145" s="25">
        <v>0.0</v>
      </c>
      <c r="W145" s="29"/>
      <c r="X145" s="29"/>
      <c r="Y145" s="29"/>
      <c r="Z145" s="31"/>
      <c r="AA145" s="31"/>
      <c r="AB145" s="31"/>
      <c r="AC145" s="31"/>
      <c r="AD145" s="31"/>
      <c r="AE145" s="31"/>
      <c r="AF145" s="31"/>
    </row>
    <row r="146">
      <c r="A146" s="39">
        <v>2.0</v>
      </c>
      <c r="B146" s="39" t="s">
        <v>367</v>
      </c>
      <c r="C146" s="40">
        <v>15.0</v>
      </c>
      <c r="D146" s="40">
        <v>3.0</v>
      </c>
      <c r="E146" s="41"/>
      <c r="F146" s="42" t="str">
        <f>HYPERLINK("https://lifestyle.okezone.com/read/2019/03/17/194/2031291/debat-cawapres-ma-ruf-amin-dan-sandiaga-uno-kompak-kenakan-peci-hitam ","sumber")</f>
        <v>sumber</v>
      </c>
      <c r="G146" s="40" t="s">
        <v>33</v>
      </c>
      <c r="H146" s="40"/>
      <c r="I146" s="41"/>
      <c r="J146" s="40">
        <v>4.0</v>
      </c>
      <c r="K146" s="41"/>
      <c r="L146" s="41"/>
      <c r="M146" s="40"/>
      <c r="N146" s="41"/>
      <c r="O146" s="41"/>
      <c r="P146" s="41"/>
      <c r="Q146" s="41"/>
      <c r="R146" s="41"/>
      <c r="S146" s="41"/>
      <c r="T146" s="41"/>
      <c r="U146" s="41"/>
      <c r="V146" s="41"/>
      <c r="W146" s="41"/>
      <c r="X146" s="41"/>
      <c r="Y146" s="41"/>
      <c r="Z146" s="43"/>
      <c r="AA146" s="43"/>
      <c r="AB146" s="51"/>
      <c r="AC146" s="51"/>
      <c r="AD146" s="51"/>
      <c r="AE146" s="51"/>
      <c r="AF146" s="51"/>
    </row>
    <row r="147">
      <c r="A147" s="39">
        <v>2.0</v>
      </c>
      <c r="B147" s="39" t="s">
        <v>368</v>
      </c>
      <c r="C147" s="40">
        <v>16.0</v>
      </c>
      <c r="D147" s="40">
        <v>1.0</v>
      </c>
      <c r="E147" s="41"/>
      <c r="F147" s="42" t="str">
        <f>HYPERLINK("https://news.detik.com/berita/d-4474477/tipu-honorer-jadi-pegawai-pns-pemkot-banda-aceh-ditangkap ","sumber")</f>
        <v>sumber</v>
      </c>
      <c r="G147" s="40" t="s">
        <v>33</v>
      </c>
      <c r="H147" s="40"/>
      <c r="I147" s="41"/>
      <c r="J147" s="40">
        <v>4.0</v>
      </c>
      <c r="K147" s="41"/>
      <c r="L147" s="41"/>
      <c r="M147" s="41"/>
      <c r="N147" s="41"/>
      <c r="O147" s="41"/>
      <c r="P147" s="41"/>
      <c r="Q147" s="41"/>
      <c r="R147" s="41"/>
      <c r="S147" s="41"/>
      <c r="T147" s="41"/>
      <c r="U147" s="41"/>
      <c r="V147" s="41"/>
      <c r="W147" s="41"/>
      <c r="X147" s="41"/>
      <c r="Y147" s="41"/>
      <c r="Z147" s="43"/>
      <c r="AA147" s="43"/>
      <c r="AB147" s="51"/>
      <c r="AC147" s="51"/>
      <c r="AD147" s="51"/>
      <c r="AE147" s="51"/>
      <c r="AF147" s="51"/>
    </row>
    <row r="148">
      <c r="A148" s="39">
        <v>2.0</v>
      </c>
      <c r="B148" s="39" t="s">
        <v>369</v>
      </c>
      <c r="C148" s="40">
        <v>17.0</v>
      </c>
      <c r="D148" s="40">
        <v>3.0</v>
      </c>
      <c r="E148" s="41"/>
      <c r="F148" s="42" t="str">
        <f>HYPERLINK("https://news.okezone.com/read/2019/03/21/65/2033215/seleksi-mandiri-masuk-ptn-barat-kuota-maksimal-30 ","sumber")</f>
        <v>sumber</v>
      </c>
      <c r="G148" s="40" t="s">
        <v>33</v>
      </c>
      <c r="H148" s="40"/>
      <c r="I148" s="41"/>
      <c r="J148" s="40">
        <v>4.0</v>
      </c>
      <c r="K148" s="41"/>
      <c r="L148" s="41"/>
      <c r="M148" s="41"/>
      <c r="N148" s="41"/>
      <c r="O148" s="41"/>
      <c r="P148" s="41"/>
      <c r="Q148" s="41"/>
      <c r="R148" s="41"/>
      <c r="S148" s="41"/>
      <c r="T148" s="41"/>
      <c r="U148" s="41"/>
      <c r="V148" s="41"/>
      <c r="W148" s="41"/>
      <c r="X148" s="41"/>
      <c r="Y148" s="41"/>
      <c r="Z148" s="43"/>
      <c r="AA148" s="43"/>
      <c r="AB148" s="51"/>
      <c r="AC148" s="51"/>
      <c r="AD148" s="51"/>
      <c r="AE148" s="51"/>
      <c r="AF148" s="51"/>
    </row>
    <row r="149">
      <c r="A149" s="39">
        <v>2.0</v>
      </c>
      <c r="B149" s="39" t="s">
        <v>370</v>
      </c>
      <c r="C149" s="40">
        <v>18.0</v>
      </c>
      <c r="D149" s="40">
        <v>5.0</v>
      </c>
      <c r="E149" s="41"/>
      <c r="F149" s="42" t="str">
        <f>HYPERLINK("https://tirto.id/musabab-kejatuhan-isis-djDU ","sumber")</f>
        <v>sumber</v>
      </c>
      <c r="G149" s="40" t="s">
        <v>33</v>
      </c>
      <c r="H149" s="40"/>
      <c r="I149" s="41"/>
      <c r="J149" s="40">
        <v>4.0</v>
      </c>
      <c r="K149" s="41"/>
      <c r="L149" s="41"/>
      <c r="M149" s="41"/>
      <c r="N149" s="41"/>
      <c r="O149" s="41"/>
      <c r="P149" s="41"/>
      <c r="Q149" s="41"/>
      <c r="R149" s="41"/>
      <c r="S149" s="41"/>
      <c r="T149" s="41"/>
      <c r="U149" s="41"/>
      <c r="V149" s="41"/>
      <c r="W149" s="41"/>
      <c r="X149" s="41"/>
      <c r="Y149" s="41"/>
      <c r="Z149" s="43"/>
      <c r="AA149" s="43"/>
      <c r="AB149" s="51"/>
      <c r="AC149" s="51"/>
      <c r="AD149" s="51"/>
      <c r="AE149" s="51"/>
      <c r="AF149" s="51"/>
    </row>
    <row r="150">
      <c r="A150" s="39">
        <v>2.0</v>
      </c>
      <c r="B150" s="39" t="s">
        <v>371</v>
      </c>
      <c r="C150" s="40">
        <v>19.0</v>
      </c>
      <c r="D150" s="40">
        <v>5.0</v>
      </c>
      <c r="E150" s="41"/>
      <c r="F150" s="42" t="str">
        <f>HYPERLINK("https://tirto.id/kontras-nilai-hilangnya-ruth-rudangta-di-malaysia-bukan-kasus-biasa-dknP ","sumber")</f>
        <v>sumber</v>
      </c>
      <c r="G150" s="40" t="s">
        <v>33</v>
      </c>
      <c r="H150" s="40"/>
      <c r="I150" s="41"/>
      <c r="J150" s="40">
        <v>4.0</v>
      </c>
      <c r="K150" s="41"/>
      <c r="L150" s="41"/>
      <c r="M150" s="41"/>
      <c r="N150" s="41"/>
      <c r="O150" s="41"/>
      <c r="P150" s="41"/>
      <c r="Q150" s="41"/>
      <c r="R150" s="41"/>
      <c r="S150" s="41"/>
      <c r="T150" s="41"/>
      <c r="U150" s="41"/>
      <c r="V150" s="41"/>
      <c r="W150" s="41"/>
      <c r="X150" s="41"/>
      <c r="Y150" s="41"/>
      <c r="Z150" s="43"/>
      <c r="AA150" s="43"/>
      <c r="AB150" s="51"/>
      <c r="AC150" s="51"/>
      <c r="AD150" s="51"/>
      <c r="AE150" s="51"/>
      <c r="AF150" s="51"/>
    </row>
    <row r="151">
      <c r="A151" s="32">
        <v>1.0</v>
      </c>
      <c r="B151" s="32" t="s">
        <v>372</v>
      </c>
      <c r="C151" s="33">
        <v>20.0</v>
      </c>
      <c r="D151" s="33">
        <v>10.0</v>
      </c>
      <c r="E151" s="34">
        <v>43500.0</v>
      </c>
      <c r="F151" s="35" t="str">
        <f>HYPERLINK("https://nasional.tempo.co/read/1191776/pelukis-ditolak-ngontrak-di-yogyakarta-tokoh-kearifan-lokal ","sumber")</f>
        <v>sumber</v>
      </c>
      <c r="G151" s="33" t="s">
        <v>33</v>
      </c>
      <c r="H151" s="33"/>
      <c r="I151" s="33">
        <v>1.0</v>
      </c>
      <c r="J151" s="33">
        <v>4.0</v>
      </c>
      <c r="K151" s="33" t="s">
        <v>373</v>
      </c>
      <c r="L151" s="33">
        <v>0.0</v>
      </c>
      <c r="M151" s="33">
        <v>1.0</v>
      </c>
      <c r="N151" s="37">
        <v>0.0</v>
      </c>
      <c r="O151" s="33">
        <v>0.0</v>
      </c>
      <c r="P151" s="33">
        <v>0.0</v>
      </c>
      <c r="Q151" s="33" t="s">
        <v>374</v>
      </c>
      <c r="R151" s="33" t="s">
        <v>375</v>
      </c>
      <c r="S151" s="36"/>
      <c r="T151" s="33">
        <v>0.0</v>
      </c>
      <c r="U151" s="33">
        <v>0.0</v>
      </c>
      <c r="V151" s="33">
        <v>0.0</v>
      </c>
      <c r="W151" s="36"/>
      <c r="X151" s="36"/>
      <c r="Y151" s="36"/>
      <c r="Z151" s="9"/>
      <c r="AA151" s="9"/>
      <c r="AB151" s="9"/>
      <c r="AC151" s="9"/>
      <c r="AD151" s="9"/>
      <c r="AE151" s="9"/>
      <c r="AF151" s="9"/>
    </row>
    <row r="152">
      <c r="A152" s="39">
        <v>2.0</v>
      </c>
      <c r="B152" s="39" t="s">
        <v>376</v>
      </c>
      <c r="C152" s="40">
        <v>21.0</v>
      </c>
      <c r="D152" s="40">
        <v>1.0</v>
      </c>
      <c r="E152" s="41"/>
      <c r="F152" s="42" t="str">
        <f>HYPERLINK("https://news.detik.com/kolom/d-4502667/mengintip-rahasia-di-balik-aksi-aksi-intoleran ","sumber")</f>
        <v>sumber</v>
      </c>
      <c r="G152" s="40" t="s">
        <v>33</v>
      </c>
      <c r="H152" s="40"/>
      <c r="I152" s="41"/>
      <c r="J152" s="40">
        <v>4.0</v>
      </c>
      <c r="K152" s="41"/>
      <c r="L152" s="41"/>
      <c r="M152" s="41"/>
      <c r="N152" s="41"/>
      <c r="O152" s="41"/>
      <c r="P152" s="41"/>
      <c r="Q152" s="41"/>
      <c r="R152" s="41"/>
      <c r="S152" s="41"/>
      <c r="T152" s="41"/>
      <c r="U152" s="41"/>
      <c r="V152" s="41"/>
      <c r="W152" s="41"/>
      <c r="X152" s="41"/>
      <c r="Y152" s="41"/>
      <c r="Z152" s="43"/>
      <c r="AA152" s="43"/>
      <c r="AB152" s="51"/>
      <c r="AC152" s="51"/>
      <c r="AD152" s="51"/>
      <c r="AE152" s="51"/>
      <c r="AF152" s="51"/>
    </row>
    <row r="153">
      <c r="A153" s="24">
        <v>1.0</v>
      </c>
      <c r="B153" s="24" t="s">
        <v>377</v>
      </c>
      <c r="C153" s="25">
        <v>22.0</v>
      </c>
      <c r="D153" s="25">
        <v>9.0</v>
      </c>
      <c r="E153" s="26">
        <v>43559.0</v>
      </c>
      <c r="F153" s="27" t="str">
        <f>HYPERLINK("https://nasional.republika.co.id/berita/nasional/politik/ppeazb414/setelah-batal-ke-medan-prabowo-juga-tak-jadi-ke-aceh","sumber")</f>
        <v>sumber</v>
      </c>
      <c r="G153" s="25" t="s">
        <v>33</v>
      </c>
      <c r="H153" s="25">
        <v>294.0</v>
      </c>
      <c r="I153" s="25">
        <v>3.0</v>
      </c>
      <c r="J153" s="25">
        <v>4.0</v>
      </c>
      <c r="K153" s="25" t="s">
        <v>378</v>
      </c>
      <c r="L153" s="25">
        <v>0.0</v>
      </c>
      <c r="M153" s="25">
        <v>0.0</v>
      </c>
      <c r="N153" s="38">
        <v>0.0</v>
      </c>
      <c r="O153" s="25">
        <v>0.0</v>
      </c>
      <c r="P153" s="25">
        <v>0.0</v>
      </c>
      <c r="Q153" s="25" t="s">
        <v>61</v>
      </c>
      <c r="R153" s="25" t="s">
        <v>61</v>
      </c>
      <c r="S153" s="29"/>
      <c r="T153" s="25">
        <v>0.0</v>
      </c>
      <c r="U153" s="25">
        <v>0.0</v>
      </c>
      <c r="V153" s="25">
        <v>0.0</v>
      </c>
      <c r="W153" s="29"/>
      <c r="X153" s="29"/>
      <c r="Y153" s="29"/>
      <c r="Z153" s="31"/>
      <c r="AA153" s="31"/>
      <c r="AB153" s="31"/>
      <c r="AC153" s="31"/>
      <c r="AD153" s="31"/>
      <c r="AE153" s="31"/>
      <c r="AF153" s="31"/>
    </row>
    <row r="154">
      <c r="A154" s="24">
        <v>1.0</v>
      </c>
      <c r="B154" s="24" t="s">
        <v>379</v>
      </c>
      <c r="C154" s="25">
        <v>23.0</v>
      </c>
      <c r="D154" s="25">
        <v>8.0</v>
      </c>
      <c r="E154" s="26">
        <v>43469.0</v>
      </c>
      <c r="F154" s="27" t="str">
        <f>HYPERLINK("https://microsite.suara.com/dpr/2019/04/01/140439/dpr-luncurkan-website-tentang-kebebasan-beragama-dan-berkeyakinan","sumber")</f>
        <v>sumber</v>
      </c>
      <c r="G154" s="25" t="s">
        <v>33</v>
      </c>
      <c r="H154" s="25">
        <v>491.0</v>
      </c>
      <c r="I154" s="25">
        <v>4.0</v>
      </c>
      <c r="J154" s="25">
        <v>4.0</v>
      </c>
      <c r="K154" s="25" t="s">
        <v>380</v>
      </c>
      <c r="L154" s="25">
        <v>0.0</v>
      </c>
      <c r="M154" s="25">
        <v>0.0</v>
      </c>
      <c r="N154" s="38">
        <v>0.0</v>
      </c>
      <c r="O154" s="25">
        <v>0.0</v>
      </c>
      <c r="P154" s="25">
        <v>0.0</v>
      </c>
      <c r="Q154" s="25">
        <v>0.0</v>
      </c>
      <c r="R154" s="25">
        <v>1.0</v>
      </c>
      <c r="S154" s="29"/>
      <c r="T154" s="25">
        <v>0.0</v>
      </c>
      <c r="U154" s="25">
        <v>0.0</v>
      </c>
      <c r="V154" s="25">
        <v>1.0</v>
      </c>
      <c r="W154" s="29"/>
      <c r="X154" s="29"/>
      <c r="Y154" s="29"/>
      <c r="Z154" s="46"/>
      <c r="AA154" s="46"/>
      <c r="AB154" s="46"/>
      <c r="AC154" s="46"/>
      <c r="AD154" s="46"/>
      <c r="AE154" s="46"/>
      <c r="AF154" s="46"/>
    </row>
    <row r="155">
      <c r="A155" s="32">
        <v>1.0</v>
      </c>
      <c r="B155" s="32" t="s">
        <v>381</v>
      </c>
      <c r="C155" s="33">
        <v>24.0</v>
      </c>
      <c r="D155" s="33">
        <v>9.0</v>
      </c>
      <c r="E155" s="33" t="s">
        <v>197</v>
      </c>
      <c r="F155" s="35" t="str">
        <f>HYPERLINK("https://internasional.republika.co.id/berita/internasional/abc-australia-network/pqg6hk366/saudi-penggal-37-orang-dalam-sehari ","sumber")</f>
        <v>sumber</v>
      </c>
      <c r="G155" s="33" t="s">
        <v>33</v>
      </c>
      <c r="H155" s="36"/>
      <c r="I155" s="33">
        <v>1.0</v>
      </c>
      <c r="J155" s="33">
        <v>4.0</v>
      </c>
      <c r="K155" s="33" t="s">
        <v>382</v>
      </c>
      <c r="L155" s="33">
        <v>0.0</v>
      </c>
      <c r="M155" s="33">
        <v>0.0</v>
      </c>
      <c r="N155" s="37">
        <v>0.0</v>
      </c>
      <c r="O155" s="33">
        <v>0.0</v>
      </c>
      <c r="P155" s="33">
        <v>0.0</v>
      </c>
      <c r="Q155" s="33" t="s">
        <v>53</v>
      </c>
      <c r="R155" s="33" t="s">
        <v>53</v>
      </c>
      <c r="S155" s="36"/>
      <c r="T155" s="33">
        <v>0.0</v>
      </c>
      <c r="U155" s="33">
        <v>0.0</v>
      </c>
      <c r="V155" s="33">
        <v>0.0</v>
      </c>
      <c r="W155" s="36"/>
      <c r="X155" s="36"/>
      <c r="Y155" s="36"/>
      <c r="Z155" s="45"/>
      <c r="AA155" s="45"/>
      <c r="AB155" s="45"/>
      <c r="AC155" s="45"/>
      <c r="AD155" s="45"/>
      <c r="AE155" s="45"/>
      <c r="AF155" s="45"/>
    </row>
    <row r="156">
      <c r="A156" s="39">
        <v>2.0</v>
      </c>
      <c r="B156" s="39" t="s">
        <v>383</v>
      </c>
      <c r="C156" s="40">
        <v>25.0</v>
      </c>
      <c r="D156" s="40">
        <v>3.0</v>
      </c>
      <c r="E156" s="41"/>
      <c r="F156" s="42" t="str">
        <f>HYPERLINK("https://news.okezone.com/read/2019/04/24/18/2047708/pbb-desak-arab-saudi-tunda-semua-rencana-pelaksanaan-hukuman-mati ","sumber")</f>
        <v>sumber</v>
      </c>
      <c r="G156" s="40" t="s">
        <v>33</v>
      </c>
      <c r="H156" s="41"/>
      <c r="I156" s="41"/>
      <c r="J156" s="40">
        <v>4.0</v>
      </c>
      <c r="K156" s="41"/>
      <c r="L156" s="41"/>
      <c r="M156" s="41"/>
      <c r="N156" s="41"/>
      <c r="O156" s="41"/>
      <c r="P156" s="41"/>
      <c r="Q156" s="41"/>
      <c r="R156" s="41"/>
      <c r="S156" s="41"/>
      <c r="T156" s="41"/>
      <c r="U156" s="41"/>
      <c r="V156" s="41"/>
      <c r="W156" s="41"/>
      <c r="X156" s="41"/>
      <c r="Y156" s="41"/>
      <c r="Z156" s="47"/>
      <c r="AA156" s="43"/>
      <c r="AB156" s="48"/>
      <c r="AC156" s="48"/>
      <c r="AD156" s="48"/>
      <c r="AE156" s="48"/>
      <c r="AF156" s="48"/>
    </row>
    <row r="157">
      <c r="A157" s="39">
        <v>2.0</v>
      </c>
      <c r="B157" s="39" t="s">
        <v>384</v>
      </c>
      <c r="C157" s="40">
        <v>26.0</v>
      </c>
      <c r="D157" s="40">
        <v>7.0</v>
      </c>
      <c r="E157" s="41"/>
      <c r="F157" s="42" t="str">
        <f>HYPERLINK("http://www.tribunnews.com/internasional/2019/04/26/kedubes-as-sebut-kekayaan-ayatollah-ali-khamenei-mencapai-rp-2800-t-separuh-utang-ln-indonesia ","sumber")</f>
        <v>sumber</v>
      </c>
      <c r="G157" s="40" t="s">
        <v>33</v>
      </c>
      <c r="H157" s="41"/>
      <c r="I157" s="41"/>
      <c r="J157" s="40">
        <v>4.0</v>
      </c>
      <c r="K157" s="41"/>
      <c r="L157" s="41"/>
      <c r="M157" s="41"/>
      <c r="N157" s="41"/>
      <c r="O157" s="41"/>
      <c r="P157" s="41"/>
      <c r="Q157" s="41"/>
      <c r="R157" s="41"/>
      <c r="S157" s="41"/>
      <c r="T157" s="41"/>
      <c r="U157" s="41"/>
      <c r="V157" s="41"/>
      <c r="W157" s="41"/>
      <c r="X157" s="41"/>
      <c r="Y157" s="41"/>
      <c r="Z157" s="47"/>
      <c r="AA157" s="43"/>
      <c r="AB157" s="48"/>
      <c r="AC157" s="48"/>
      <c r="AD157" s="48"/>
      <c r="AE157" s="48"/>
      <c r="AF157" s="48"/>
    </row>
    <row r="158">
      <c r="A158" s="32">
        <v>1.0</v>
      </c>
      <c r="B158" s="32" t="s">
        <v>385</v>
      </c>
      <c r="C158" s="33">
        <v>27.0</v>
      </c>
      <c r="D158" s="33">
        <v>5.0</v>
      </c>
      <c r="E158" s="33" t="s">
        <v>386</v>
      </c>
      <c r="F158" s="35" t="str">
        <f>HYPERLINK("https://tirto.id/sri-lanka-yang-terus-koyak-karena-konflik-sara-dm8n ","sumber")</f>
        <v>sumber</v>
      </c>
      <c r="G158" s="33" t="s">
        <v>33</v>
      </c>
      <c r="H158" s="36"/>
      <c r="I158" s="33">
        <v>1.0</v>
      </c>
      <c r="J158" s="33">
        <v>4.0</v>
      </c>
      <c r="K158" s="33" t="s">
        <v>387</v>
      </c>
      <c r="L158" s="33">
        <v>0.0</v>
      </c>
      <c r="M158" s="33">
        <v>1.0</v>
      </c>
      <c r="N158" s="37">
        <v>0.0</v>
      </c>
      <c r="O158" s="33">
        <v>0.0</v>
      </c>
      <c r="P158" s="33">
        <v>0.0</v>
      </c>
      <c r="Q158" s="33" t="s">
        <v>119</v>
      </c>
      <c r="R158" s="33" t="s">
        <v>61</v>
      </c>
      <c r="S158" s="36"/>
      <c r="T158" s="33">
        <v>0.0</v>
      </c>
      <c r="U158" s="33">
        <v>0.0</v>
      </c>
      <c r="V158" s="33">
        <v>1.0</v>
      </c>
      <c r="W158" s="36"/>
      <c r="X158" s="36"/>
      <c r="Y158" s="36"/>
      <c r="Z158" s="45"/>
      <c r="AA158" s="45"/>
      <c r="AB158" s="45"/>
      <c r="AC158" s="45"/>
      <c r="AD158" s="45"/>
      <c r="AE158" s="45"/>
      <c r="AF158" s="45"/>
    </row>
    <row r="159">
      <c r="A159" s="39">
        <v>2.0</v>
      </c>
      <c r="B159" s="39" t="s">
        <v>388</v>
      </c>
      <c r="C159" s="40">
        <v>28.0</v>
      </c>
      <c r="D159" s="40">
        <v>3.0</v>
      </c>
      <c r="E159" s="41"/>
      <c r="F159" s="42" t="str">
        <f>HYPERLINK("https://news.okezone.com/read/2019/05/11/18/2054360/cemas-akan-ancaman-iran-as-kirimkan-rudal-patriot-ke-timur-tengah ","sumber")</f>
        <v>sumber</v>
      </c>
      <c r="G159" s="40" t="s">
        <v>33</v>
      </c>
      <c r="H159" s="41"/>
      <c r="I159" s="41"/>
      <c r="J159" s="40">
        <v>4.0</v>
      </c>
      <c r="K159" s="41"/>
      <c r="L159" s="41"/>
      <c r="M159" s="41"/>
      <c r="N159" s="41"/>
      <c r="O159" s="41"/>
      <c r="P159" s="41"/>
      <c r="Q159" s="41"/>
      <c r="R159" s="41"/>
      <c r="S159" s="41"/>
      <c r="T159" s="41"/>
      <c r="U159" s="41"/>
      <c r="V159" s="41"/>
      <c r="W159" s="41"/>
      <c r="X159" s="41"/>
      <c r="Y159" s="41"/>
      <c r="Z159" s="47"/>
      <c r="AA159" s="43"/>
      <c r="AB159" s="48"/>
      <c r="AC159" s="48"/>
      <c r="AD159" s="48"/>
      <c r="AE159" s="48"/>
      <c r="AF159" s="48"/>
    </row>
    <row r="160">
      <c r="A160" s="24">
        <v>1.0</v>
      </c>
      <c r="B160" s="24" t="s">
        <v>389</v>
      </c>
      <c r="C160" s="25">
        <v>29.0</v>
      </c>
      <c r="D160" s="25">
        <v>4.0</v>
      </c>
      <c r="E160" s="25" t="s">
        <v>390</v>
      </c>
      <c r="F160" s="27" t="str">
        <f>HYPERLINK("https://www.liputan6.com/news/read/3969771/pp-muhamadiyah-pembelaan-pada-muslim-ahmadiyah-adalah-sikap-adil-umat-beragama","sumber")</f>
        <v>sumber</v>
      </c>
      <c r="G160" s="25" t="s">
        <v>33</v>
      </c>
      <c r="H160" s="25">
        <v>344.0</v>
      </c>
      <c r="I160" s="25">
        <v>3.0</v>
      </c>
      <c r="J160" s="25">
        <v>4.0</v>
      </c>
      <c r="K160" s="25" t="s">
        <v>391</v>
      </c>
      <c r="L160" s="25">
        <v>0.0</v>
      </c>
      <c r="M160" s="25">
        <v>0.0</v>
      </c>
      <c r="N160" s="38">
        <v>0.0</v>
      </c>
      <c r="O160" s="25">
        <v>0.0</v>
      </c>
      <c r="P160" s="25">
        <v>0.0</v>
      </c>
      <c r="Q160" s="25" t="s">
        <v>138</v>
      </c>
      <c r="R160" s="25" t="s">
        <v>392</v>
      </c>
      <c r="S160" s="29"/>
      <c r="T160" s="25">
        <v>0.0</v>
      </c>
      <c r="U160" s="25">
        <v>0.0</v>
      </c>
      <c r="V160" s="25">
        <v>0.0</v>
      </c>
      <c r="W160" s="29"/>
      <c r="X160" s="29"/>
      <c r="Y160" s="29"/>
      <c r="Z160" s="46"/>
      <c r="AA160" s="46"/>
      <c r="AB160" s="46"/>
      <c r="AC160" s="46"/>
      <c r="AD160" s="46"/>
      <c r="AE160" s="46"/>
      <c r="AF160" s="46"/>
    </row>
    <row r="161">
      <c r="A161" s="24">
        <v>1.0</v>
      </c>
      <c r="B161" s="24" t="s">
        <v>393</v>
      </c>
      <c r="C161" s="25">
        <v>30.0</v>
      </c>
      <c r="D161" s="25">
        <v>3.0</v>
      </c>
      <c r="E161" s="25" t="s">
        <v>394</v>
      </c>
      <c r="F161" s="27" t="str">
        <f>HYPERLINK("https://muslim.okezone.com/read/2019/05/15/614/2055778/7-aliran-dalam-islam-mayoritas-masih-eksis-hingga-kini","sumber")</f>
        <v>sumber</v>
      </c>
      <c r="G161" s="25" t="s">
        <v>33</v>
      </c>
      <c r="H161" s="25">
        <v>1282.0</v>
      </c>
      <c r="I161" s="25">
        <v>5.0</v>
      </c>
      <c r="J161" s="25">
        <v>4.0</v>
      </c>
      <c r="K161" s="25" t="s">
        <v>395</v>
      </c>
      <c r="L161" s="25">
        <v>0.0</v>
      </c>
      <c r="M161" s="25">
        <v>0.0</v>
      </c>
      <c r="N161" s="38">
        <v>0.0</v>
      </c>
      <c r="O161" s="25">
        <v>0.0</v>
      </c>
      <c r="P161" s="25">
        <v>0.0</v>
      </c>
      <c r="Q161" s="25" t="s">
        <v>53</v>
      </c>
      <c r="R161" s="25" t="s">
        <v>53</v>
      </c>
      <c r="S161" s="29"/>
      <c r="T161" s="25">
        <v>0.0</v>
      </c>
      <c r="U161" s="25">
        <v>0.0</v>
      </c>
      <c r="V161" s="25">
        <v>0.0</v>
      </c>
      <c r="W161" s="29"/>
      <c r="X161" s="29"/>
      <c r="Y161" s="29"/>
      <c r="Z161" s="46"/>
      <c r="AA161" s="46"/>
      <c r="AB161" s="46"/>
      <c r="AC161" s="46"/>
      <c r="AD161" s="46"/>
      <c r="AE161" s="46"/>
      <c r="AF161" s="46"/>
    </row>
    <row r="162">
      <c r="A162" s="39">
        <v>2.0</v>
      </c>
      <c r="B162" s="39" t="s">
        <v>396</v>
      </c>
      <c r="C162" s="40">
        <v>31.0</v>
      </c>
      <c r="D162" s="40">
        <v>5.0</v>
      </c>
      <c r="E162" s="41"/>
      <c r="F162" s="42" t="str">
        <f>HYPERLINK("https://tirto.id/dakwah-persis-ala-a-hassan-sebarkan-islam-lewat-debat-publikasi-dFXM ","sumber")</f>
        <v>sumber</v>
      </c>
      <c r="G162" s="40" t="s">
        <v>33</v>
      </c>
      <c r="H162" s="41"/>
      <c r="I162" s="41"/>
      <c r="J162" s="40">
        <v>4.0</v>
      </c>
      <c r="K162" s="41"/>
      <c r="L162" s="41"/>
      <c r="M162" s="41"/>
      <c r="N162" s="41"/>
      <c r="O162" s="41"/>
      <c r="P162" s="41"/>
      <c r="Q162" s="41"/>
      <c r="R162" s="41"/>
      <c r="S162" s="41"/>
      <c r="T162" s="41"/>
      <c r="U162" s="41"/>
      <c r="V162" s="41"/>
      <c r="W162" s="41"/>
      <c r="X162" s="41"/>
      <c r="Y162" s="41"/>
      <c r="Z162" s="47"/>
      <c r="AA162" s="43"/>
      <c r="AB162" s="48"/>
      <c r="AC162" s="48"/>
      <c r="AD162" s="48"/>
      <c r="AE162" s="48"/>
      <c r="AF162" s="48"/>
    </row>
    <row r="163">
      <c r="A163" s="39">
        <v>2.0</v>
      </c>
      <c r="B163" s="39" t="s">
        <v>397</v>
      </c>
      <c r="C163" s="40">
        <v>32.0</v>
      </c>
      <c r="D163" s="40">
        <v>9.0</v>
      </c>
      <c r="E163" s="41"/>
      <c r="F163" s="42" t="str">
        <f>HYPERLINK("https://internasional.republika.co.id/berita/internasional/timur-tengah/prp1wo320/irak-terjebak-di-tengah-kemelut-ketegangan-as-dan-iran ","sumber")</f>
        <v>sumber</v>
      </c>
      <c r="G163" s="40" t="s">
        <v>33</v>
      </c>
      <c r="H163" s="41"/>
      <c r="I163" s="41"/>
      <c r="J163" s="40">
        <v>4.0</v>
      </c>
      <c r="K163" s="41"/>
      <c r="L163" s="41"/>
      <c r="M163" s="41"/>
      <c r="N163" s="41"/>
      <c r="O163" s="41"/>
      <c r="P163" s="41"/>
      <c r="Q163" s="41"/>
      <c r="R163" s="41"/>
      <c r="S163" s="41"/>
      <c r="T163" s="41"/>
      <c r="U163" s="41"/>
      <c r="V163" s="41"/>
      <c r="W163" s="41"/>
      <c r="X163" s="41"/>
      <c r="Y163" s="41"/>
      <c r="Z163" s="47"/>
      <c r="AA163" s="43"/>
      <c r="AB163" s="48"/>
      <c r="AC163" s="48"/>
      <c r="AD163" s="48"/>
      <c r="AE163" s="48"/>
      <c r="AF163" s="48"/>
    </row>
    <row r="164">
      <c r="A164" s="39">
        <v>2.0</v>
      </c>
      <c r="B164" s="39" t="s">
        <v>398</v>
      </c>
      <c r="C164" s="40">
        <v>33.0</v>
      </c>
      <c r="D164" s="40">
        <v>7.0</v>
      </c>
      <c r="E164" s="41"/>
      <c r="F164" s="42" t="str">
        <f>HYPERLINK("http://www.tribunnews.com/pilpres-2019/2019/05/19/multaqo-ulama-solo-menentang-hasil-kpu-adalah-pemberontakan ","sumber")</f>
        <v>sumber</v>
      </c>
      <c r="G164" s="40" t="s">
        <v>33</v>
      </c>
      <c r="H164" s="41"/>
      <c r="I164" s="41"/>
      <c r="J164" s="40">
        <v>4.0</v>
      </c>
      <c r="K164" s="41"/>
      <c r="L164" s="41"/>
      <c r="M164" s="41"/>
      <c r="N164" s="41"/>
      <c r="O164" s="41"/>
      <c r="P164" s="41"/>
      <c r="Q164" s="41"/>
      <c r="R164" s="41"/>
      <c r="S164" s="41"/>
      <c r="T164" s="41"/>
      <c r="U164" s="41"/>
      <c r="V164" s="41"/>
      <c r="W164" s="41"/>
      <c r="X164" s="41"/>
      <c r="Y164" s="41"/>
      <c r="Z164" s="47"/>
      <c r="AA164" s="43"/>
      <c r="AB164" s="48"/>
      <c r="AC164" s="48"/>
      <c r="AD164" s="48"/>
      <c r="AE164" s="48"/>
      <c r="AF164" s="48"/>
    </row>
    <row r="165">
      <c r="A165" s="39">
        <v>2.0</v>
      </c>
      <c r="B165" s="39" t="s">
        <v>399</v>
      </c>
      <c r="C165" s="40">
        <v>34.0</v>
      </c>
      <c r="D165" s="40">
        <v>10.0</v>
      </c>
      <c r="E165" s="41"/>
      <c r="F165" s="42" t="str">
        <f>HYPERLINK("https://dunia.tempo.co/read/1207361/ulama-syiah-terkemuka-minta-irak-tidak-diseret-dalam-perang ","sumber")</f>
        <v>sumber</v>
      </c>
      <c r="G165" s="40" t="s">
        <v>33</v>
      </c>
      <c r="H165" s="41"/>
      <c r="I165" s="41"/>
      <c r="J165" s="40">
        <v>4.0</v>
      </c>
      <c r="K165" s="41"/>
      <c r="L165" s="41"/>
      <c r="M165" s="41"/>
      <c r="N165" s="41"/>
      <c r="O165" s="41"/>
      <c r="P165" s="41"/>
      <c r="Q165" s="41"/>
      <c r="R165" s="41"/>
      <c r="S165" s="41"/>
      <c r="T165" s="41"/>
      <c r="U165" s="41"/>
      <c r="V165" s="41"/>
      <c r="W165" s="41"/>
      <c r="X165" s="41"/>
      <c r="Y165" s="41"/>
      <c r="Z165" s="47"/>
      <c r="AA165" s="43"/>
      <c r="AB165" s="48"/>
      <c r="AC165" s="48"/>
      <c r="AD165" s="48"/>
      <c r="AE165" s="48"/>
      <c r="AF165" s="48"/>
    </row>
    <row r="166">
      <c r="A166" s="39">
        <v>2.0</v>
      </c>
      <c r="B166" s="39" t="s">
        <v>400</v>
      </c>
      <c r="C166" s="40">
        <v>35.0</v>
      </c>
      <c r="D166" s="40">
        <v>8.0</v>
      </c>
      <c r="E166" s="41"/>
      <c r="F166" s="42" t="str">
        <f>HYPERLINK("https://www.suara.com/news/2019/05/21/102304/new-york-times-jokowi-menang-lagi-kalahkan-eks-jenderal-garis-keras ","sumber")</f>
        <v>sumber</v>
      </c>
      <c r="G166" s="40" t="s">
        <v>33</v>
      </c>
      <c r="H166" s="41"/>
      <c r="I166" s="41"/>
      <c r="J166" s="40">
        <v>4.0</v>
      </c>
      <c r="K166" s="41"/>
      <c r="L166" s="41"/>
      <c r="M166" s="41"/>
      <c r="N166" s="41"/>
      <c r="O166" s="41"/>
      <c r="P166" s="41"/>
      <c r="Q166" s="41"/>
      <c r="R166" s="41"/>
      <c r="S166" s="41"/>
      <c r="T166" s="41"/>
      <c r="U166" s="41"/>
      <c r="V166" s="41"/>
      <c r="W166" s="41"/>
      <c r="X166" s="41"/>
      <c r="Y166" s="41"/>
      <c r="Z166" s="47"/>
      <c r="AA166" s="43"/>
      <c r="AB166" s="48"/>
      <c r="AC166" s="48"/>
      <c r="AD166" s="48"/>
      <c r="AE166" s="48"/>
      <c r="AF166" s="48"/>
    </row>
    <row r="167">
      <c r="A167" s="24">
        <v>1.0</v>
      </c>
      <c r="B167" s="24" t="s">
        <v>401</v>
      </c>
      <c r="C167" s="25">
        <v>36.0</v>
      </c>
      <c r="D167" s="25">
        <v>9.0</v>
      </c>
      <c r="E167" s="26">
        <v>43713.0</v>
      </c>
      <c r="F167" s="27" t="str">
        <f>HYPERLINK("https://khazanah.republika.co.id/berita/dunia-islam/dunia/pr8vnn320/australia-nyatakan-bersalah-3-penyerang-masjid-syiah","sumber")</f>
        <v>sumber</v>
      </c>
      <c r="G167" s="25" t="s">
        <v>33</v>
      </c>
      <c r="H167" s="25">
        <v>147.0</v>
      </c>
      <c r="I167" s="25">
        <v>1.0</v>
      </c>
      <c r="J167" s="25">
        <v>4.0</v>
      </c>
      <c r="K167" s="25" t="s">
        <v>402</v>
      </c>
      <c r="L167" s="25">
        <v>0.0</v>
      </c>
      <c r="M167" s="25">
        <v>-1.0</v>
      </c>
      <c r="N167" s="38">
        <v>0.0</v>
      </c>
      <c r="O167" s="25">
        <v>0.0</v>
      </c>
      <c r="P167" s="25">
        <v>0.0</v>
      </c>
      <c r="Q167" s="25">
        <v>0.0</v>
      </c>
      <c r="R167" s="25">
        <v>0.0</v>
      </c>
      <c r="S167" s="29"/>
      <c r="T167" s="25">
        <v>0.0</v>
      </c>
      <c r="U167" s="25">
        <v>0.0</v>
      </c>
      <c r="V167" s="25">
        <v>0.0</v>
      </c>
      <c r="W167" s="29"/>
      <c r="X167" s="29"/>
      <c r="Y167" s="29"/>
      <c r="Z167" s="46"/>
      <c r="AA167" s="46"/>
      <c r="AB167" s="46"/>
      <c r="AC167" s="46"/>
      <c r="AD167" s="46"/>
      <c r="AE167" s="46"/>
      <c r="AF167" s="46"/>
    </row>
    <row r="168">
      <c r="A168" s="32">
        <v>1.0</v>
      </c>
      <c r="B168" s="32" t="s">
        <v>403</v>
      </c>
      <c r="C168" s="33">
        <v>37.0</v>
      </c>
      <c r="D168" s="33">
        <v>8.0</v>
      </c>
      <c r="E168" s="33" t="s">
        <v>404</v>
      </c>
      <c r="F168" s="35" t="str">
        <f>HYPERLINK("https://www.suara.com/news/2019/05/30/143211/eks-imam-masjidil-haram-era-rasulullah-pria-wanita-salat-tak-terpisah ","sumber")</f>
        <v>sumber</v>
      </c>
      <c r="G168" s="33" t="s">
        <v>33</v>
      </c>
      <c r="H168" s="36"/>
      <c r="I168" s="33">
        <v>4.0</v>
      </c>
      <c r="J168" s="33">
        <v>4.0</v>
      </c>
      <c r="K168" s="33" t="s">
        <v>405</v>
      </c>
      <c r="L168" s="33">
        <v>0.0</v>
      </c>
      <c r="M168" s="33">
        <v>0.0</v>
      </c>
      <c r="N168" s="37">
        <v>0.0</v>
      </c>
      <c r="O168" s="33">
        <v>0.0</v>
      </c>
      <c r="P168" s="33">
        <v>0.0</v>
      </c>
      <c r="Q168" s="33">
        <v>0.0</v>
      </c>
      <c r="R168" s="33">
        <v>1.0</v>
      </c>
      <c r="S168" s="36"/>
      <c r="T168" s="33">
        <v>0.0</v>
      </c>
      <c r="U168" s="33">
        <v>0.0</v>
      </c>
      <c r="V168" s="33">
        <v>0.0</v>
      </c>
      <c r="W168" s="36"/>
      <c r="X168" s="36"/>
      <c r="Y168" s="36"/>
      <c r="Z168" s="45"/>
      <c r="AA168" s="45"/>
      <c r="AB168" s="45"/>
      <c r="AC168" s="45"/>
      <c r="AD168" s="45"/>
      <c r="AE168" s="45"/>
      <c r="AF168" s="45"/>
    </row>
    <row r="169">
      <c r="A169" s="39">
        <v>2.0</v>
      </c>
      <c r="B169" s="39" t="s">
        <v>406</v>
      </c>
      <c r="C169" s="40">
        <v>38.0</v>
      </c>
      <c r="D169" s="40">
        <v>1.0</v>
      </c>
      <c r="E169" s="41"/>
      <c r="F169" s="42" t="str">
        <f>HYPERLINK("https://news.detik.com/berita/d-4572700/masjid-pelayan-umat-di-singapura ","sumber")</f>
        <v>sumber</v>
      </c>
      <c r="G169" s="40" t="s">
        <v>33</v>
      </c>
      <c r="H169" s="41"/>
      <c r="I169" s="41"/>
      <c r="J169" s="40">
        <v>4.0</v>
      </c>
      <c r="K169" s="41"/>
      <c r="L169" s="41"/>
      <c r="M169" s="41"/>
      <c r="N169" s="41"/>
      <c r="O169" s="41"/>
      <c r="P169" s="41"/>
      <c r="Q169" s="41"/>
      <c r="R169" s="41"/>
      <c r="S169" s="41"/>
      <c r="T169" s="41"/>
      <c r="U169" s="41"/>
      <c r="V169" s="41"/>
      <c r="W169" s="41"/>
      <c r="X169" s="41"/>
      <c r="Y169" s="41"/>
      <c r="Z169" s="47"/>
      <c r="AA169" s="43"/>
      <c r="AB169" s="48"/>
      <c r="AC169" s="48"/>
      <c r="AD169" s="48"/>
      <c r="AE169" s="48"/>
      <c r="AF169" s="48"/>
    </row>
    <row r="170">
      <c r="A170" s="24">
        <v>1.0</v>
      </c>
      <c r="B170" s="24" t="s">
        <v>407</v>
      </c>
      <c r="C170" s="25">
        <v>39.0</v>
      </c>
      <c r="D170" s="25">
        <v>7.0</v>
      </c>
      <c r="E170" s="25" t="s">
        <v>212</v>
      </c>
      <c r="F170" s="27" t="str">
        <f>HYPERLINK("https://www.tribunnews.com/regional/2019/05/31/demi-bhineka-tunggal-ika-sudah-20-tahun-istri-gus-dur-ny-sinta-gelar-sahur-bareng-umat-lintas-agama","sumber")</f>
        <v>sumber</v>
      </c>
      <c r="G170" s="25" t="s">
        <v>33</v>
      </c>
      <c r="H170" s="25">
        <v>241.0</v>
      </c>
      <c r="I170" s="25">
        <v>3.0</v>
      </c>
      <c r="J170" s="25">
        <v>4.0</v>
      </c>
      <c r="K170" s="25" t="s">
        <v>408</v>
      </c>
      <c r="L170" s="25">
        <v>0.0</v>
      </c>
      <c r="M170" s="25">
        <v>0.0</v>
      </c>
      <c r="N170" s="38">
        <v>0.0</v>
      </c>
      <c r="O170" s="25">
        <v>0.0</v>
      </c>
      <c r="P170" s="25">
        <v>0.0</v>
      </c>
      <c r="Q170" s="25" t="s">
        <v>131</v>
      </c>
      <c r="R170" s="25" t="s">
        <v>409</v>
      </c>
      <c r="S170" s="29"/>
      <c r="T170" s="25">
        <v>0.0</v>
      </c>
      <c r="U170" s="25">
        <v>0.0</v>
      </c>
      <c r="V170" s="25">
        <v>0.0</v>
      </c>
      <c r="W170" s="29"/>
      <c r="X170" s="29"/>
      <c r="Y170" s="29"/>
      <c r="Z170" s="46"/>
      <c r="AA170" s="46"/>
      <c r="AB170" s="46"/>
      <c r="AC170" s="46"/>
      <c r="AD170" s="46"/>
      <c r="AE170" s="46"/>
      <c r="AF170" s="46"/>
    </row>
    <row r="171">
      <c r="A171" s="39">
        <v>2.0</v>
      </c>
      <c r="B171" s="39" t="s">
        <v>410</v>
      </c>
      <c r="C171" s="40">
        <v>40.0</v>
      </c>
      <c r="D171" s="40">
        <v>3.0</v>
      </c>
      <c r="E171" s="41"/>
      <c r="F171" s="42" t="str">
        <f>HYPERLINK("https://news.okezone.com/read/2019/06/10/18/2065058/ditahan-sejak-berumur-13-tahun-remaja-arab-saudi-terancam-hukuman-mati ","sumber")</f>
        <v>sumber</v>
      </c>
      <c r="G171" s="40" t="s">
        <v>33</v>
      </c>
      <c r="H171" s="41"/>
      <c r="I171" s="41"/>
      <c r="J171" s="40">
        <v>4.0</v>
      </c>
      <c r="K171" s="41"/>
      <c r="L171" s="41"/>
      <c r="M171" s="41"/>
      <c r="N171" s="41"/>
      <c r="O171" s="41"/>
      <c r="P171" s="41"/>
      <c r="Q171" s="41"/>
      <c r="R171" s="41"/>
      <c r="S171" s="41"/>
      <c r="T171" s="41"/>
      <c r="U171" s="41"/>
      <c r="V171" s="41"/>
      <c r="W171" s="41"/>
      <c r="X171" s="41"/>
      <c r="Y171" s="41"/>
      <c r="Z171" s="47"/>
      <c r="AA171" s="43"/>
      <c r="AB171" s="48"/>
      <c r="AC171" s="48"/>
      <c r="AD171" s="48"/>
      <c r="AE171" s="48"/>
      <c r="AF171" s="48"/>
    </row>
    <row r="172">
      <c r="A172" s="39">
        <v>2.0</v>
      </c>
      <c r="B172" s="39" t="s">
        <v>411</v>
      </c>
      <c r="C172" s="40">
        <v>41.0</v>
      </c>
      <c r="D172" s="40">
        <v>8.0</v>
      </c>
      <c r="E172" s="41"/>
      <c r="F172" s="42" t="str">
        <f>HYPERLINK("https://www.suara.com/news/2019/06/10/180028/ditahan-sejak-13-tahun-aktivis-cilik-arab-saudi-mau-dipancung-dan-disalib ","sumber")</f>
        <v>sumber</v>
      </c>
      <c r="G172" s="40" t="s">
        <v>33</v>
      </c>
      <c r="H172" s="41"/>
      <c r="I172" s="41"/>
      <c r="J172" s="40">
        <v>4.0</v>
      </c>
      <c r="K172" s="41"/>
      <c r="L172" s="41"/>
      <c r="M172" s="41"/>
      <c r="N172" s="41"/>
      <c r="O172" s="41"/>
      <c r="P172" s="41"/>
      <c r="Q172" s="41"/>
      <c r="R172" s="41"/>
      <c r="S172" s="41"/>
      <c r="T172" s="41"/>
      <c r="U172" s="41"/>
      <c r="V172" s="41"/>
      <c r="W172" s="41"/>
      <c r="X172" s="41"/>
      <c r="Y172" s="41"/>
      <c r="Z172" s="47"/>
      <c r="AA172" s="43"/>
      <c r="AB172" s="48"/>
      <c r="AC172" s="48"/>
      <c r="AD172" s="48"/>
      <c r="AE172" s="48"/>
      <c r="AF172" s="48"/>
    </row>
    <row r="173">
      <c r="A173" s="39">
        <v>2.0</v>
      </c>
      <c r="B173" s="39" t="s">
        <v>412</v>
      </c>
      <c r="C173" s="40">
        <v>42.0</v>
      </c>
      <c r="D173" s="40">
        <v>9.0</v>
      </c>
      <c r="E173" s="41"/>
      <c r="F173" s="42" t="str">
        <f>HYPERLINK("https://internasional.republika.co.id/berita/internasional/timur-tengah/pt868k366/houthi-kembali-luncurkan-serangan-rudal-ke-bandara-abha ","sumber")</f>
        <v>sumber</v>
      </c>
      <c r="G173" s="40" t="s">
        <v>33</v>
      </c>
      <c r="H173" s="41"/>
      <c r="I173" s="41"/>
      <c r="J173" s="40">
        <v>4.0</v>
      </c>
      <c r="K173" s="41"/>
      <c r="L173" s="41"/>
      <c r="M173" s="41"/>
      <c r="N173" s="41"/>
      <c r="O173" s="41"/>
      <c r="P173" s="41"/>
      <c r="Q173" s="41"/>
      <c r="R173" s="41"/>
      <c r="S173" s="41"/>
      <c r="T173" s="41"/>
      <c r="U173" s="41"/>
      <c r="V173" s="41"/>
      <c r="W173" s="41"/>
      <c r="X173" s="41"/>
      <c r="Y173" s="41"/>
      <c r="Z173" s="47"/>
      <c r="AA173" s="43"/>
      <c r="AB173" s="48"/>
      <c r="AC173" s="48"/>
      <c r="AD173" s="48"/>
      <c r="AE173" s="48"/>
      <c r="AF173" s="48"/>
    </row>
    <row r="174">
      <c r="A174" s="32">
        <v>1.0</v>
      </c>
      <c r="B174" s="32" t="s">
        <v>413</v>
      </c>
      <c r="C174" s="33">
        <v>43.0</v>
      </c>
      <c r="D174" s="33">
        <v>6.0</v>
      </c>
      <c r="E174" s="33" t="s">
        <v>414</v>
      </c>
      <c r="F174" s="35" t="str">
        <f>HYPERLINK("https://regional.kompas.com/read/2019/06/18/14413951/jemaah-ahmadiyah-akan-direlokasi-ke-kecamatan-sembalun-di-lombok-timur ","sumber")</f>
        <v>sumber</v>
      </c>
      <c r="G174" s="33" t="s">
        <v>33</v>
      </c>
      <c r="H174" s="33">
        <v>208.0</v>
      </c>
      <c r="I174" s="33">
        <v>1.0</v>
      </c>
      <c r="J174" s="33">
        <v>4.0</v>
      </c>
      <c r="K174" s="33" t="s">
        <v>415</v>
      </c>
      <c r="L174" s="33">
        <v>0.0</v>
      </c>
      <c r="M174" s="33">
        <v>0.0</v>
      </c>
      <c r="N174" s="37">
        <v>0.0</v>
      </c>
      <c r="O174" s="33">
        <v>0.0</v>
      </c>
      <c r="P174" s="33">
        <v>0.0</v>
      </c>
      <c r="Q174" s="33">
        <v>0.0</v>
      </c>
      <c r="R174" s="33">
        <v>0.0</v>
      </c>
      <c r="S174" s="36"/>
      <c r="T174" s="33">
        <v>0.0</v>
      </c>
      <c r="U174" s="33">
        <v>0.0</v>
      </c>
      <c r="V174" s="33">
        <v>0.0</v>
      </c>
      <c r="W174" s="36"/>
      <c r="X174" s="36"/>
      <c r="Y174" s="36"/>
      <c r="Z174" s="45"/>
      <c r="AA174" s="45"/>
      <c r="AB174" s="45"/>
      <c r="AC174" s="45"/>
      <c r="AD174" s="45"/>
      <c r="AE174" s="45"/>
      <c r="AF174" s="45"/>
    </row>
    <row r="175">
      <c r="A175" s="39">
        <v>2.0</v>
      </c>
      <c r="B175" s="39" t="s">
        <v>416</v>
      </c>
      <c r="C175" s="40">
        <v>44.0</v>
      </c>
      <c r="D175" s="40">
        <v>4.0</v>
      </c>
      <c r="E175" s="41"/>
      <c r="F175" s="42" t="str">
        <f>HYPERLINK("https://www.liputan6.com/global/read/3992634/arab-saudi-tembak-dua-drone-bermuatan-bom-houthi-menyasar-kawasan-abha ","sumber")</f>
        <v>sumber</v>
      </c>
      <c r="G175" s="40" t="s">
        <v>33</v>
      </c>
      <c r="H175" s="41"/>
      <c r="I175" s="41"/>
      <c r="J175" s="40">
        <v>4.0</v>
      </c>
      <c r="K175" s="41"/>
      <c r="L175" s="41"/>
      <c r="M175" s="41"/>
      <c r="N175" s="41"/>
      <c r="O175" s="41"/>
      <c r="P175" s="41"/>
      <c r="Q175" s="41"/>
      <c r="R175" s="41"/>
      <c r="S175" s="41"/>
      <c r="T175" s="41"/>
      <c r="U175" s="41"/>
      <c r="V175" s="41"/>
      <c r="W175" s="41"/>
      <c r="X175" s="41"/>
      <c r="Y175" s="41"/>
      <c r="Z175" s="47"/>
      <c r="AA175" s="43"/>
      <c r="AB175" s="48"/>
      <c r="AC175" s="48"/>
      <c r="AD175" s="48"/>
      <c r="AE175" s="48"/>
      <c r="AF175" s="48"/>
    </row>
    <row r="176">
      <c r="A176" s="39">
        <v>2.0</v>
      </c>
      <c r="B176" s="39" t="s">
        <v>417</v>
      </c>
      <c r="C176" s="40">
        <v>45.0</v>
      </c>
      <c r="D176" s="40">
        <v>9.0</v>
      </c>
      <c r="E176" s="41"/>
      <c r="F176" s="42" t="str">
        <f>HYPERLINK("https://khazanah.republika.co.id/berita/dunia-islam/islam-nusantara/ptchqq320/islamic-science-park-madura-dilengkapi-piramida-wali-songo ","sumber")</f>
        <v>sumber</v>
      </c>
      <c r="G176" s="40" t="s">
        <v>33</v>
      </c>
      <c r="H176" s="41"/>
      <c r="I176" s="41"/>
      <c r="J176" s="40">
        <v>4.0</v>
      </c>
      <c r="K176" s="41"/>
      <c r="L176" s="41"/>
      <c r="M176" s="41"/>
      <c r="N176" s="41"/>
      <c r="O176" s="41"/>
      <c r="P176" s="41"/>
      <c r="Q176" s="41"/>
      <c r="R176" s="41"/>
      <c r="S176" s="41"/>
      <c r="T176" s="41"/>
      <c r="U176" s="41"/>
      <c r="V176" s="41"/>
      <c r="W176" s="41"/>
      <c r="X176" s="41"/>
      <c r="Y176" s="41"/>
      <c r="Z176" s="47"/>
      <c r="AA176" s="43"/>
      <c r="AB176" s="48"/>
      <c r="AC176" s="48"/>
      <c r="AD176" s="48"/>
      <c r="AE176" s="48"/>
      <c r="AF176" s="48"/>
    </row>
    <row r="177">
      <c r="A177" s="39">
        <v>2.0</v>
      </c>
      <c r="B177" s="39" t="s">
        <v>418</v>
      </c>
      <c r="C177" s="40">
        <v>46.0</v>
      </c>
      <c r="D177" s="40">
        <v>3.0</v>
      </c>
      <c r="E177" s="41"/>
      <c r="F177" s="42" t="str">
        <f>HYPERLINK("https://news.okezone.com/read/2019/06/21/18/2069413/ledakan-bom-di-masjid-baghdad-tewaskan-tujuh-orang ","sumber")</f>
        <v>sumber</v>
      </c>
      <c r="G177" s="40" t="s">
        <v>33</v>
      </c>
      <c r="H177" s="41"/>
      <c r="I177" s="41"/>
      <c r="J177" s="40">
        <v>4.0</v>
      </c>
      <c r="K177" s="41"/>
      <c r="L177" s="41"/>
      <c r="M177" s="41"/>
      <c r="N177" s="41"/>
      <c r="O177" s="41"/>
      <c r="P177" s="41"/>
      <c r="Q177" s="41"/>
      <c r="R177" s="41"/>
      <c r="S177" s="41"/>
      <c r="T177" s="41"/>
      <c r="U177" s="41"/>
      <c r="V177" s="41"/>
      <c r="W177" s="41"/>
      <c r="X177" s="41"/>
      <c r="Y177" s="41"/>
      <c r="Z177" s="47"/>
      <c r="AA177" s="43"/>
      <c r="AB177" s="48"/>
      <c r="AC177" s="48"/>
      <c r="AD177" s="48"/>
      <c r="AE177" s="48"/>
      <c r="AF177" s="48"/>
    </row>
    <row r="178">
      <c r="A178" s="24">
        <v>1.0</v>
      </c>
      <c r="B178" s="24" t="s">
        <v>419</v>
      </c>
      <c r="C178" s="25">
        <v>47.0</v>
      </c>
      <c r="D178" s="25">
        <v>10.0</v>
      </c>
      <c r="E178" s="25" t="s">
        <v>420</v>
      </c>
      <c r="F178" s="27" t="str">
        <f>HYPERLINK("https://dunia.tempo.co/read/1215458/tak-jadi-dieksekusi-mati-remaja-arab-saudi-divonis-12-tahun","sumber")</f>
        <v>sumber</v>
      </c>
      <c r="G178" s="25" t="s">
        <v>33</v>
      </c>
      <c r="H178" s="25">
        <v>470.0</v>
      </c>
      <c r="I178" s="25">
        <v>1.0</v>
      </c>
      <c r="J178" s="25">
        <v>4.0</v>
      </c>
      <c r="K178" s="25" t="s">
        <v>421</v>
      </c>
      <c r="L178" s="25">
        <v>0.0</v>
      </c>
      <c r="M178" s="25">
        <v>1.0</v>
      </c>
      <c r="N178" s="38">
        <v>0.0</v>
      </c>
      <c r="O178" s="25">
        <v>0.0</v>
      </c>
      <c r="P178" s="25">
        <v>0.0</v>
      </c>
      <c r="Q178" s="25" t="s">
        <v>61</v>
      </c>
      <c r="R178" s="25" t="s">
        <v>61</v>
      </c>
      <c r="S178" s="29"/>
      <c r="T178" s="25">
        <v>0.0</v>
      </c>
      <c r="U178" s="25">
        <v>0.0</v>
      </c>
      <c r="V178" s="25">
        <v>0.0</v>
      </c>
      <c r="W178" s="29"/>
      <c r="X178" s="29"/>
      <c r="Y178" s="29"/>
      <c r="Z178" s="46"/>
      <c r="AA178" s="46"/>
      <c r="AB178" s="46"/>
      <c r="AC178" s="46"/>
      <c r="AD178" s="46"/>
      <c r="AE178" s="46"/>
      <c r="AF178" s="46"/>
    </row>
    <row r="179">
      <c r="A179" s="24">
        <v>1.0</v>
      </c>
      <c r="B179" s="24" t="s">
        <v>422</v>
      </c>
      <c r="C179" s="25">
        <v>48.0</v>
      </c>
      <c r="D179" s="25">
        <v>1.0</v>
      </c>
      <c r="E179" s="26">
        <v>43591.0</v>
      </c>
      <c r="F179" s="27" t="str">
        <f>HYPERLINK("https://news.detik.com/berita/d-4576804/tradisi-azan-magrib-dua-kali-di-lebanon","sumber")</f>
        <v>sumber</v>
      </c>
      <c r="G179" s="25" t="s">
        <v>33</v>
      </c>
      <c r="H179" s="25">
        <v>896.0</v>
      </c>
      <c r="I179" s="25">
        <v>2.0</v>
      </c>
      <c r="J179" s="25">
        <v>4.0</v>
      </c>
      <c r="K179" s="25" t="s">
        <v>423</v>
      </c>
      <c r="L179" s="25">
        <v>0.0</v>
      </c>
      <c r="M179" s="25">
        <v>0.0</v>
      </c>
      <c r="N179" s="38">
        <v>0.0</v>
      </c>
      <c r="O179" s="25">
        <v>0.0</v>
      </c>
      <c r="P179" s="25">
        <v>0.0</v>
      </c>
      <c r="Q179" s="25">
        <v>0.0</v>
      </c>
      <c r="R179" s="25">
        <v>0.0</v>
      </c>
      <c r="S179" s="29"/>
      <c r="T179" s="25">
        <v>0.0</v>
      </c>
      <c r="U179" s="25">
        <v>0.0</v>
      </c>
      <c r="V179" s="25">
        <v>0.0</v>
      </c>
      <c r="W179" s="29"/>
      <c r="X179" s="29"/>
      <c r="Y179" s="29"/>
      <c r="Z179" s="46"/>
      <c r="AA179" s="46"/>
      <c r="AB179" s="46"/>
      <c r="AC179" s="46"/>
      <c r="AD179" s="46"/>
      <c r="AE179" s="46"/>
      <c r="AF179" s="46"/>
    </row>
    <row r="180">
      <c r="A180" s="39">
        <v>2.0</v>
      </c>
      <c r="B180" s="39" t="s">
        <v>424</v>
      </c>
      <c r="C180" s="40">
        <v>49.0</v>
      </c>
      <c r="D180" s="40">
        <v>9.0</v>
      </c>
      <c r="E180" s="41"/>
      <c r="F180" s="42" t="str">
        <f>HYPERLINK("https://khazanah.republika.co.id/berita/dunia-islam/dunia/ptqemb313/menelusuri-jejak-islam-di-finlandia ","sumber")</f>
        <v>sumber</v>
      </c>
      <c r="G180" s="40" t="s">
        <v>33</v>
      </c>
      <c r="H180" s="41"/>
      <c r="I180" s="41"/>
      <c r="J180" s="40">
        <v>4.0</v>
      </c>
      <c r="K180" s="41"/>
      <c r="L180" s="41"/>
      <c r="M180" s="41"/>
      <c r="N180" s="41"/>
      <c r="O180" s="41"/>
      <c r="P180" s="41"/>
      <c r="Q180" s="41"/>
      <c r="R180" s="41"/>
      <c r="S180" s="41"/>
      <c r="T180" s="41"/>
      <c r="U180" s="41"/>
      <c r="V180" s="41"/>
      <c r="W180" s="41"/>
      <c r="X180" s="41"/>
      <c r="Y180" s="41"/>
      <c r="Z180" s="47"/>
      <c r="AA180" s="43"/>
      <c r="AB180" s="48"/>
      <c r="AC180" s="48"/>
      <c r="AD180" s="48"/>
      <c r="AE180" s="48"/>
      <c r="AF180" s="48"/>
    </row>
    <row r="181">
      <c r="A181" s="39">
        <v>2.0</v>
      </c>
      <c r="B181" s="39" t="s">
        <v>425</v>
      </c>
      <c r="C181" s="40">
        <v>50.0</v>
      </c>
      <c r="D181" s="40">
        <v>9.0</v>
      </c>
      <c r="E181" s="41"/>
      <c r="F181" s="42" t="str">
        <f>HYPERLINK("https://khazanah.republika.co.id/berita/pu3fsj313/tiga-pesantren-bersejarah-di-sumatera ","sumber")</f>
        <v>sumber</v>
      </c>
      <c r="G181" s="40" t="s">
        <v>33</v>
      </c>
      <c r="H181" s="41"/>
      <c r="I181" s="41"/>
      <c r="J181" s="40">
        <v>4.0</v>
      </c>
      <c r="K181" s="41"/>
      <c r="L181" s="41"/>
      <c r="M181" s="41"/>
      <c r="N181" s="41"/>
      <c r="O181" s="41"/>
      <c r="P181" s="41"/>
      <c r="Q181" s="41"/>
      <c r="R181" s="41"/>
      <c r="S181" s="41"/>
      <c r="T181" s="41"/>
      <c r="U181" s="41"/>
      <c r="V181" s="41"/>
      <c r="W181" s="41"/>
      <c r="X181" s="41"/>
      <c r="Y181" s="41"/>
      <c r="Z181" s="47"/>
      <c r="AA181" s="43"/>
      <c r="AB181" s="48"/>
      <c r="AC181" s="48"/>
      <c r="AD181" s="48"/>
      <c r="AE181" s="48"/>
      <c r="AF181" s="48"/>
    </row>
    <row r="182">
      <c r="A182" s="39">
        <v>2.0</v>
      </c>
      <c r="B182" s="39" t="s">
        <v>426</v>
      </c>
      <c r="C182" s="40">
        <v>51.0</v>
      </c>
      <c r="D182" s="40">
        <v>9.0</v>
      </c>
      <c r="E182" s="41"/>
      <c r="F182" s="42" t="str">
        <f>HYPERLINK("https://khazanah.republika.co.id/berita/pu9qa4313/tiga-masjid-terkenal-di-selandia-baru ","sumber")</f>
        <v>sumber</v>
      </c>
      <c r="G182" s="40" t="s">
        <v>33</v>
      </c>
      <c r="H182" s="41"/>
      <c r="I182" s="41"/>
      <c r="J182" s="40">
        <v>4.0</v>
      </c>
      <c r="K182" s="41"/>
      <c r="L182" s="41"/>
      <c r="M182" s="41"/>
      <c r="N182" s="41"/>
      <c r="O182" s="41"/>
      <c r="P182" s="41"/>
      <c r="Q182" s="41"/>
      <c r="R182" s="41"/>
      <c r="S182" s="41"/>
      <c r="T182" s="41"/>
      <c r="U182" s="41"/>
      <c r="V182" s="41"/>
      <c r="W182" s="41"/>
      <c r="X182" s="41"/>
      <c r="Y182" s="41"/>
      <c r="Z182" s="47"/>
      <c r="AA182" s="43"/>
      <c r="AB182" s="48"/>
      <c r="AC182" s="48"/>
      <c r="AD182" s="48"/>
      <c r="AE182" s="48"/>
      <c r="AF182" s="48"/>
    </row>
    <row r="183">
      <c r="A183" s="39">
        <v>2.0</v>
      </c>
      <c r="B183" s="39" t="s">
        <v>427</v>
      </c>
      <c r="C183" s="40">
        <v>52.0</v>
      </c>
      <c r="D183" s="40">
        <v>4.0</v>
      </c>
      <c r="E183" s="41"/>
      <c r="F183" s="42" t="str">
        <f>HYPERLINK("https://www.liputan6.com/news/read/4007462/diumumkan-besok-ini-daftar-laman-cek-sbmptn-2019 ","sumber")</f>
        <v>sumber</v>
      </c>
      <c r="G183" s="40" t="s">
        <v>33</v>
      </c>
      <c r="H183" s="41"/>
      <c r="I183" s="41"/>
      <c r="J183" s="40">
        <v>4.0</v>
      </c>
      <c r="K183" s="41"/>
      <c r="L183" s="41"/>
      <c r="M183" s="41"/>
      <c r="N183" s="41"/>
      <c r="O183" s="41"/>
      <c r="P183" s="41"/>
      <c r="Q183" s="41"/>
      <c r="R183" s="41"/>
      <c r="S183" s="41"/>
      <c r="T183" s="41"/>
      <c r="U183" s="41"/>
      <c r="V183" s="41"/>
      <c r="W183" s="41"/>
      <c r="X183" s="41"/>
      <c r="Y183" s="41"/>
      <c r="Z183" s="47"/>
      <c r="AA183" s="43"/>
      <c r="AB183" s="48"/>
      <c r="AC183" s="48"/>
      <c r="AD183" s="48"/>
      <c r="AE183" s="48"/>
      <c r="AF183" s="48"/>
    </row>
    <row r="184">
      <c r="A184" s="39">
        <v>2.0</v>
      </c>
      <c r="B184" s="39" t="s">
        <v>428</v>
      </c>
      <c r="C184" s="40">
        <v>53.0</v>
      </c>
      <c r="D184" s="40">
        <v>4.0</v>
      </c>
      <c r="E184" s="41"/>
      <c r="F184" s="42" t="str">
        <f>HYPERLINK("https://www.liputan6.com/global/read/4011229/iran-peringatkan-kekuatan-barat-untuk-tinggalkan-teluk-persia ","sumber")</f>
        <v>sumber</v>
      </c>
      <c r="G184" s="40" t="s">
        <v>33</v>
      </c>
      <c r="H184" s="41"/>
      <c r="I184" s="41"/>
      <c r="J184" s="40">
        <v>4.0</v>
      </c>
      <c r="K184" s="41"/>
      <c r="L184" s="41"/>
      <c r="M184" s="41"/>
      <c r="N184" s="41"/>
      <c r="O184" s="41"/>
      <c r="P184" s="41"/>
      <c r="Q184" s="41"/>
      <c r="R184" s="41"/>
      <c r="S184" s="41"/>
      <c r="T184" s="41"/>
      <c r="U184" s="41"/>
      <c r="V184" s="41"/>
      <c r="W184" s="41"/>
      <c r="X184" s="41"/>
      <c r="Y184" s="41"/>
      <c r="Z184" s="47"/>
      <c r="AA184" s="43"/>
      <c r="AB184" s="48"/>
      <c r="AC184" s="48"/>
      <c r="AD184" s="48"/>
      <c r="AE184" s="48"/>
      <c r="AF184" s="48"/>
    </row>
    <row r="185">
      <c r="A185" s="39">
        <v>2.0</v>
      </c>
      <c r="B185" s="39" t="s">
        <v>429</v>
      </c>
      <c r="C185" s="40">
        <v>54.0</v>
      </c>
      <c r="D185" s="40">
        <v>2.0</v>
      </c>
      <c r="E185" s="41"/>
      <c r="F185" s="42" t="str">
        <f>HYPERLINK("https://www.cnnindonesia.com/internasional/20190718123638-106-413231/myanmar-protes-as-karena-beri-sanksi-panglima-militer ","sumber")</f>
        <v>sumber</v>
      </c>
      <c r="G185" s="40" t="s">
        <v>33</v>
      </c>
      <c r="H185" s="41"/>
      <c r="I185" s="41"/>
      <c r="J185" s="40">
        <v>4.0</v>
      </c>
      <c r="K185" s="41"/>
      <c r="L185" s="41"/>
      <c r="M185" s="41"/>
      <c r="N185" s="41"/>
      <c r="O185" s="41"/>
      <c r="P185" s="41"/>
      <c r="Q185" s="41"/>
      <c r="R185" s="41"/>
      <c r="S185" s="41"/>
      <c r="T185" s="41"/>
      <c r="U185" s="41"/>
      <c r="V185" s="41"/>
      <c r="W185" s="41"/>
      <c r="X185" s="41"/>
      <c r="Y185" s="41"/>
      <c r="Z185" s="47"/>
      <c r="AA185" s="43"/>
      <c r="AB185" s="48"/>
      <c r="AC185" s="48"/>
      <c r="AD185" s="48"/>
      <c r="AE185" s="48"/>
      <c r="AF185" s="48"/>
    </row>
    <row r="186">
      <c r="A186" s="32">
        <v>1.0</v>
      </c>
      <c r="B186" s="32" t="s">
        <v>430</v>
      </c>
      <c r="C186" s="33">
        <v>55.0</v>
      </c>
      <c r="D186" s="33">
        <v>2.0</v>
      </c>
      <c r="E186" s="33" t="s">
        <v>431</v>
      </c>
      <c r="F186" s="35" t="str">
        <f>HYPERLINK("https://www.cnnindonesia.com/nasional/20190723172746-12-414828/jokowi-resmikan-pencatatan-perkawinan-penghayat-kepercayaan ","sumber")</f>
        <v>sumber</v>
      </c>
      <c r="G186" s="33" t="s">
        <v>33</v>
      </c>
      <c r="H186" s="33">
        <v>564.0</v>
      </c>
      <c r="I186" s="33">
        <v>4.0</v>
      </c>
      <c r="J186" s="33">
        <v>4.0</v>
      </c>
      <c r="K186" s="33" t="s">
        <v>432</v>
      </c>
      <c r="L186" s="33">
        <v>0.0</v>
      </c>
      <c r="M186" s="33">
        <v>0.0</v>
      </c>
      <c r="N186" s="37">
        <v>0.0</v>
      </c>
      <c r="O186" s="33">
        <v>0.0</v>
      </c>
      <c r="P186" s="33">
        <v>0.0</v>
      </c>
      <c r="Q186" s="33">
        <v>0.0</v>
      </c>
      <c r="R186" s="33">
        <v>0.0</v>
      </c>
      <c r="S186" s="36"/>
      <c r="T186" s="33">
        <v>0.0</v>
      </c>
      <c r="U186" s="33">
        <v>0.0</v>
      </c>
      <c r="V186" s="33">
        <v>1.0</v>
      </c>
      <c r="W186" s="36"/>
      <c r="X186" s="36"/>
      <c r="Y186" s="36"/>
      <c r="Z186" s="45"/>
      <c r="AA186" s="45"/>
      <c r="AB186" s="45"/>
      <c r="AC186" s="45"/>
      <c r="AD186" s="45"/>
      <c r="AE186" s="45"/>
      <c r="AF186" s="45"/>
    </row>
    <row r="187">
      <c r="A187" s="39">
        <v>2.0</v>
      </c>
      <c r="B187" s="39" t="s">
        <v>433</v>
      </c>
      <c r="C187" s="40">
        <v>56.0</v>
      </c>
      <c r="D187" s="40">
        <v>6.0</v>
      </c>
      <c r="E187" s="41"/>
      <c r="F187" s="42" t="str">
        <f>HYPERLINK("https://regional.kompas.com/read/2019/07/23/07000021/kisah-pilu-tkw-turini-tak-digaji-21-tahun-hingga-dipenjara-dalam-rumah ","sumber")</f>
        <v>sumber</v>
      </c>
      <c r="G187" s="40" t="s">
        <v>33</v>
      </c>
      <c r="H187" s="41"/>
      <c r="I187" s="41"/>
      <c r="J187" s="40">
        <v>4.0</v>
      </c>
      <c r="K187" s="41"/>
      <c r="L187" s="41"/>
      <c r="M187" s="41"/>
      <c r="N187" s="41"/>
      <c r="O187" s="41"/>
      <c r="P187" s="41"/>
      <c r="Q187" s="41"/>
      <c r="R187" s="41"/>
      <c r="S187" s="41"/>
      <c r="T187" s="41"/>
      <c r="U187" s="41"/>
      <c r="V187" s="41"/>
      <c r="W187" s="41"/>
      <c r="X187" s="41"/>
      <c r="Y187" s="41"/>
      <c r="Z187" s="47"/>
      <c r="AA187" s="43"/>
      <c r="AB187" s="48"/>
      <c r="AC187" s="48"/>
      <c r="AD187" s="48"/>
      <c r="AE187" s="48"/>
      <c r="AF187" s="48"/>
    </row>
    <row r="188">
      <c r="A188" s="39">
        <v>2.0</v>
      </c>
      <c r="B188" s="39" t="s">
        <v>434</v>
      </c>
      <c r="C188" s="40">
        <v>57.0</v>
      </c>
      <c r="D188" s="40">
        <v>2.0</v>
      </c>
      <c r="E188" s="41"/>
      <c r="F188" s="42" t="str">
        <f>HYPERLINK("https://www.cnnindonesia.com/nasional/20190724104052-32-415001/dpr-tegaskan-harus-ada-batasan-akses-data-penduduk-ke-swasta ","sumber")</f>
        <v>sumber</v>
      </c>
      <c r="G188" s="40" t="s">
        <v>33</v>
      </c>
      <c r="H188" s="41"/>
      <c r="I188" s="41"/>
      <c r="J188" s="40">
        <v>4.0</v>
      </c>
      <c r="K188" s="41"/>
      <c r="L188" s="41"/>
      <c r="M188" s="41"/>
      <c r="N188" s="41"/>
      <c r="O188" s="41"/>
      <c r="P188" s="41"/>
      <c r="Q188" s="41"/>
      <c r="R188" s="41"/>
      <c r="S188" s="41"/>
      <c r="T188" s="41"/>
      <c r="U188" s="41"/>
      <c r="V188" s="41"/>
      <c r="W188" s="41"/>
      <c r="X188" s="41"/>
      <c r="Y188" s="41"/>
      <c r="Z188" s="47"/>
      <c r="AA188" s="43"/>
      <c r="AB188" s="48"/>
      <c r="AC188" s="48"/>
      <c r="AD188" s="48"/>
      <c r="AE188" s="48"/>
      <c r="AF188" s="48"/>
    </row>
    <row r="189">
      <c r="A189" s="39">
        <v>2.0</v>
      </c>
      <c r="B189" s="39" t="s">
        <v>435</v>
      </c>
      <c r="C189" s="40">
        <v>58.0</v>
      </c>
      <c r="D189" s="40">
        <v>7.0</v>
      </c>
      <c r="E189" s="41"/>
      <c r="F189" s="42" t="str">
        <f>HYPERLINK("https://www.tribunnews.com/australia-plus/2019/07/24/pembakar-masjid-syiah-di-melbourne-dipenjarakan-lebih-dari-16-tahun ","sumber")</f>
        <v>sumber</v>
      </c>
      <c r="G189" s="40" t="s">
        <v>33</v>
      </c>
      <c r="H189" s="41"/>
      <c r="I189" s="41"/>
      <c r="J189" s="40">
        <v>4.0</v>
      </c>
      <c r="K189" s="41"/>
      <c r="L189" s="41"/>
      <c r="M189" s="41"/>
      <c r="N189" s="41"/>
      <c r="O189" s="41"/>
      <c r="P189" s="41"/>
      <c r="Q189" s="41"/>
      <c r="R189" s="41"/>
      <c r="S189" s="41"/>
      <c r="T189" s="41"/>
      <c r="U189" s="41"/>
      <c r="V189" s="41"/>
      <c r="W189" s="41"/>
      <c r="X189" s="41"/>
      <c r="Y189" s="41"/>
      <c r="Z189" s="47"/>
      <c r="AA189" s="43"/>
      <c r="AB189" s="48"/>
      <c r="AC189" s="48"/>
      <c r="AD189" s="48"/>
      <c r="AE189" s="48"/>
      <c r="AF189" s="48"/>
    </row>
    <row r="190">
      <c r="A190" s="39">
        <v>2.0</v>
      </c>
      <c r="B190" s="39" t="s">
        <v>436</v>
      </c>
      <c r="C190" s="40">
        <v>59.0</v>
      </c>
      <c r="D190" s="40">
        <v>4.0</v>
      </c>
      <c r="E190" s="41"/>
      <c r="F190" s="42" t="str">
        <f>HYPERLINK("https://www.liputan6.com/global/read/4025835/5-orang-tewas-usai-motor-pembawa-bom-meledak-di-pakistan ","sumber")</f>
        <v>sumber</v>
      </c>
      <c r="G190" s="40" t="s">
        <v>33</v>
      </c>
      <c r="H190" s="41"/>
      <c r="I190" s="41"/>
      <c r="J190" s="40">
        <v>4.0</v>
      </c>
      <c r="K190" s="41"/>
      <c r="L190" s="41"/>
      <c r="M190" s="41"/>
      <c r="N190" s="41"/>
      <c r="O190" s="41"/>
      <c r="P190" s="41"/>
      <c r="Q190" s="41"/>
      <c r="R190" s="41"/>
      <c r="S190" s="41"/>
      <c r="T190" s="41"/>
      <c r="U190" s="41"/>
      <c r="V190" s="41"/>
      <c r="W190" s="41"/>
      <c r="X190" s="41"/>
      <c r="Y190" s="41"/>
      <c r="Z190" s="47"/>
      <c r="AA190" s="43"/>
      <c r="AB190" s="48"/>
      <c r="AC190" s="48"/>
      <c r="AD190" s="48"/>
      <c r="AE190" s="48"/>
      <c r="AF190" s="48"/>
    </row>
    <row r="191">
      <c r="A191" s="39">
        <v>2.0</v>
      </c>
      <c r="B191" s="39" t="s">
        <v>437</v>
      </c>
      <c r="C191" s="40">
        <v>60.0</v>
      </c>
      <c r="D191" s="40">
        <v>8.0</v>
      </c>
      <c r="E191" s="41"/>
      <c r="F191" s="42" t="str">
        <f>HYPERLINK("https://www.suara.com/news/2019/08/01/165528/politikus-pkb-ngaku-pernah-dipukuli-oknum-fpi-awit-mashuri-jangan-cengeng ","sumber")</f>
        <v>sumber</v>
      </c>
      <c r="G191" s="40" t="s">
        <v>33</v>
      </c>
      <c r="H191" s="41"/>
      <c r="I191" s="41"/>
      <c r="J191" s="40">
        <v>4.0</v>
      </c>
      <c r="K191" s="41"/>
      <c r="L191" s="41"/>
      <c r="M191" s="41"/>
      <c r="N191" s="41"/>
      <c r="O191" s="41"/>
      <c r="P191" s="41"/>
      <c r="Q191" s="41"/>
      <c r="R191" s="41"/>
      <c r="S191" s="41"/>
      <c r="T191" s="41"/>
      <c r="U191" s="41"/>
      <c r="V191" s="41"/>
      <c r="W191" s="41"/>
      <c r="X191" s="41"/>
      <c r="Y191" s="41"/>
      <c r="Z191" s="47"/>
      <c r="AA191" s="43"/>
      <c r="AB191" s="48"/>
      <c r="AC191" s="48"/>
      <c r="AD191" s="48"/>
      <c r="AE191" s="48"/>
      <c r="AF191" s="48"/>
    </row>
    <row r="192">
      <c r="A192" s="39">
        <v>2.0</v>
      </c>
      <c r="B192" s="39" t="s">
        <v>438</v>
      </c>
      <c r="C192" s="40">
        <v>61.0</v>
      </c>
      <c r="D192" s="40">
        <v>4.0</v>
      </c>
      <c r="E192" s="41"/>
      <c r="F192" s="42" t="str">
        <f>HYPERLINK("https://www.liputan6.com/global/read/4019232/nasib-pengungsi-terlunta-lunta-di-indonesia-ditolak-negeri-impian ","sumber")</f>
        <v>sumber</v>
      </c>
      <c r="G192" s="40" t="s">
        <v>33</v>
      </c>
      <c r="H192" s="41"/>
      <c r="I192" s="41"/>
      <c r="J192" s="40">
        <v>4.0</v>
      </c>
      <c r="K192" s="41"/>
      <c r="L192" s="41"/>
      <c r="M192" s="41"/>
      <c r="N192" s="41"/>
      <c r="O192" s="41"/>
      <c r="P192" s="41"/>
      <c r="Q192" s="41"/>
      <c r="R192" s="41"/>
      <c r="S192" s="41"/>
      <c r="T192" s="41"/>
      <c r="U192" s="41"/>
      <c r="V192" s="41"/>
      <c r="W192" s="41"/>
      <c r="X192" s="41"/>
      <c r="Y192" s="41"/>
      <c r="Z192" s="47"/>
      <c r="AA192" s="43"/>
      <c r="AB192" s="48"/>
      <c r="AC192" s="48"/>
      <c r="AD192" s="48"/>
      <c r="AE192" s="48"/>
      <c r="AF192" s="48"/>
    </row>
    <row r="193">
      <c r="A193" s="32">
        <v>1.0</v>
      </c>
      <c r="B193" s="32" t="s">
        <v>439</v>
      </c>
      <c r="C193" s="33">
        <v>62.0</v>
      </c>
      <c r="D193" s="33">
        <v>6.0</v>
      </c>
      <c r="E193" s="34">
        <v>43654.0</v>
      </c>
      <c r="F193" s="35" t="str">
        <f>HYPERLINK("https://regional.kompas.com/read/2019/08/07/22354881/sebanyak-160-ribu-warga-cantumkan-identitas-penghayat-kepercayaan-di-ktp ","sumber")</f>
        <v>sumber</v>
      </c>
      <c r="G193" s="33" t="s">
        <v>33</v>
      </c>
      <c r="H193" s="33">
        <v>398.0</v>
      </c>
      <c r="I193" s="33">
        <v>4.0</v>
      </c>
      <c r="J193" s="33">
        <v>4.0</v>
      </c>
      <c r="K193" s="33" t="s">
        <v>440</v>
      </c>
      <c r="L193" s="33">
        <v>0.0</v>
      </c>
      <c r="M193" s="33">
        <v>0.0</v>
      </c>
      <c r="N193" s="37">
        <v>0.0</v>
      </c>
      <c r="O193" s="33">
        <v>0.0</v>
      </c>
      <c r="P193" s="33">
        <v>0.0</v>
      </c>
      <c r="Q193" s="33" t="s">
        <v>119</v>
      </c>
      <c r="R193" s="33" t="s">
        <v>100</v>
      </c>
      <c r="S193" s="36"/>
      <c r="T193" s="33">
        <v>0.0</v>
      </c>
      <c r="U193" s="33">
        <v>0.0</v>
      </c>
      <c r="V193" s="33">
        <v>1.0</v>
      </c>
      <c r="W193" s="36"/>
      <c r="X193" s="36"/>
      <c r="Y193" s="36"/>
      <c r="Z193" s="45"/>
      <c r="AA193" s="45"/>
      <c r="AB193" s="45"/>
      <c r="AC193" s="45"/>
      <c r="AD193" s="45"/>
      <c r="AE193" s="45"/>
      <c r="AF193" s="45"/>
    </row>
    <row r="194">
      <c r="A194" s="39">
        <v>2.0</v>
      </c>
      <c r="B194" s="39" t="s">
        <v>441</v>
      </c>
      <c r="C194" s="40">
        <v>63.0</v>
      </c>
      <c r="D194" s="40">
        <v>5.0</v>
      </c>
      <c r="E194" s="41"/>
      <c r="F194" s="42" t="str">
        <f>HYPERLINK("https://tirto.id/berita-pindah-agama-cenderung-menyudutkan-penganut-agama-minoritas-efVZ ","sumber")</f>
        <v>sumber</v>
      </c>
      <c r="G194" s="40" t="s">
        <v>33</v>
      </c>
      <c r="H194" s="41"/>
      <c r="I194" s="41"/>
      <c r="J194" s="40">
        <v>4.0</v>
      </c>
      <c r="K194" s="41"/>
      <c r="L194" s="41"/>
      <c r="M194" s="41"/>
      <c r="N194" s="41"/>
      <c r="O194" s="41"/>
      <c r="P194" s="41"/>
      <c r="Q194" s="41"/>
      <c r="R194" s="41"/>
      <c r="S194" s="41"/>
      <c r="T194" s="41"/>
      <c r="U194" s="41"/>
      <c r="V194" s="41"/>
      <c r="W194" s="41"/>
      <c r="X194" s="41"/>
      <c r="Y194" s="41"/>
      <c r="Z194" s="47"/>
      <c r="AA194" s="43"/>
      <c r="AB194" s="48"/>
      <c r="AC194" s="48"/>
      <c r="AD194" s="48"/>
      <c r="AE194" s="48"/>
      <c r="AF194" s="48"/>
    </row>
    <row r="195">
      <c r="A195" s="39">
        <v>2.0</v>
      </c>
      <c r="B195" s="39" t="s">
        <v>442</v>
      </c>
      <c r="C195" s="40">
        <v>64.0</v>
      </c>
      <c r="D195" s="40">
        <v>10.0</v>
      </c>
      <c r="E195" s="41"/>
      <c r="F195" s="42" t="str">
        <f>HYPERLINK("https://tekno.tempo.co/read/1238089/daftar-peringkat-100-perguruan-tinggi-non-vokasi-2019 ","sumber")</f>
        <v>sumber</v>
      </c>
      <c r="G195" s="40" t="s">
        <v>33</v>
      </c>
      <c r="H195" s="41"/>
      <c r="I195" s="41"/>
      <c r="J195" s="40">
        <v>4.0</v>
      </c>
      <c r="K195" s="41"/>
      <c r="L195" s="41"/>
      <c r="M195" s="41"/>
      <c r="N195" s="41"/>
      <c r="O195" s="41"/>
      <c r="P195" s="41"/>
      <c r="Q195" s="41"/>
      <c r="R195" s="41"/>
      <c r="S195" s="41"/>
      <c r="T195" s="41"/>
      <c r="U195" s="41"/>
      <c r="V195" s="41"/>
      <c r="W195" s="41"/>
      <c r="X195" s="41"/>
      <c r="Y195" s="41"/>
      <c r="Z195" s="47"/>
      <c r="AA195" s="43"/>
      <c r="AB195" s="48"/>
      <c r="AC195" s="48"/>
      <c r="AD195" s="48"/>
      <c r="AE195" s="48"/>
      <c r="AF195" s="48"/>
    </row>
    <row r="196">
      <c r="A196" s="24">
        <v>1.0</v>
      </c>
      <c r="B196" s="24" t="s">
        <v>443</v>
      </c>
      <c r="C196" s="25">
        <v>65.0</v>
      </c>
      <c r="D196" s="25">
        <v>2.0</v>
      </c>
      <c r="E196" s="26">
        <v>43807.0</v>
      </c>
      <c r="F196" s="27" t="str">
        <f>HYPERLINK("https://www.cnnindonesia.com/nasional/20190812203902-20-420708/lintas-agama-semarang-ingin-mbah-moen-jadi-pahlawan-nasional","sumber")</f>
        <v>sumber</v>
      </c>
      <c r="G196" s="25" t="s">
        <v>33</v>
      </c>
      <c r="H196" s="25">
        <v>565.0</v>
      </c>
      <c r="I196" s="25">
        <v>2.0</v>
      </c>
      <c r="J196" s="25">
        <v>4.0</v>
      </c>
      <c r="K196" s="25" t="s">
        <v>444</v>
      </c>
      <c r="L196" s="25">
        <v>0.0</v>
      </c>
      <c r="M196" s="25">
        <v>0.0</v>
      </c>
      <c r="N196" s="38">
        <v>0.0</v>
      </c>
      <c r="O196" s="25">
        <v>0.0</v>
      </c>
      <c r="P196" s="25">
        <v>0.0</v>
      </c>
      <c r="Q196" s="25" t="s">
        <v>191</v>
      </c>
      <c r="R196" s="25" t="s">
        <v>192</v>
      </c>
      <c r="S196" s="29"/>
      <c r="T196" s="25">
        <v>0.0</v>
      </c>
      <c r="U196" s="25">
        <v>0.0</v>
      </c>
      <c r="V196" s="25">
        <v>0.0</v>
      </c>
      <c r="W196" s="29"/>
      <c r="X196" s="29"/>
      <c r="Y196" s="29"/>
      <c r="Z196" s="46"/>
      <c r="AA196" s="46"/>
      <c r="AB196" s="46"/>
      <c r="AC196" s="46"/>
      <c r="AD196" s="46"/>
      <c r="AE196" s="46"/>
      <c r="AF196" s="46"/>
    </row>
    <row r="197">
      <c r="A197" s="39">
        <v>2.0</v>
      </c>
      <c r="B197" s="39" t="s">
        <v>445</v>
      </c>
      <c r="C197" s="40">
        <v>66.0</v>
      </c>
      <c r="D197" s="40">
        <v>4.0</v>
      </c>
      <c r="E197" s="41"/>
      <c r="F197" s="42" t="str">
        <f>HYPERLINK("https://www.liputan6.com/news/read/4049497/aksi-seru-mahasiswa-bicara-masa-jabatan-presiden-dalam-debat-konstitusi-mpr ","sumber")</f>
        <v>sumber</v>
      </c>
      <c r="G197" s="40" t="s">
        <v>33</v>
      </c>
      <c r="H197" s="41"/>
      <c r="I197" s="41"/>
      <c r="J197" s="40">
        <v>4.0</v>
      </c>
      <c r="K197" s="41"/>
      <c r="L197" s="41"/>
      <c r="M197" s="41"/>
      <c r="N197" s="41"/>
      <c r="O197" s="41"/>
      <c r="P197" s="41"/>
      <c r="Q197" s="41"/>
      <c r="R197" s="41"/>
      <c r="S197" s="41"/>
      <c r="T197" s="41"/>
      <c r="U197" s="41"/>
      <c r="V197" s="41"/>
      <c r="W197" s="41"/>
      <c r="X197" s="41"/>
      <c r="Y197" s="41"/>
      <c r="Z197" s="47"/>
      <c r="AA197" s="43"/>
      <c r="AB197" s="48"/>
      <c r="AC197" s="48"/>
      <c r="AD197" s="48"/>
      <c r="AE197" s="48"/>
      <c r="AF197" s="48"/>
    </row>
    <row r="198">
      <c r="A198" s="39">
        <v>2.0</v>
      </c>
      <c r="B198" s="39" t="s">
        <v>446</v>
      </c>
      <c r="C198" s="40">
        <v>67.0</v>
      </c>
      <c r="D198" s="40">
        <v>9.0</v>
      </c>
      <c r="E198" s="41"/>
      <c r="F198" s="42" t="str">
        <f>HYPERLINK("https://nasional.republika.co.id/berita/px7bqv382/jk-pemerintah-akan-kurangi-pegawai-administrasi ","sumber")</f>
        <v>sumber</v>
      </c>
      <c r="G198" s="40" t="s">
        <v>33</v>
      </c>
      <c r="H198" s="41"/>
      <c r="I198" s="41"/>
      <c r="J198" s="40">
        <v>4.0</v>
      </c>
      <c r="K198" s="41"/>
      <c r="L198" s="41"/>
      <c r="M198" s="41"/>
      <c r="N198" s="41"/>
      <c r="O198" s="41"/>
      <c r="P198" s="41"/>
      <c r="Q198" s="41"/>
      <c r="R198" s="41"/>
      <c r="S198" s="41"/>
      <c r="T198" s="41"/>
      <c r="U198" s="41"/>
      <c r="V198" s="41"/>
      <c r="W198" s="41"/>
      <c r="X198" s="41"/>
      <c r="Y198" s="41"/>
      <c r="Z198" s="47"/>
      <c r="AA198" s="43"/>
      <c r="AB198" s="48"/>
      <c r="AC198" s="48"/>
      <c r="AD198" s="48"/>
      <c r="AE198" s="48"/>
      <c r="AF198" s="48"/>
    </row>
    <row r="199">
      <c r="A199" s="39">
        <v>2.0</v>
      </c>
      <c r="B199" s="39" t="s">
        <v>447</v>
      </c>
      <c r="C199" s="40">
        <v>68.0</v>
      </c>
      <c r="D199" s="40">
        <v>9.0</v>
      </c>
      <c r="E199" s="41"/>
      <c r="F199" s="42" t="str">
        <f>HYPERLINK("https://republika.co.id/berita/px8oix282/ltemgtquo-vadisltemgt-perang-yaman ","sumber")</f>
        <v>sumber</v>
      </c>
      <c r="G199" s="40" t="s">
        <v>33</v>
      </c>
      <c r="H199" s="41"/>
      <c r="I199" s="41"/>
      <c r="J199" s="40">
        <v>4.0</v>
      </c>
      <c r="K199" s="41"/>
      <c r="L199" s="41"/>
      <c r="M199" s="41"/>
      <c r="N199" s="41"/>
      <c r="O199" s="41"/>
      <c r="P199" s="41"/>
      <c r="Q199" s="41"/>
      <c r="R199" s="41"/>
      <c r="S199" s="41"/>
      <c r="T199" s="41"/>
      <c r="U199" s="41"/>
      <c r="V199" s="41"/>
      <c r="W199" s="41"/>
      <c r="X199" s="41"/>
      <c r="Y199" s="41"/>
      <c r="Z199" s="47"/>
      <c r="AA199" s="43"/>
      <c r="AB199" s="48"/>
      <c r="AC199" s="48"/>
      <c r="AD199" s="48"/>
      <c r="AE199" s="48"/>
      <c r="AF199" s="48"/>
    </row>
    <row r="200">
      <c r="A200" s="24">
        <v>1.0</v>
      </c>
      <c r="B200" s="24" t="s">
        <v>448</v>
      </c>
      <c r="C200" s="25">
        <v>69.0</v>
      </c>
      <c r="D200" s="25">
        <v>10.0</v>
      </c>
      <c r="E200" s="25" t="s">
        <v>449</v>
      </c>
      <c r="F200" s="27" t="str">
        <f>HYPERLINK("https://metro.tempo.co/read/1164503/siap-digunakan-jpo-senayan-jadi-incaran-netizen-berselfie","sumber")</f>
        <v>sumber</v>
      </c>
      <c r="G200" s="25" t="s">
        <v>33</v>
      </c>
      <c r="H200" s="25">
        <v>331.0</v>
      </c>
      <c r="I200" s="25">
        <v>3.0</v>
      </c>
      <c r="J200" s="25">
        <v>2.0</v>
      </c>
      <c r="K200" s="25" t="s">
        <v>450</v>
      </c>
      <c r="L200" s="25">
        <v>0.0</v>
      </c>
      <c r="M200" s="25">
        <v>0.0</v>
      </c>
      <c r="N200" s="38">
        <v>0.0</v>
      </c>
      <c r="O200" s="25">
        <v>0.0</v>
      </c>
      <c r="P200" s="25">
        <v>0.0</v>
      </c>
      <c r="Q200" s="25" t="s">
        <v>53</v>
      </c>
      <c r="R200" s="25" t="s">
        <v>451</v>
      </c>
      <c r="S200" s="29"/>
      <c r="T200" s="25">
        <v>0.0</v>
      </c>
      <c r="U200" s="25">
        <v>0.0</v>
      </c>
      <c r="V200" s="25">
        <v>0.0</v>
      </c>
      <c r="W200" s="29"/>
      <c r="X200" s="29"/>
      <c r="Y200" s="29"/>
      <c r="Z200" s="55"/>
      <c r="AA200" s="46"/>
      <c r="AB200" s="46"/>
      <c r="AC200" s="46"/>
      <c r="AD200" s="46"/>
      <c r="AE200" s="46"/>
      <c r="AF200" s="46"/>
    </row>
    <row r="201">
      <c r="A201" s="39">
        <v>2.0</v>
      </c>
      <c r="B201" s="39" t="s">
        <v>452</v>
      </c>
      <c r="C201" s="40">
        <v>70.0</v>
      </c>
      <c r="D201" s="40">
        <v>1.0</v>
      </c>
      <c r="E201" s="41"/>
      <c r="F201" s="42" t="str">
        <f>HYPERLINK("https://health.detik.com/berita-detikhealth/d-4374022/belum-capai-target-imunisasi-penularan-campak-rubella-masih-berisiko ","sumber")</f>
        <v>sumber</v>
      </c>
      <c r="G201" s="40" t="s">
        <v>33</v>
      </c>
      <c r="H201" s="41"/>
      <c r="I201" s="41"/>
      <c r="J201" s="40">
        <v>2.0</v>
      </c>
      <c r="K201" s="41"/>
      <c r="L201" s="41"/>
      <c r="M201" s="41"/>
      <c r="N201" s="41"/>
      <c r="O201" s="41"/>
      <c r="P201" s="41"/>
      <c r="Q201" s="41"/>
      <c r="R201" s="41"/>
      <c r="S201" s="41"/>
      <c r="T201" s="41"/>
      <c r="U201" s="41"/>
      <c r="V201" s="41"/>
      <c r="W201" s="41"/>
      <c r="X201" s="41"/>
      <c r="Y201" s="41"/>
      <c r="Z201" s="47"/>
      <c r="AA201" s="43"/>
      <c r="AB201" s="48"/>
      <c r="AC201" s="48"/>
      <c r="AD201" s="48"/>
      <c r="AE201" s="48"/>
      <c r="AF201" s="48"/>
    </row>
    <row r="202">
      <c r="A202" s="32">
        <v>1.0</v>
      </c>
      <c r="B202" s="32" t="s">
        <v>453</v>
      </c>
      <c r="C202" s="33">
        <v>71.0</v>
      </c>
      <c r="D202" s="33">
        <v>3.0</v>
      </c>
      <c r="E202" s="34">
        <v>43770.0</v>
      </c>
      <c r="F202" s="35" t="str">
        <f>HYPERLINK("https://lifestyle.okezone.com/read/2019/01/11/196/2003285/nyanyikan-langsung-untuk-ganjar-carisa-si-bocah-tunanetra-dapat-pujian","sumber")</f>
        <v>sumber</v>
      </c>
      <c r="G202" s="33" t="s">
        <v>33</v>
      </c>
      <c r="H202" s="33">
        <v>377.0</v>
      </c>
      <c r="I202" s="33">
        <v>2.0</v>
      </c>
      <c r="J202" s="33">
        <v>2.0</v>
      </c>
      <c r="K202" s="33" t="s">
        <v>454</v>
      </c>
      <c r="L202" s="33">
        <v>0.0</v>
      </c>
      <c r="M202" s="33">
        <v>0.0</v>
      </c>
      <c r="N202" s="37">
        <v>0.0</v>
      </c>
      <c r="O202" s="33">
        <v>0.0</v>
      </c>
      <c r="P202" s="33">
        <v>-1.0</v>
      </c>
      <c r="Q202" s="33" t="s">
        <v>119</v>
      </c>
      <c r="R202" s="33" t="s">
        <v>214</v>
      </c>
      <c r="S202" s="36"/>
      <c r="T202" s="33">
        <v>0.0</v>
      </c>
      <c r="U202" s="33">
        <v>0.0</v>
      </c>
      <c r="V202" s="33">
        <v>0.0</v>
      </c>
      <c r="W202" s="36"/>
      <c r="X202" s="36"/>
      <c r="Y202" s="36"/>
      <c r="Z202" s="45"/>
      <c r="AA202" s="45"/>
      <c r="AB202" s="45"/>
      <c r="AC202" s="45"/>
      <c r="AD202" s="45"/>
      <c r="AE202" s="45"/>
      <c r="AF202" s="45"/>
    </row>
    <row r="203">
      <c r="A203" s="39">
        <v>2.0</v>
      </c>
      <c r="B203" s="39" t="s">
        <v>455</v>
      </c>
      <c r="C203" s="40">
        <v>72.0</v>
      </c>
      <c r="D203" s="40">
        <v>5.0</v>
      </c>
      <c r="E203" s="41"/>
      <c r="F203" s="42" t="str">
        <f>HYPERLINK("https://tirto.id/jadwal-sholat-dzuhur-kab-balangan-desember-2018-hari-ini-ddZf ","sumber")</f>
        <v>sumber</v>
      </c>
      <c r="G203" s="40" t="s">
        <v>33</v>
      </c>
      <c r="H203" s="41"/>
      <c r="I203" s="41"/>
      <c r="J203" s="40">
        <v>2.0</v>
      </c>
      <c r="K203" s="41"/>
      <c r="L203" s="41"/>
      <c r="M203" s="41"/>
      <c r="N203" s="41"/>
      <c r="O203" s="41"/>
      <c r="P203" s="41"/>
      <c r="Q203" s="41"/>
      <c r="R203" s="41"/>
      <c r="S203" s="41"/>
      <c r="T203" s="41"/>
      <c r="U203" s="41"/>
      <c r="V203" s="41"/>
      <c r="W203" s="41"/>
      <c r="X203" s="41"/>
      <c r="Y203" s="41"/>
      <c r="Z203" s="47"/>
      <c r="AA203" s="43"/>
      <c r="AB203" s="48"/>
      <c r="AC203" s="48"/>
      <c r="AD203" s="48"/>
      <c r="AE203" s="48"/>
      <c r="AF203" s="48"/>
    </row>
    <row r="204">
      <c r="A204" s="32">
        <v>1.0</v>
      </c>
      <c r="B204" s="32" t="s">
        <v>456</v>
      </c>
      <c r="C204" s="33">
        <v>73.0</v>
      </c>
      <c r="D204" s="33">
        <v>8.0</v>
      </c>
      <c r="E204" s="33" t="s">
        <v>457</v>
      </c>
      <c r="F204" s="35" t="str">
        <f>HYPERLINK("https://www.suara.com/lifestyle/2019/01/16/142000/model-down-syndrome-ini-jadi-brand-ambassador-benefit-cosmetics ","sumber")</f>
        <v>sumber</v>
      </c>
      <c r="G204" s="33" t="s">
        <v>33</v>
      </c>
      <c r="H204" s="33">
        <v>214.0</v>
      </c>
      <c r="I204" s="33">
        <v>2.0</v>
      </c>
      <c r="J204" s="33">
        <v>2.0</v>
      </c>
      <c r="K204" s="33" t="s">
        <v>458</v>
      </c>
      <c r="L204" s="33">
        <v>0.0</v>
      </c>
      <c r="M204" s="33">
        <v>0.0</v>
      </c>
      <c r="N204" s="37">
        <v>0.0</v>
      </c>
      <c r="O204" s="33">
        <v>0.0</v>
      </c>
      <c r="P204" s="33">
        <v>0.0</v>
      </c>
      <c r="Q204" s="33" t="s">
        <v>210</v>
      </c>
      <c r="R204" s="33" t="s">
        <v>192</v>
      </c>
      <c r="S204" s="33" t="s">
        <v>459</v>
      </c>
      <c r="T204" s="33">
        <v>1.0</v>
      </c>
      <c r="U204" s="33">
        <v>0.0</v>
      </c>
      <c r="V204" s="33">
        <v>0.0</v>
      </c>
      <c r="W204" s="36"/>
      <c r="X204" s="36"/>
      <c r="Y204" s="36"/>
      <c r="Z204" s="45"/>
      <c r="AA204" s="45"/>
      <c r="AB204" s="45"/>
      <c r="AC204" s="45"/>
      <c r="AD204" s="45"/>
      <c r="AE204" s="45"/>
      <c r="AF204" s="45"/>
    </row>
    <row r="205">
      <c r="A205" s="24">
        <v>1.0</v>
      </c>
      <c r="B205" s="24" t="s">
        <v>460</v>
      </c>
      <c r="C205" s="25">
        <v>74.0</v>
      </c>
      <c r="D205" s="25">
        <v>2.0</v>
      </c>
      <c r="E205" s="26">
        <v>43770.0</v>
      </c>
      <c r="F205" s="27" t="str">
        <f>HYPERLINK("https://www.cnnindonesia.com/nasional/20190111125340-12-360141/diduga-gangguan-jiwa-oknum-tni-al-tusuk-tetangga-di-koja","sumber")</f>
        <v>sumber</v>
      </c>
      <c r="G205" s="25" t="s">
        <v>33</v>
      </c>
      <c r="H205" s="29"/>
      <c r="I205" s="25">
        <v>1.0</v>
      </c>
      <c r="J205" s="25">
        <v>2.0</v>
      </c>
      <c r="K205" s="25" t="s">
        <v>461</v>
      </c>
      <c r="L205" s="25">
        <v>0.0</v>
      </c>
      <c r="M205" s="25">
        <v>-1.0</v>
      </c>
      <c r="N205" s="38">
        <v>0.0</v>
      </c>
      <c r="O205" s="25">
        <v>0.0</v>
      </c>
      <c r="P205" s="25">
        <v>-1.0</v>
      </c>
      <c r="Q205" s="25" t="s">
        <v>61</v>
      </c>
      <c r="R205" s="25" t="s">
        <v>61</v>
      </c>
      <c r="S205" s="29"/>
      <c r="T205" s="25">
        <v>0.0</v>
      </c>
      <c r="U205" s="25">
        <v>0.0</v>
      </c>
      <c r="V205" s="25">
        <v>0.0</v>
      </c>
      <c r="W205" s="29"/>
      <c r="X205" s="29"/>
      <c r="Y205" s="29"/>
      <c r="Z205" s="46"/>
      <c r="AA205" s="46"/>
      <c r="AB205" s="46"/>
      <c r="AC205" s="46"/>
      <c r="AD205" s="46"/>
      <c r="AE205" s="46"/>
      <c r="AF205" s="46"/>
    </row>
    <row r="206">
      <c r="A206" s="39">
        <v>2.0</v>
      </c>
      <c r="B206" s="39" t="s">
        <v>462</v>
      </c>
      <c r="C206" s="40">
        <v>75.0</v>
      </c>
      <c r="D206" s="40">
        <v>3.0</v>
      </c>
      <c r="E206" s="41"/>
      <c r="F206" s="42" t="str">
        <f>HYPERLINK("https://news.okezone.com/read/2019/01/20/525/2006849/viral-warga-indramayu-nyemplung-ke-selokan-gara-gara-ada-orang-kaya-buang-duit-emas ","sumber")</f>
        <v>sumber</v>
      </c>
      <c r="G206" s="40" t="s">
        <v>33</v>
      </c>
      <c r="H206" s="41"/>
      <c r="I206" s="41"/>
      <c r="J206" s="40">
        <v>2.0</v>
      </c>
      <c r="K206" s="41"/>
      <c r="L206" s="41"/>
      <c r="M206" s="41"/>
      <c r="N206" s="41"/>
      <c r="O206" s="41"/>
      <c r="P206" s="41"/>
      <c r="Q206" s="41"/>
      <c r="R206" s="41"/>
      <c r="S206" s="41"/>
      <c r="T206" s="41"/>
      <c r="U206" s="41"/>
      <c r="V206" s="41"/>
      <c r="W206" s="41"/>
      <c r="X206" s="41"/>
      <c r="Y206" s="41"/>
      <c r="Z206" s="47"/>
      <c r="AA206" s="43"/>
      <c r="AB206" s="48"/>
      <c r="AC206" s="48"/>
      <c r="AD206" s="48"/>
      <c r="AE206" s="48"/>
      <c r="AF206" s="48"/>
    </row>
    <row r="207">
      <c r="A207" s="39">
        <v>2.0</v>
      </c>
      <c r="B207" s="39" t="s">
        <v>463</v>
      </c>
      <c r="C207" s="40">
        <v>76.0</v>
      </c>
      <c r="D207" s="40">
        <v>5.0</v>
      </c>
      <c r="E207" s="41"/>
      <c r="F207" s="42" t="str">
        <f>HYPERLINK("https://tirto.id/sejarah-keji-westerling-membantai-rakyat-suppa-dan-rajanya-deU1 ","sumber")</f>
        <v>sumber</v>
      </c>
      <c r="G207" s="40" t="s">
        <v>33</v>
      </c>
      <c r="H207" s="41"/>
      <c r="I207" s="41"/>
      <c r="J207" s="40">
        <v>2.0</v>
      </c>
      <c r="K207" s="41"/>
      <c r="L207" s="41"/>
      <c r="M207" s="41"/>
      <c r="N207" s="41"/>
      <c r="O207" s="41"/>
      <c r="P207" s="41"/>
      <c r="Q207" s="41"/>
      <c r="R207" s="41"/>
      <c r="S207" s="41"/>
      <c r="T207" s="41"/>
      <c r="U207" s="41"/>
      <c r="V207" s="41"/>
      <c r="W207" s="41"/>
      <c r="X207" s="41"/>
      <c r="Y207" s="41"/>
      <c r="Z207" s="47"/>
      <c r="AA207" s="43"/>
      <c r="AB207" s="48"/>
      <c r="AC207" s="48"/>
      <c r="AD207" s="48"/>
      <c r="AE207" s="48"/>
      <c r="AF207" s="48"/>
    </row>
    <row r="208">
      <c r="A208" s="39">
        <v>2.0</v>
      </c>
      <c r="B208" s="39" t="s">
        <v>464</v>
      </c>
      <c r="C208" s="40">
        <v>77.0</v>
      </c>
      <c r="D208" s="40">
        <v>4.0</v>
      </c>
      <c r="E208" s="41"/>
      <c r="F208" s="42" t="str">
        <f>HYPERLINK("https://www.liputan6.com/citizen6/read/3879848/lagu-berlirik-kuwa-kuwi-ini-bisa-bikin-kamu-tertawa-lepas ","sumber")</f>
        <v>sumber</v>
      </c>
      <c r="G208" s="40" t="s">
        <v>33</v>
      </c>
      <c r="H208" s="41"/>
      <c r="I208" s="41"/>
      <c r="J208" s="40">
        <v>2.0</v>
      </c>
      <c r="K208" s="41"/>
      <c r="L208" s="41"/>
      <c r="M208" s="41"/>
      <c r="N208" s="41"/>
      <c r="O208" s="41"/>
      <c r="P208" s="41"/>
      <c r="Q208" s="41"/>
      <c r="R208" s="41"/>
      <c r="S208" s="41"/>
      <c r="T208" s="41"/>
      <c r="U208" s="41"/>
      <c r="V208" s="41"/>
      <c r="W208" s="41"/>
      <c r="X208" s="41"/>
      <c r="Y208" s="41"/>
      <c r="Z208" s="47"/>
      <c r="AA208" s="43"/>
      <c r="AB208" s="48"/>
      <c r="AC208" s="48"/>
      <c r="AD208" s="48"/>
      <c r="AE208" s="48"/>
      <c r="AF208" s="48"/>
    </row>
    <row r="209">
      <c r="A209" s="32">
        <v>1.0</v>
      </c>
      <c r="B209" s="32" t="s">
        <v>465</v>
      </c>
      <c r="C209" s="33">
        <v>78.0</v>
      </c>
      <c r="D209" s="33">
        <v>4.0</v>
      </c>
      <c r="E209" s="33" t="s">
        <v>466</v>
      </c>
      <c r="F209" s="35" t="str">
        <f>HYPERLINK("https://www.liputan6.com/citizen6/read/3883182/kisah-cinta-mengharukan-pria-difabel-sang-kekasih-sering-dikira-suster-pribadi ","sumber")</f>
        <v>sumber</v>
      </c>
      <c r="G209" s="33" t="s">
        <v>33</v>
      </c>
      <c r="H209" s="36"/>
      <c r="I209" s="33">
        <v>2.0</v>
      </c>
      <c r="J209" s="33">
        <v>2.0</v>
      </c>
      <c r="K209" s="33" t="s">
        <v>467</v>
      </c>
      <c r="L209" s="33">
        <v>0.0</v>
      </c>
      <c r="M209" s="33">
        <v>0.0</v>
      </c>
      <c r="N209" s="37">
        <v>0.0</v>
      </c>
      <c r="O209" s="33">
        <v>0.0</v>
      </c>
      <c r="P209" s="33">
        <v>0.0</v>
      </c>
      <c r="Q209" s="33" t="s">
        <v>80</v>
      </c>
      <c r="R209" s="33" t="s">
        <v>392</v>
      </c>
      <c r="S209" s="36"/>
      <c r="T209" s="33">
        <v>0.0</v>
      </c>
      <c r="U209" s="33">
        <v>0.0</v>
      </c>
      <c r="V209" s="33">
        <v>0.0</v>
      </c>
      <c r="W209" s="36"/>
      <c r="X209" s="36"/>
      <c r="Y209" s="36"/>
      <c r="Z209" s="45"/>
      <c r="AA209" s="45"/>
      <c r="AB209" s="45"/>
      <c r="AC209" s="45"/>
      <c r="AD209" s="45"/>
      <c r="AE209" s="45"/>
      <c r="AF209" s="45"/>
    </row>
    <row r="210">
      <c r="A210" s="24">
        <v>1.0</v>
      </c>
      <c r="B210" s="24" t="s">
        <v>468</v>
      </c>
      <c r="C210" s="25">
        <v>79.0</v>
      </c>
      <c r="D210" s="25">
        <v>2.0</v>
      </c>
      <c r="E210" s="25" t="s">
        <v>469</v>
      </c>
      <c r="F210" s="27" t="str">
        <f>HYPERLINK("https://www.cnnindonesia.com/gaya-hidup/20190224112311-269-372163/menguji-fasilitas-kursi-roda-di-jakarta","sumber")</f>
        <v>sumber</v>
      </c>
      <c r="G210" s="25" t="s">
        <v>33</v>
      </c>
      <c r="H210" s="29"/>
      <c r="I210" s="25">
        <v>2.0</v>
      </c>
      <c r="J210" s="25">
        <v>2.0</v>
      </c>
      <c r="K210" s="25" t="s">
        <v>470</v>
      </c>
      <c r="L210" s="25">
        <v>0.0</v>
      </c>
      <c r="M210" s="25">
        <v>0.0</v>
      </c>
      <c r="N210" s="38">
        <v>0.0</v>
      </c>
      <c r="O210" s="25">
        <v>0.0</v>
      </c>
      <c r="P210" s="25">
        <v>0.0</v>
      </c>
      <c r="Q210" s="25" t="s">
        <v>61</v>
      </c>
      <c r="R210" s="25" t="s">
        <v>100</v>
      </c>
      <c r="S210" s="29"/>
      <c r="T210" s="25">
        <v>0.0</v>
      </c>
      <c r="U210" s="25">
        <v>0.0</v>
      </c>
      <c r="V210" s="25">
        <v>0.0</v>
      </c>
      <c r="W210" s="29"/>
      <c r="X210" s="29"/>
      <c r="Y210" s="29"/>
      <c r="Z210" s="46"/>
      <c r="AA210" s="46"/>
      <c r="AB210" s="46"/>
      <c r="AC210" s="46"/>
      <c r="AD210" s="46"/>
      <c r="AE210" s="46"/>
      <c r="AF210" s="46"/>
    </row>
    <row r="211">
      <c r="A211" s="25">
        <v>1.0</v>
      </c>
      <c r="B211" s="25" t="s">
        <v>471</v>
      </c>
      <c r="C211" s="25">
        <v>80.0</v>
      </c>
      <c r="D211" s="25">
        <v>4.0</v>
      </c>
      <c r="E211" s="26">
        <v>43771.0</v>
      </c>
      <c r="F211" s="27" t="str">
        <f>HYPERLINK("https://www.liputan6.com/citizen6/read/3889513/alih-alih-sembuh-bayi-malang-buta-permanen-setelah-operasi","sumber")</f>
        <v>sumber</v>
      </c>
      <c r="G211" s="25" t="s">
        <v>33</v>
      </c>
      <c r="H211" s="25">
        <v>221.0</v>
      </c>
      <c r="I211" s="25">
        <v>1.0</v>
      </c>
      <c r="J211" s="25">
        <v>2.0</v>
      </c>
      <c r="K211" s="25" t="s">
        <v>472</v>
      </c>
      <c r="L211" s="25">
        <v>0.0</v>
      </c>
      <c r="M211" s="25">
        <v>1.0</v>
      </c>
      <c r="N211" s="38">
        <v>0.0</v>
      </c>
      <c r="O211" s="25">
        <v>0.0</v>
      </c>
      <c r="P211" s="25">
        <v>0.0</v>
      </c>
      <c r="Q211" s="25">
        <v>0.0</v>
      </c>
      <c r="R211" s="25">
        <v>-1.0</v>
      </c>
      <c r="S211" s="25" t="s">
        <v>473</v>
      </c>
      <c r="T211" s="25">
        <v>3.0</v>
      </c>
      <c r="U211" s="25">
        <v>0.0</v>
      </c>
      <c r="V211" s="25">
        <v>0.0</v>
      </c>
      <c r="W211" s="29"/>
      <c r="X211" s="29"/>
      <c r="Y211" s="29"/>
      <c r="Z211" s="46"/>
      <c r="AA211" s="46"/>
      <c r="AB211" s="46"/>
      <c r="AC211" s="46"/>
      <c r="AD211" s="46"/>
      <c r="AE211" s="46"/>
      <c r="AF211" s="46"/>
    </row>
    <row r="212">
      <c r="A212" s="39">
        <v>2.0</v>
      </c>
      <c r="B212" s="39" t="s">
        <v>474</v>
      </c>
      <c r="C212" s="40">
        <v>81.0</v>
      </c>
      <c r="D212" s="56">
        <v>6.0</v>
      </c>
      <c r="E212" s="53">
        <v>43587.0</v>
      </c>
      <c r="F212" s="42" t="str">
        <f>HYPERLINK("https://internasional.kompas.com/read/2019/02/05/18352221/rusia-uji-coba-senjata-yang-bisa-bikin-halusinasi-dan-muntah ","sumber")</f>
        <v>sumber</v>
      </c>
      <c r="G212" s="40" t="s">
        <v>33</v>
      </c>
      <c r="H212" s="41"/>
      <c r="I212" s="41"/>
      <c r="J212" s="40">
        <v>2.0</v>
      </c>
      <c r="K212" s="41"/>
      <c r="L212" s="41"/>
      <c r="M212" s="41"/>
      <c r="N212" s="41"/>
      <c r="O212" s="41"/>
      <c r="P212" s="41"/>
      <c r="Q212" s="41"/>
      <c r="R212" s="41"/>
      <c r="S212" s="41"/>
      <c r="T212" s="41"/>
      <c r="U212" s="41"/>
      <c r="V212" s="41"/>
      <c r="W212" s="41"/>
      <c r="X212" s="41"/>
      <c r="Y212" s="41"/>
      <c r="Z212" s="47"/>
      <c r="AA212" s="43"/>
      <c r="AB212" s="48"/>
      <c r="AC212" s="48"/>
      <c r="AD212" s="48"/>
      <c r="AE212" s="48"/>
      <c r="AF212" s="48"/>
    </row>
    <row r="213">
      <c r="A213" s="24">
        <v>1.0</v>
      </c>
      <c r="B213" s="24" t="s">
        <v>475</v>
      </c>
      <c r="C213" s="25">
        <v>82.0</v>
      </c>
      <c r="D213" s="25">
        <v>10.0</v>
      </c>
      <c r="E213" s="25" t="s">
        <v>476</v>
      </c>
      <c r="F213" s="27" t="str">
        <f>HYPERLINK("https://nasional.tempo.co/read/1177300/ganjar-pranowo-duga-pelaku-teror-terima-pesan-dari-seseorang/full&amp;view=ok","sumber")</f>
        <v>sumber</v>
      </c>
      <c r="G213" s="25" t="s">
        <v>33</v>
      </c>
      <c r="H213" s="25">
        <v>272.0</v>
      </c>
      <c r="I213" s="25">
        <v>1.0</v>
      </c>
      <c r="J213" s="25">
        <v>2.0</v>
      </c>
      <c r="K213" s="25" t="s">
        <v>477</v>
      </c>
      <c r="L213" s="25">
        <v>0.0</v>
      </c>
      <c r="M213" s="25">
        <v>0.0</v>
      </c>
      <c r="N213" s="38">
        <v>0.0</v>
      </c>
      <c r="O213" s="25">
        <v>0.0</v>
      </c>
      <c r="P213" s="25">
        <v>0.0</v>
      </c>
      <c r="Q213" s="25">
        <v>0.0</v>
      </c>
      <c r="R213" s="25">
        <v>-1.0</v>
      </c>
      <c r="S213" s="25" t="s">
        <v>478</v>
      </c>
      <c r="T213" s="25">
        <v>1.0</v>
      </c>
      <c r="U213" s="25">
        <v>0.0</v>
      </c>
      <c r="V213" s="25">
        <v>0.0</v>
      </c>
      <c r="W213" s="29"/>
      <c r="X213" s="29"/>
      <c r="Y213" s="29"/>
      <c r="Z213" s="46"/>
      <c r="AA213" s="46"/>
      <c r="AB213" s="46"/>
      <c r="AC213" s="46"/>
      <c r="AD213" s="46"/>
      <c r="AE213" s="46"/>
      <c r="AF213" s="46"/>
    </row>
    <row r="214">
      <c r="A214" s="39">
        <v>2.0</v>
      </c>
      <c r="B214" s="39" t="s">
        <v>479</v>
      </c>
      <c r="C214" s="40">
        <v>83.0</v>
      </c>
      <c r="D214" s="40">
        <v>5.0</v>
      </c>
      <c r="E214" s="53">
        <v>43771.0</v>
      </c>
      <c r="F214" s="42" t="str">
        <f>HYPERLINK("https://tirto.id/grammy-2019-kacey-musgraves-bawa-pulang-empat-trofi-dgDF ","sumber")</f>
        <v>sumber</v>
      </c>
      <c r="G214" s="40" t="s">
        <v>33</v>
      </c>
      <c r="H214" s="41"/>
      <c r="I214" s="41"/>
      <c r="J214" s="40">
        <v>2.0</v>
      </c>
      <c r="K214" s="41"/>
      <c r="L214" s="41"/>
      <c r="M214" s="41"/>
      <c r="N214" s="41"/>
      <c r="O214" s="41"/>
      <c r="P214" s="41"/>
      <c r="Q214" s="41"/>
      <c r="R214" s="41"/>
      <c r="S214" s="41"/>
      <c r="T214" s="41"/>
      <c r="U214" s="41"/>
      <c r="V214" s="41"/>
      <c r="W214" s="41"/>
      <c r="X214" s="41"/>
      <c r="Y214" s="41"/>
      <c r="Z214" s="47"/>
      <c r="AA214" s="43"/>
      <c r="AB214" s="48"/>
      <c r="AC214" s="48"/>
      <c r="AD214" s="48"/>
      <c r="AE214" s="48"/>
      <c r="AF214" s="48"/>
    </row>
    <row r="215">
      <c r="A215" s="32">
        <v>1.0</v>
      </c>
      <c r="B215" s="32" t="s">
        <v>480</v>
      </c>
      <c r="C215" s="33">
        <v>84.0</v>
      </c>
      <c r="D215" s="33">
        <v>4.0</v>
      </c>
      <c r="E215" s="33" t="s">
        <v>108</v>
      </c>
      <c r="F215" s="35" t="str">
        <f>HYPERLINK("https://www.liputan6.com/regional/read/3893905/balada-lanjar-13-tahun-bersama-hydrocephalus ","sumber")</f>
        <v>sumber</v>
      </c>
      <c r="G215" s="33" t="s">
        <v>33</v>
      </c>
      <c r="H215" s="33">
        <v>567.0</v>
      </c>
      <c r="I215" s="33">
        <v>2.0</v>
      </c>
      <c r="J215" s="33">
        <v>2.0</v>
      </c>
      <c r="K215" s="33" t="s">
        <v>481</v>
      </c>
      <c r="L215" s="33">
        <v>0.0</v>
      </c>
      <c r="M215" s="33">
        <v>0.0</v>
      </c>
      <c r="N215" s="37">
        <v>0.0</v>
      </c>
      <c r="O215" s="33">
        <v>0.0</v>
      </c>
      <c r="P215" s="33">
        <v>0.0</v>
      </c>
      <c r="Q215" s="33" t="s">
        <v>61</v>
      </c>
      <c r="R215" s="33" t="s">
        <v>192</v>
      </c>
      <c r="S215" s="36"/>
      <c r="T215" s="33">
        <v>0.0</v>
      </c>
      <c r="U215" s="33">
        <v>0.0</v>
      </c>
      <c r="V215" s="33">
        <v>0.0</v>
      </c>
      <c r="W215" s="36"/>
      <c r="X215" s="36"/>
      <c r="Y215" s="36"/>
      <c r="Z215" s="45"/>
      <c r="AA215" s="45"/>
      <c r="AB215" s="45"/>
      <c r="AC215" s="45"/>
      <c r="AD215" s="45"/>
      <c r="AE215" s="45"/>
      <c r="AF215" s="45"/>
    </row>
    <row r="216">
      <c r="A216" s="24">
        <v>1.0</v>
      </c>
      <c r="B216" s="24" t="s">
        <v>482</v>
      </c>
      <c r="C216" s="25">
        <v>85.0</v>
      </c>
      <c r="D216" s="25">
        <v>7.0</v>
      </c>
      <c r="E216" s="25" t="s">
        <v>469</v>
      </c>
      <c r="F216" s="27" t="str">
        <f>HYPERLINK("https://www.tribunnews.com/regional/2019/02/24/gadis-difabel-ini-ternyata-pernah-dirudapaksa-ayah-bersama-kakak-adik-kandungnya-secara-bergiliran","sumber")</f>
        <v>sumber</v>
      </c>
      <c r="G216" s="25" t="s">
        <v>33</v>
      </c>
      <c r="H216" s="25">
        <v>132.0</v>
      </c>
      <c r="I216" s="25">
        <v>1.0</v>
      </c>
      <c r="J216" s="25">
        <v>2.0</v>
      </c>
      <c r="K216" s="25" t="s">
        <v>483</v>
      </c>
      <c r="L216" s="25">
        <v>0.0</v>
      </c>
      <c r="M216" s="25">
        <v>0.0</v>
      </c>
      <c r="N216" s="38">
        <v>0.0</v>
      </c>
      <c r="O216" s="25">
        <v>1.0</v>
      </c>
      <c r="P216" s="25">
        <v>-1.0</v>
      </c>
      <c r="Q216" s="25">
        <v>0.0</v>
      </c>
      <c r="R216" s="25">
        <v>0.0</v>
      </c>
      <c r="S216" s="25" t="s">
        <v>484</v>
      </c>
      <c r="T216" s="25">
        <v>1.0</v>
      </c>
      <c r="U216" s="25">
        <v>0.0</v>
      </c>
      <c r="V216" s="25">
        <v>0.0</v>
      </c>
      <c r="W216" s="29"/>
      <c r="X216" s="29"/>
      <c r="Y216" s="29"/>
      <c r="Z216" s="46"/>
      <c r="AA216" s="46"/>
      <c r="AB216" s="46"/>
      <c r="AC216" s="46"/>
      <c r="AD216" s="46"/>
      <c r="AE216" s="46"/>
      <c r="AF216" s="46"/>
    </row>
    <row r="217">
      <c r="A217" s="32">
        <v>1.0</v>
      </c>
      <c r="B217" s="32" t="s">
        <v>485</v>
      </c>
      <c r="C217" s="33">
        <v>86.0</v>
      </c>
      <c r="D217" s="33">
        <v>4.0</v>
      </c>
      <c r="E217" s="33" t="s">
        <v>476</v>
      </c>
      <c r="F217" s="35" t="str">
        <f>HYPERLINK("https://www.liputan6.com/citizen6/read/3898952/puisi-karya-anak-autis-ini-viral-isinya-bikin-sesenggukan ","sumber")</f>
        <v>sumber</v>
      </c>
      <c r="G217" s="33" t="s">
        <v>33</v>
      </c>
      <c r="H217" s="33">
        <v>551.0</v>
      </c>
      <c r="I217" s="33">
        <v>2.0</v>
      </c>
      <c r="J217" s="33">
        <v>2.0</v>
      </c>
      <c r="K217" s="33" t="s">
        <v>486</v>
      </c>
      <c r="L217" s="33">
        <v>0.0</v>
      </c>
      <c r="M217" s="33">
        <v>0.0</v>
      </c>
      <c r="N217" s="37">
        <v>0.0</v>
      </c>
      <c r="O217" s="33">
        <v>0.0</v>
      </c>
      <c r="P217" s="33">
        <v>0.0</v>
      </c>
      <c r="Q217" s="33">
        <v>1.0</v>
      </c>
      <c r="R217" s="33">
        <v>1.0</v>
      </c>
      <c r="S217" s="33" t="s">
        <v>487</v>
      </c>
      <c r="T217" s="33">
        <v>3.0</v>
      </c>
      <c r="U217" s="33">
        <v>0.0</v>
      </c>
      <c r="V217" s="33">
        <v>0.0</v>
      </c>
      <c r="W217" s="36"/>
      <c r="X217" s="36"/>
      <c r="Y217" s="36"/>
      <c r="Z217" s="45"/>
      <c r="AA217" s="45"/>
      <c r="AB217" s="45"/>
      <c r="AC217" s="45"/>
      <c r="AD217" s="45"/>
      <c r="AE217" s="45"/>
      <c r="AF217" s="45"/>
    </row>
    <row r="218">
      <c r="A218" s="24">
        <v>1.0</v>
      </c>
      <c r="B218" s="24" t="s">
        <v>488</v>
      </c>
      <c r="C218" s="25">
        <v>87.0</v>
      </c>
      <c r="D218" s="25">
        <v>1.0</v>
      </c>
      <c r="E218" s="25" t="s">
        <v>489</v>
      </c>
      <c r="F218" s="27" t="str">
        <f>HYPERLINK("https://news.detik.com/berita-jawa-timur/d-4436177/kala-mantan-penderita-gangguan-mental-reuni","sumber")</f>
        <v>sumber</v>
      </c>
      <c r="G218" s="25" t="s">
        <v>33</v>
      </c>
      <c r="H218" s="25">
        <v>279.0</v>
      </c>
      <c r="I218" s="25">
        <v>2.0</v>
      </c>
      <c r="J218" s="25">
        <v>2.0</v>
      </c>
      <c r="K218" s="25" t="s">
        <v>490</v>
      </c>
      <c r="L218" s="25">
        <v>0.0</v>
      </c>
      <c r="M218" s="25">
        <v>0.0</v>
      </c>
      <c r="N218" s="38">
        <v>0.0</v>
      </c>
      <c r="O218" s="25">
        <v>0.0</v>
      </c>
      <c r="P218" s="25">
        <v>0.0</v>
      </c>
      <c r="Q218" s="25" t="s">
        <v>119</v>
      </c>
      <c r="R218" s="25" t="s">
        <v>61</v>
      </c>
      <c r="S218" s="25" t="s">
        <v>491</v>
      </c>
      <c r="T218" s="25">
        <v>5.0</v>
      </c>
      <c r="U218" s="25">
        <v>0.0</v>
      </c>
      <c r="V218" s="25">
        <v>0.0</v>
      </c>
      <c r="W218" s="29"/>
      <c r="X218" s="29"/>
      <c r="Y218" s="29"/>
      <c r="Z218" s="46"/>
      <c r="AA218" s="46"/>
      <c r="AB218" s="46"/>
      <c r="AC218" s="46"/>
      <c r="AD218" s="46"/>
      <c r="AE218" s="46"/>
      <c r="AF218" s="46"/>
    </row>
    <row r="219">
      <c r="A219" s="39">
        <v>2.0</v>
      </c>
      <c r="B219" s="39" t="s">
        <v>492</v>
      </c>
      <c r="C219" s="40">
        <v>88.0</v>
      </c>
      <c r="D219" s="40">
        <v>5.0</v>
      </c>
      <c r="E219" s="40" t="s">
        <v>489</v>
      </c>
      <c r="F219" s="42" t="str">
        <f>HYPERLINK("https://tirto.id/pan-akan-berikan-bantuan-hukum-ketum-pa-212-slamet-maarif-dhpH ","sumber")</f>
        <v>sumber</v>
      </c>
      <c r="G219" s="40" t="s">
        <v>33</v>
      </c>
      <c r="H219" s="41"/>
      <c r="I219" s="41"/>
      <c r="J219" s="40">
        <v>2.0</v>
      </c>
      <c r="K219" s="41"/>
      <c r="L219" s="41"/>
      <c r="M219" s="41"/>
      <c r="N219" s="41"/>
      <c r="O219" s="41"/>
      <c r="P219" s="41"/>
      <c r="Q219" s="41"/>
      <c r="R219" s="41"/>
      <c r="S219" s="41"/>
      <c r="T219" s="41"/>
      <c r="U219" s="41"/>
      <c r="V219" s="41"/>
      <c r="W219" s="41"/>
      <c r="X219" s="41"/>
      <c r="Y219" s="41"/>
      <c r="Z219" s="47"/>
      <c r="AA219" s="43"/>
      <c r="AB219" s="48"/>
      <c r="AC219" s="48"/>
      <c r="AD219" s="48"/>
      <c r="AE219" s="48"/>
      <c r="AF219" s="48"/>
    </row>
    <row r="220">
      <c r="A220" s="24">
        <v>1.0</v>
      </c>
      <c r="B220" s="24" t="s">
        <v>493</v>
      </c>
      <c r="C220" s="25">
        <v>89.0</v>
      </c>
      <c r="D220" s="25">
        <v>6.0</v>
      </c>
      <c r="E220" s="26">
        <v>43679.0</v>
      </c>
      <c r="F220" s="27" t="str">
        <f>HYPERLINK("https://megapolitan.kompas.com/read/2019/02/08/20393731/dki-akan-buat-trotoar-di-gatot-subroto-ramah-penyandang-disabilitas","sumber")</f>
        <v>sumber</v>
      </c>
      <c r="G220" s="25" t="s">
        <v>33</v>
      </c>
      <c r="H220" s="25">
        <v>197.0</v>
      </c>
      <c r="I220" s="25">
        <v>4.0</v>
      </c>
      <c r="J220" s="25">
        <v>2.0</v>
      </c>
      <c r="K220" s="25" t="s">
        <v>494</v>
      </c>
      <c r="L220" s="25">
        <v>0.0</v>
      </c>
      <c r="M220" s="25">
        <v>0.0</v>
      </c>
      <c r="N220" s="38">
        <v>0.0</v>
      </c>
      <c r="O220" s="25">
        <v>0.0</v>
      </c>
      <c r="P220" s="25">
        <v>0.0</v>
      </c>
      <c r="Q220" s="25" t="s">
        <v>119</v>
      </c>
      <c r="R220" s="25" t="s">
        <v>214</v>
      </c>
      <c r="S220" s="29"/>
      <c r="T220" s="25">
        <v>0.0</v>
      </c>
      <c r="U220" s="25">
        <v>0.0</v>
      </c>
      <c r="V220" s="25">
        <v>1.0</v>
      </c>
      <c r="W220" s="29"/>
      <c r="X220" s="29"/>
      <c r="Y220" s="29"/>
      <c r="Z220" s="46"/>
      <c r="AA220" s="46"/>
      <c r="AB220" s="46"/>
      <c r="AC220" s="46"/>
      <c r="AD220" s="46"/>
      <c r="AE220" s="46"/>
      <c r="AF220" s="46"/>
    </row>
    <row r="221">
      <c r="A221" s="24">
        <v>1.0</v>
      </c>
      <c r="B221" s="24" t="s">
        <v>495</v>
      </c>
      <c r="C221" s="25">
        <v>90.0</v>
      </c>
      <c r="D221" s="25">
        <v>8.0</v>
      </c>
      <c r="E221" s="25" t="s">
        <v>496</v>
      </c>
      <c r="F221" s="27" t="str">
        <f>HYPERLINK("https://www.suara.com/news/2019/02/25/161429/selain-perkosa-kakak-yang-difabel-sang-adik-pernah-cabuli-kambing-tetangga","sumber")</f>
        <v>sumber</v>
      </c>
      <c r="G221" s="25" t="s">
        <v>33</v>
      </c>
      <c r="H221" s="25">
        <v>337.0</v>
      </c>
      <c r="I221" s="25">
        <v>1.0</v>
      </c>
      <c r="J221" s="25">
        <v>2.0</v>
      </c>
      <c r="K221" s="25" t="s">
        <v>497</v>
      </c>
      <c r="L221" s="25">
        <v>0.0</v>
      </c>
      <c r="M221" s="25">
        <v>-1.0</v>
      </c>
      <c r="N221" s="38">
        <v>0.0</v>
      </c>
      <c r="O221" s="25">
        <v>1.0</v>
      </c>
      <c r="P221" s="25">
        <v>0.0</v>
      </c>
      <c r="Q221" s="25" t="s">
        <v>61</v>
      </c>
      <c r="R221" s="25" t="s">
        <v>61</v>
      </c>
      <c r="S221" s="29"/>
      <c r="T221" s="25">
        <v>0.0</v>
      </c>
      <c r="U221" s="25">
        <v>0.0</v>
      </c>
      <c r="V221" s="25">
        <v>0.0</v>
      </c>
      <c r="W221" s="29"/>
      <c r="X221" s="29"/>
      <c r="Y221" s="29"/>
      <c r="Z221" s="46"/>
      <c r="AA221" s="46"/>
      <c r="AB221" s="46"/>
      <c r="AC221" s="46"/>
      <c r="AD221" s="46"/>
      <c r="AE221" s="46"/>
      <c r="AF221" s="46"/>
    </row>
    <row r="222">
      <c r="A222" s="32">
        <v>1.0</v>
      </c>
      <c r="B222" s="32" t="s">
        <v>498</v>
      </c>
      <c r="C222" s="33">
        <v>91.0</v>
      </c>
      <c r="D222" s="33">
        <v>8.0</v>
      </c>
      <c r="E222" s="33" t="s">
        <v>357</v>
      </c>
      <c r="F222" s="35" t="str">
        <f>HYPERLINK("https://www.suara.com/news/2019/02/26/140438/edian-bunuh-ibunya-saat-nyuci-pakaian-batang-leher-dipukuli-pakai-balok ","sumber")</f>
        <v>sumber</v>
      </c>
      <c r="G222" s="33" t="s">
        <v>33</v>
      </c>
      <c r="H222" s="36"/>
      <c r="I222" s="33">
        <v>1.0</v>
      </c>
      <c r="J222" s="33">
        <v>2.0</v>
      </c>
      <c r="K222" s="33" t="s">
        <v>499</v>
      </c>
      <c r="L222" s="33">
        <v>0.0</v>
      </c>
      <c r="M222" s="33">
        <v>0.0</v>
      </c>
      <c r="N222" s="37">
        <v>0.0</v>
      </c>
      <c r="O222" s="33">
        <v>0.0</v>
      </c>
      <c r="P222" s="33">
        <v>0.0</v>
      </c>
      <c r="Q222" s="33">
        <v>0.0</v>
      </c>
      <c r="R222" s="33">
        <v>0.0</v>
      </c>
      <c r="S222" s="33" t="s">
        <v>500</v>
      </c>
      <c r="T222" s="33">
        <v>1.0</v>
      </c>
      <c r="U222" s="33">
        <v>0.0</v>
      </c>
      <c r="V222" s="33">
        <v>0.0</v>
      </c>
      <c r="W222" s="36"/>
      <c r="X222" s="36"/>
      <c r="Y222" s="36"/>
      <c r="Z222" s="45"/>
      <c r="AA222" s="45"/>
      <c r="AB222" s="45"/>
      <c r="AC222" s="45"/>
      <c r="AD222" s="45"/>
      <c r="AE222" s="45"/>
      <c r="AF222" s="45"/>
    </row>
    <row r="223">
      <c r="A223" s="32">
        <v>1.0</v>
      </c>
      <c r="B223" s="32" t="s">
        <v>501</v>
      </c>
      <c r="C223" s="33">
        <v>92.0</v>
      </c>
      <c r="D223" s="33">
        <v>2.0</v>
      </c>
      <c r="E223" s="33" t="s">
        <v>360</v>
      </c>
      <c r="F223" s="35" t="str">
        <f>HYPERLINK("https://www.cnnindonesia.com/nasional/20190227034736-12-372939/pria-bunuh-ibu-kandung-setelah-pulang-dari-rumah-sakit-jiwa ","sumber")</f>
        <v>sumber</v>
      </c>
      <c r="G223" s="33" t="s">
        <v>33</v>
      </c>
      <c r="H223" s="33">
        <v>320.0</v>
      </c>
      <c r="I223" s="33">
        <v>1.0</v>
      </c>
      <c r="J223" s="33">
        <v>2.0</v>
      </c>
      <c r="K223" s="33" t="s">
        <v>502</v>
      </c>
      <c r="L223" s="33">
        <v>0.0</v>
      </c>
      <c r="M223" s="33">
        <v>-1.0</v>
      </c>
      <c r="N223" s="33">
        <v>-1.0</v>
      </c>
      <c r="O223" s="33">
        <v>0.0</v>
      </c>
      <c r="P223" s="33">
        <v>0.0</v>
      </c>
      <c r="Q223" s="33">
        <v>0.0</v>
      </c>
      <c r="R223" s="33">
        <v>0.0</v>
      </c>
      <c r="S223" s="33" t="s">
        <v>500</v>
      </c>
      <c r="T223" s="33">
        <v>1.0</v>
      </c>
      <c r="U223" s="33">
        <v>0.0</v>
      </c>
      <c r="V223" s="33">
        <v>0.0</v>
      </c>
      <c r="W223" s="36"/>
      <c r="X223" s="36"/>
      <c r="Y223" s="36"/>
      <c r="Z223" s="45"/>
      <c r="AA223" s="45"/>
      <c r="AB223" s="45"/>
      <c r="AC223" s="45"/>
      <c r="AD223" s="45"/>
      <c r="AE223" s="45"/>
      <c r="AF223" s="45"/>
    </row>
    <row r="224">
      <c r="A224" s="24">
        <v>1.0</v>
      </c>
      <c r="B224" s="24" t="s">
        <v>503</v>
      </c>
      <c r="C224" s="25">
        <v>93.0</v>
      </c>
      <c r="D224" s="25">
        <v>6.0</v>
      </c>
      <c r="E224" s="25" t="s">
        <v>123</v>
      </c>
      <c r="F224" s="27" t="str">
        <f>HYPERLINK("https://megapolitan.kompas.com/read/2019/03/15/12121511/status-hukum-pelaku-penusukan-di-halte-transjakarta-tunggu-hasil","sumber")</f>
        <v>sumber</v>
      </c>
      <c r="G224" s="25" t="s">
        <v>33</v>
      </c>
      <c r="H224" s="25">
        <v>236.0</v>
      </c>
      <c r="I224" s="25">
        <v>1.0</v>
      </c>
      <c r="J224" s="25">
        <v>2.0</v>
      </c>
      <c r="K224" s="25" t="s">
        <v>504</v>
      </c>
      <c r="L224" s="25">
        <v>0.0</v>
      </c>
      <c r="M224" s="25">
        <v>-1.0</v>
      </c>
      <c r="N224" s="38">
        <v>0.0</v>
      </c>
      <c r="O224" s="25">
        <v>0.0</v>
      </c>
      <c r="P224" s="25">
        <v>0.0</v>
      </c>
      <c r="Q224" s="25">
        <v>0.0</v>
      </c>
      <c r="R224" s="25">
        <v>0.0</v>
      </c>
      <c r="S224" s="25" t="s">
        <v>500</v>
      </c>
      <c r="T224" s="25">
        <v>1.0</v>
      </c>
      <c r="U224" s="25">
        <v>0.0</v>
      </c>
      <c r="V224" s="25">
        <v>0.0</v>
      </c>
      <c r="W224" s="29"/>
      <c r="X224" s="29"/>
      <c r="Y224" s="29"/>
      <c r="Z224" s="46"/>
      <c r="AA224" s="46"/>
      <c r="AB224" s="46"/>
      <c r="AC224" s="46"/>
      <c r="AD224" s="46"/>
      <c r="AE224" s="46"/>
      <c r="AF224" s="46"/>
    </row>
    <row r="225">
      <c r="A225" s="24">
        <v>1.0</v>
      </c>
      <c r="B225" s="24" t="s">
        <v>505</v>
      </c>
      <c r="C225" s="25">
        <v>94.0</v>
      </c>
      <c r="D225" s="25">
        <v>4.0</v>
      </c>
      <c r="E225" s="25" t="s">
        <v>506</v>
      </c>
      <c r="F225" s="27" t="str">
        <f>HYPERLINK("https://www.liputan6.com/lifestyle/read/3924460/sosok-inspiratif-dea-valencia-pengusaha-muda-pemilik-batik-kultur","sumber")</f>
        <v>sumber</v>
      </c>
      <c r="G225" s="25" t="s">
        <v>33</v>
      </c>
      <c r="H225" s="25">
        <v>462.0</v>
      </c>
      <c r="I225" s="25">
        <v>2.0</v>
      </c>
      <c r="J225" s="25">
        <v>2.0</v>
      </c>
      <c r="K225" s="25" t="s">
        <v>507</v>
      </c>
      <c r="L225" s="25">
        <v>0.0</v>
      </c>
      <c r="M225" s="25">
        <v>0.0</v>
      </c>
      <c r="N225" s="38">
        <v>0.0</v>
      </c>
      <c r="O225" s="25">
        <v>0.0</v>
      </c>
      <c r="P225" s="25">
        <v>0.0</v>
      </c>
      <c r="Q225" s="25">
        <v>0.0</v>
      </c>
      <c r="R225" s="25">
        <v>1.0</v>
      </c>
      <c r="S225" s="29"/>
      <c r="T225" s="25">
        <v>0.0</v>
      </c>
      <c r="U225" s="25">
        <v>0.0</v>
      </c>
      <c r="V225" s="25">
        <v>0.0</v>
      </c>
      <c r="W225" s="29"/>
      <c r="X225" s="29"/>
      <c r="Y225" s="29"/>
      <c r="Z225" s="46"/>
      <c r="AA225" s="46"/>
      <c r="AB225" s="46"/>
      <c r="AC225" s="46"/>
      <c r="AD225" s="46"/>
      <c r="AE225" s="46"/>
      <c r="AF225" s="46"/>
    </row>
    <row r="226">
      <c r="A226" s="24">
        <v>1.0</v>
      </c>
      <c r="B226" s="24" t="s">
        <v>508</v>
      </c>
      <c r="C226" s="25">
        <v>95.0</v>
      </c>
      <c r="D226" s="25">
        <v>3.0</v>
      </c>
      <c r="E226" s="25" t="s">
        <v>509</v>
      </c>
      <c r="F226" s="27" t="str">
        <f>HYPERLINK("https://news.okezone.com/read/2019/03/20/340/2032667/audi-tewas-usai-loncat-dari-jembatan-di-manado","sumber")</f>
        <v>sumber</v>
      </c>
      <c r="G226" s="25" t="s">
        <v>33</v>
      </c>
      <c r="H226" s="25">
        <v>275.0</v>
      </c>
      <c r="I226" s="25">
        <v>1.0</v>
      </c>
      <c r="J226" s="25">
        <v>2.0</v>
      </c>
      <c r="K226" s="25" t="s">
        <v>510</v>
      </c>
      <c r="L226" s="25">
        <v>0.0</v>
      </c>
      <c r="M226" s="25">
        <v>0.0</v>
      </c>
      <c r="N226" s="38">
        <v>0.0</v>
      </c>
      <c r="O226" s="25">
        <v>0.0</v>
      </c>
      <c r="P226" s="25">
        <v>0.0</v>
      </c>
      <c r="Q226" s="25" t="s">
        <v>61</v>
      </c>
      <c r="R226" s="25" t="s">
        <v>61</v>
      </c>
      <c r="S226" s="29"/>
      <c r="T226" s="25">
        <v>0.0</v>
      </c>
      <c r="U226" s="25">
        <v>0.0</v>
      </c>
      <c r="V226" s="25">
        <v>0.0</v>
      </c>
      <c r="W226" s="29"/>
      <c r="X226" s="29"/>
      <c r="Y226" s="29"/>
      <c r="Z226" s="46"/>
      <c r="AA226" s="46"/>
      <c r="AB226" s="46"/>
      <c r="AC226" s="46"/>
      <c r="AD226" s="46"/>
      <c r="AE226" s="46"/>
      <c r="AF226" s="46"/>
    </row>
    <row r="227">
      <c r="A227" s="39">
        <v>2.0</v>
      </c>
      <c r="B227" s="39" t="s">
        <v>511</v>
      </c>
      <c r="C227" s="40">
        <v>96.0</v>
      </c>
      <c r="D227" s="40">
        <v>4.0</v>
      </c>
      <c r="E227" s="53">
        <v>43680.0</v>
      </c>
      <c r="F227" s="42" t="str">
        <f>HYPERLINK("https://www.liputan6.com/bola/read/3911944/atlet-one-championship-stefer-dan-engelen-turut-rayakan-nyepi-di-bali ","sumber")</f>
        <v>sumber</v>
      </c>
      <c r="G227" s="40" t="s">
        <v>33</v>
      </c>
      <c r="H227" s="41"/>
      <c r="I227" s="41"/>
      <c r="J227" s="40">
        <v>2.0</v>
      </c>
      <c r="K227" s="41"/>
      <c r="L227" s="41"/>
      <c r="M227" s="41"/>
      <c r="N227" s="41"/>
      <c r="O227" s="41"/>
      <c r="P227" s="41"/>
      <c r="Q227" s="41"/>
      <c r="R227" s="41"/>
      <c r="S227" s="41"/>
      <c r="T227" s="41"/>
      <c r="U227" s="41"/>
      <c r="V227" s="41"/>
      <c r="W227" s="41"/>
      <c r="X227" s="41"/>
      <c r="Y227" s="41"/>
      <c r="Z227" s="47"/>
      <c r="AA227" s="43"/>
      <c r="AB227" s="48"/>
      <c r="AC227" s="48"/>
      <c r="AD227" s="48"/>
      <c r="AE227" s="48"/>
      <c r="AF227" s="48"/>
    </row>
    <row r="228">
      <c r="A228" s="39">
        <v>2.0</v>
      </c>
      <c r="B228" s="39" t="s">
        <v>512</v>
      </c>
      <c r="C228" s="40">
        <v>97.0</v>
      </c>
      <c r="D228" s="40">
        <v>5.0</v>
      </c>
      <c r="E228" s="53">
        <v>43772.0</v>
      </c>
      <c r="F228" s="42" t="str">
        <f>HYPERLINK("https://tirto.id/respons-lion-air-garuda-usai-boeing-737-max-8-dilarang-terbang-djbX ","sumber")</f>
        <v>sumber</v>
      </c>
      <c r="G228" s="40" t="s">
        <v>33</v>
      </c>
      <c r="H228" s="41"/>
      <c r="I228" s="41"/>
      <c r="J228" s="40">
        <v>2.0</v>
      </c>
      <c r="K228" s="41"/>
      <c r="L228" s="41"/>
      <c r="M228" s="41"/>
      <c r="N228" s="41"/>
      <c r="O228" s="41"/>
      <c r="P228" s="41"/>
      <c r="Q228" s="41"/>
      <c r="R228" s="41"/>
      <c r="S228" s="41"/>
      <c r="T228" s="41"/>
      <c r="U228" s="41"/>
      <c r="V228" s="41"/>
      <c r="W228" s="41"/>
      <c r="X228" s="41"/>
      <c r="Y228" s="41"/>
      <c r="Z228" s="47"/>
      <c r="AA228" s="43"/>
      <c r="AB228" s="48"/>
      <c r="AC228" s="48"/>
      <c r="AD228" s="48"/>
      <c r="AE228" s="48"/>
      <c r="AF228" s="48"/>
    </row>
    <row r="229">
      <c r="A229" s="32">
        <v>1.0</v>
      </c>
      <c r="B229" s="32" t="s">
        <v>513</v>
      </c>
      <c r="C229" s="33">
        <v>98.0</v>
      </c>
      <c r="D229" s="33">
        <v>6.0</v>
      </c>
      <c r="E229" s="33" t="s">
        <v>142</v>
      </c>
      <c r="F229" s="35" t="str">
        <f>HYPERLINK("https://regional.kompas.com/read/2019/03/14/13084521/ayah-angkat-beri-uang-rp-1-juta-untuk-eksekutor-pembunuh-anaknya ","sumber")</f>
        <v>sumber</v>
      </c>
      <c r="G229" s="33" t="s">
        <v>33</v>
      </c>
      <c r="H229" s="33">
        <v>200.0</v>
      </c>
      <c r="I229" s="33">
        <v>1.0</v>
      </c>
      <c r="J229" s="33">
        <v>2.0</v>
      </c>
      <c r="K229" s="33" t="s">
        <v>514</v>
      </c>
      <c r="L229" s="33">
        <v>0.0</v>
      </c>
      <c r="M229" s="33">
        <v>-1.0</v>
      </c>
      <c r="N229" s="37">
        <v>0.0</v>
      </c>
      <c r="O229" s="33">
        <v>0.0</v>
      </c>
      <c r="P229" s="33">
        <v>0.0</v>
      </c>
      <c r="Q229" s="33">
        <v>0.0</v>
      </c>
      <c r="R229" s="33">
        <v>0.0</v>
      </c>
      <c r="S229" s="33" t="s">
        <v>515</v>
      </c>
      <c r="T229" s="33">
        <v>1.0</v>
      </c>
      <c r="U229" s="33">
        <v>0.0</v>
      </c>
      <c r="V229" s="33">
        <v>0.0</v>
      </c>
      <c r="W229" s="36"/>
      <c r="X229" s="36"/>
      <c r="Y229" s="36"/>
      <c r="Z229" s="45"/>
      <c r="AA229" s="45"/>
      <c r="AB229" s="45"/>
      <c r="AC229" s="45"/>
      <c r="AD229" s="45"/>
      <c r="AE229" s="45"/>
      <c r="AF229" s="45"/>
    </row>
    <row r="230">
      <c r="A230" s="24">
        <v>1.0</v>
      </c>
      <c r="B230" s="24" t="s">
        <v>516</v>
      </c>
      <c r="C230" s="25">
        <v>99.0</v>
      </c>
      <c r="D230" s="25">
        <v>6.0</v>
      </c>
      <c r="E230" s="25" t="s">
        <v>147</v>
      </c>
      <c r="F230" s="27" t="str">
        <f>HYPERLINK("https://megapolitan.kompas.com/read/2019/03/16/20555471/cerita-cheta-penyandang-disabilitas-jajal-mrt","sumber")</f>
        <v>sumber</v>
      </c>
      <c r="G230" s="25" t="s">
        <v>33</v>
      </c>
      <c r="H230" s="25">
        <v>236.0</v>
      </c>
      <c r="I230" s="25">
        <v>2.0</v>
      </c>
      <c r="J230" s="25">
        <v>2.0</v>
      </c>
      <c r="K230" s="25" t="s">
        <v>517</v>
      </c>
      <c r="L230" s="25">
        <v>0.0</v>
      </c>
      <c r="M230" s="25">
        <v>0.0</v>
      </c>
      <c r="N230" s="38">
        <v>0.0</v>
      </c>
      <c r="O230" s="25">
        <v>0.0</v>
      </c>
      <c r="P230" s="25">
        <v>0.0</v>
      </c>
      <c r="Q230" s="25">
        <v>2.0</v>
      </c>
      <c r="R230" s="25">
        <v>1.0</v>
      </c>
      <c r="S230" s="29"/>
      <c r="T230" s="25">
        <v>0.0</v>
      </c>
      <c r="U230" s="25">
        <v>0.0</v>
      </c>
      <c r="V230" s="25">
        <v>0.0</v>
      </c>
      <c r="W230" s="29"/>
      <c r="X230" s="29"/>
      <c r="Y230" s="29"/>
      <c r="Z230" s="46"/>
      <c r="AA230" s="46"/>
      <c r="AB230" s="46"/>
      <c r="AC230" s="46"/>
      <c r="AD230" s="46"/>
      <c r="AE230" s="46"/>
      <c r="AF230" s="46"/>
    </row>
    <row r="231">
      <c r="A231" s="39">
        <v>2.0</v>
      </c>
      <c r="B231" s="39" t="s">
        <v>518</v>
      </c>
      <c r="C231" s="40">
        <v>100.0</v>
      </c>
      <c r="D231" s="40">
        <v>6.0</v>
      </c>
      <c r="E231" s="40" t="s">
        <v>150</v>
      </c>
      <c r="F231" s="42" t="str">
        <f>HYPERLINK("https://megapolitan.kompas.com/read/2019/03/17/11494331/kuota-uji-coba-publik-mrt-ditambah-hampir-dua-kali-lipat ","sumber")</f>
        <v>sumber</v>
      </c>
      <c r="G231" s="40" t="s">
        <v>33</v>
      </c>
      <c r="H231" s="41"/>
      <c r="I231" s="41"/>
      <c r="J231" s="40">
        <v>2.0</v>
      </c>
      <c r="K231" s="41"/>
      <c r="L231" s="41"/>
      <c r="M231" s="41"/>
      <c r="N231" s="41"/>
      <c r="O231" s="41"/>
      <c r="P231" s="41"/>
      <c r="Q231" s="41"/>
      <c r="R231" s="41"/>
      <c r="S231" s="41"/>
      <c r="T231" s="41"/>
      <c r="U231" s="41"/>
      <c r="V231" s="41"/>
      <c r="W231" s="41"/>
      <c r="X231" s="41"/>
      <c r="Y231" s="41"/>
      <c r="Z231" s="47"/>
      <c r="AA231" s="43"/>
      <c r="AB231" s="48"/>
      <c r="AC231" s="48"/>
      <c r="AD231" s="48"/>
      <c r="AE231" s="48"/>
      <c r="AF231" s="48"/>
    </row>
    <row r="232">
      <c r="A232" s="24">
        <v>1.0</v>
      </c>
      <c r="B232" s="24" t="s">
        <v>519</v>
      </c>
      <c r="C232" s="25">
        <v>101.0</v>
      </c>
      <c r="D232" s="25">
        <v>5.0</v>
      </c>
      <c r="E232" s="26">
        <v>43527.0</v>
      </c>
      <c r="F232" s="27" t="str">
        <f>HYPERLINK("https://tirto.id/bagaimana-mendeteksi-dan-mencegah-gangguan-pendengaran-difi","sumber")</f>
        <v>sumber</v>
      </c>
      <c r="G232" s="25" t="s">
        <v>33</v>
      </c>
      <c r="H232" s="25">
        <v>792.0</v>
      </c>
      <c r="I232" s="25">
        <v>5.0</v>
      </c>
      <c r="J232" s="25">
        <v>2.0</v>
      </c>
      <c r="K232" s="25" t="s">
        <v>520</v>
      </c>
      <c r="L232" s="25">
        <v>0.0</v>
      </c>
      <c r="M232" s="25">
        <v>0.0</v>
      </c>
      <c r="N232" s="38">
        <v>0.0</v>
      </c>
      <c r="O232" s="25">
        <v>0.0</v>
      </c>
      <c r="P232" s="25">
        <v>0.0</v>
      </c>
      <c r="Q232" s="25" t="s">
        <v>61</v>
      </c>
      <c r="R232" s="25" t="s">
        <v>61</v>
      </c>
      <c r="S232" s="25" t="s">
        <v>521</v>
      </c>
      <c r="T232" s="25">
        <v>3.0</v>
      </c>
      <c r="U232" s="25">
        <v>0.0</v>
      </c>
      <c r="V232" s="25">
        <v>0.0</v>
      </c>
      <c r="W232" s="29"/>
      <c r="X232" s="29"/>
      <c r="Y232" s="29"/>
      <c r="Z232" s="46"/>
      <c r="AA232" s="46"/>
      <c r="AB232" s="46"/>
      <c r="AC232" s="46"/>
      <c r="AD232" s="46"/>
      <c r="AE232" s="46"/>
      <c r="AF232" s="46"/>
    </row>
    <row r="233">
      <c r="A233" s="39">
        <v>2.0</v>
      </c>
      <c r="B233" s="39" t="s">
        <v>522</v>
      </c>
      <c r="C233" s="40">
        <v>102.0</v>
      </c>
      <c r="D233" s="40">
        <v>2.0</v>
      </c>
      <c r="E233" s="40" t="s">
        <v>523</v>
      </c>
      <c r="F233" s="42" t="str">
        <f>HYPERLINK("https://www.cnnindonesia.com/internasional/20190319130005-113-378666/usai-teror-warga-selandia-baru-serahkan-senjata-ke-polisi ","sumber")</f>
        <v>sumber</v>
      </c>
      <c r="G233" s="40" t="s">
        <v>33</v>
      </c>
      <c r="H233" s="41"/>
      <c r="I233" s="41"/>
      <c r="J233" s="40">
        <v>2.0</v>
      </c>
      <c r="K233" s="41"/>
      <c r="L233" s="41"/>
      <c r="M233" s="41"/>
      <c r="N233" s="41"/>
      <c r="O233" s="41"/>
      <c r="P233" s="41"/>
      <c r="Q233" s="41"/>
      <c r="R233" s="41"/>
      <c r="S233" s="41"/>
      <c r="T233" s="41"/>
      <c r="U233" s="41"/>
      <c r="V233" s="41"/>
      <c r="W233" s="41"/>
      <c r="X233" s="41"/>
      <c r="Y233" s="41"/>
      <c r="Z233" s="47"/>
      <c r="AA233" s="43"/>
      <c r="AB233" s="48"/>
      <c r="AC233" s="48"/>
      <c r="AD233" s="48"/>
      <c r="AE233" s="48"/>
      <c r="AF233" s="48"/>
    </row>
    <row r="234">
      <c r="A234" s="39">
        <v>2.0</v>
      </c>
      <c r="B234" s="39" t="s">
        <v>524</v>
      </c>
      <c r="C234" s="40">
        <v>103.0</v>
      </c>
      <c r="D234" s="40">
        <v>10.0</v>
      </c>
      <c r="E234" s="40" t="s">
        <v>525</v>
      </c>
      <c r="F234" s="42" t="str">
        <f>HYPERLINK("https://otomotif.tempo.co/read/1187965/mobil-anak-bangsa-sanggup-produksi-100-bus-listrik-sebulan ","sumber")</f>
        <v>sumber</v>
      </c>
      <c r="G234" s="40" t="s">
        <v>33</v>
      </c>
      <c r="H234" s="41"/>
      <c r="I234" s="41"/>
      <c r="J234" s="40">
        <v>2.0</v>
      </c>
      <c r="K234" s="41"/>
      <c r="L234" s="41"/>
      <c r="M234" s="41"/>
      <c r="N234" s="41"/>
      <c r="O234" s="41"/>
      <c r="P234" s="41"/>
      <c r="Q234" s="41"/>
      <c r="R234" s="41"/>
      <c r="S234" s="41"/>
      <c r="T234" s="41"/>
      <c r="U234" s="41"/>
      <c r="V234" s="41"/>
      <c r="W234" s="41"/>
      <c r="X234" s="41"/>
      <c r="Y234" s="41"/>
      <c r="Z234" s="47"/>
      <c r="AA234" s="43"/>
      <c r="AB234" s="48"/>
      <c r="AC234" s="48"/>
      <c r="AD234" s="48"/>
      <c r="AE234" s="48"/>
      <c r="AF234" s="48"/>
    </row>
    <row r="235">
      <c r="A235" s="24">
        <v>1.0</v>
      </c>
      <c r="B235" s="24" t="s">
        <v>526</v>
      </c>
      <c r="C235" s="25">
        <v>104.0</v>
      </c>
      <c r="D235" s="25">
        <v>10.0</v>
      </c>
      <c r="E235" s="25" t="s">
        <v>150</v>
      </c>
      <c r="F235" s="27" t="str">
        <f>HYPERLINK("https://nasional.tempo.co/read/1186291/prabowo-kita-lebaran-di-tps-jangan-sampai-tuyul-nyoblos/full&amp;view=ok","sumber")</f>
        <v>sumber</v>
      </c>
      <c r="G235" s="25" t="s">
        <v>33</v>
      </c>
      <c r="H235" s="25">
        <v>311.0</v>
      </c>
      <c r="I235" s="25">
        <v>3.0</v>
      </c>
      <c r="J235" s="25">
        <v>2.0</v>
      </c>
      <c r="K235" s="25" t="s">
        <v>527</v>
      </c>
      <c r="L235" s="25">
        <v>0.0</v>
      </c>
      <c r="M235" s="25">
        <v>0.0</v>
      </c>
      <c r="N235" s="38">
        <v>0.0</v>
      </c>
      <c r="O235" s="25">
        <v>0.0</v>
      </c>
      <c r="P235" s="25">
        <v>0.0</v>
      </c>
      <c r="Q235" s="25">
        <v>0.0</v>
      </c>
      <c r="R235" s="25">
        <v>-1.0</v>
      </c>
      <c r="S235" s="29"/>
      <c r="T235" s="25">
        <v>0.0</v>
      </c>
      <c r="U235" s="25">
        <v>0.0</v>
      </c>
      <c r="V235" s="25">
        <v>0.0</v>
      </c>
      <c r="W235" s="29"/>
      <c r="X235" s="29"/>
      <c r="Y235" s="29"/>
      <c r="Z235" s="46"/>
      <c r="AA235" s="46"/>
      <c r="AB235" s="46"/>
      <c r="AC235" s="46"/>
      <c r="AD235" s="46"/>
      <c r="AE235" s="46"/>
      <c r="AF235" s="46"/>
    </row>
    <row r="236">
      <c r="A236" s="39">
        <v>2.0</v>
      </c>
      <c r="B236" s="39" t="s">
        <v>528</v>
      </c>
      <c r="C236" s="40">
        <v>105.0</v>
      </c>
      <c r="D236" s="40">
        <v>8.0</v>
      </c>
      <c r="E236" s="40" t="s">
        <v>529</v>
      </c>
      <c r="F236" s="42" t="str">
        <f>HYPERLINK("https://www.suara.com/entertainment/2019/03/27/073000/merasa-geram-nikita-mirzani-laporkan-balik-indra-tarigan ","sumber")</f>
        <v>sumber</v>
      </c>
      <c r="G236" s="40" t="s">
        <v>33</v>
      </c>
      <c r="H236" s="41"/>
      <c r="I236" s="41"/>
      <c r="J236" s="40">
        <v>2.0</v>
      </c>
      <c r="K236" s="41"/>
      <c r="L236" s="41"/>
      <c r="M236" s="41"/>
      <c r="N236" s="41"/>
      <c r="O236" s="41"/>
      <c r="P236" s="41"/>
      <c r="Q236" s="41"/>
      <c r="R236" s="41"/>
      <c r="S236" s="41"/>
      <c r="T236" s="41"/>
      <c r="U236" s="41"/>
      <c r="V236" s="41"/>
      <c r="W236" s="41"/>
      <c r="X236" s="41"/>
      <c r="Y236" s="41"/>
      <c r="Z236" s="47"/>
      <c r="AA236" s="43"/>
      <c r="AB236" s="48"/>
      <c r="AC236" s="48"/>
      <c r="AD236" s="48"/>
      <c r="AE236" s="48"/>
      <c r="AF236" s="48"/>
    </row>
    <row r="237">
      <c r="A237" s="24">
        <v>1.0</v>
      </c>
      <c r="B237" s="24" t="s">
        <v>530</v>
      </c>
      <c r="C237" s="25">
        <v>106.0</v>
      </c>
      <c r="D237" s="25">
        <v>7.0</v>
      </c>
      <c r="E237" s="25" t="s">
        <v>509</v>
      </c>
      <c r="F237" s="27" t="str">
        <f>HYPERLINK(" http://www.tribunnews.com/nasional/2019/03/20/antisipasi-ada-caleg-gangguan-jiwa-pasca-pemilu-rsud-purwakarta-siapkan-2-dokter-spesialis ","sumber")</f>
        <v>sumber</v>
      </c>
      <c r="G237" s="25" t="s">
        <v>33</v>
      </c>
      <c r="H237" s="25">
        <v>227.0</v>
      </c>
      <c r="I237" s="25">
        <v>1.0</v>
      </c>
      <c r="J237" s="25">
        <v>2.0</v>
      </c>
      <c r="K237" s="25" t="s">
        <v>531</v>
      </c>
      <c r="L237" s="25">
        <v>0.0</v>
      </c>
      <c r="M237" s="25">
        <v>0.0</v>
      </c>
      <c r="N237" s="38">
        <v>0.0</v>
      </c>
      <c r="O237" s="25">
        <v>0.0</v>
      </c>
      <c r="P237" s="25">
        <v>0.0</v>
      </c>
      <c r="Q237" s="25" t="s">
        <v>61</v>
      </c>
      <c r="R237" s="25" t="s">
        <v>61</v>
      </c>
      <c r="S237" s="25" t="s">
        <v>532</v>
      </c>
      <c r="T237" s="25">
        <v>4.0</v>
      </c>
      <c r="U237" s="25">
        <v>0.0</v>
      </c>
      <c r="V237" s="25">
        <v>0.0</v>
      </c>
      <c r="W237" s="29"/>
      <c r="X237" s="29"/>
      <c r="Y237" s="29"/>
      <c r="Z237" s="46"/>
      <c r="AA237" s="46"/>
      <c r="AB237" s="46"/>
      <c r="AC237" s="46"/>
      <c r="AD237" s="46"/>
      <c r="AE237" s="46"/>
      <c r="AF237" s="46"/>
    </row>
    <row r="238">
      <c r="A238" s="39">
        <v>2.0</v>
      </c>
      <c r="B238" s="39" t="s">
        <v>533</v>
      </c>
      <c r="C238" s="40">
        <v>107.0</v>
      </c>
      <c r="D238" s="40">
        <v>4.0</v>
      </c>
      <c r="E238" s="40" t="s">
        <v>534</v>
      </c>
      <c r="F238" s="42" t="str">
        <f>HYPERLINK("https://www.liputan6.com/news/read/3927592/acungan-jempol-hercules-usai-vonis-8-bulan-bui ","sumber")</f>
        <v>sumber</v>
      </c>
      <c r="G238" s="40" t="s">
        <v>33</v>
      </c>
      <c r="H238" s="41"/>
      <c r="I238" s="41"/>
      <c r="J238" s="40">
        <v>2.0</v>
      </c>
      <c r="K238" s="41"/>
      <c r="L238" s="41"/>
      <c r="M238" s="41"/>
      <c r="N238" s="41"/>
      <c r="O238" s="41"/>
      <c r="P238" s="41"/>
      <c r="Q238" s="41"/>
      <c r="R238" s="41"/>
      <c r="S238" s="41"/>
      <c r="T238" s="41"/>
      <c r="U238" s="41"/>
      <c r="V238" s="41"/>
      <c r="W238" s="41"/>
      <c r="X238" s="41"/>
      <c r="Y238" s="41"/>
      <c r="Z238" s="47"/>
      <c r="AA238" s="43"/>
      <c r="AB238" s="48"/>
      <c r="AC238" s="48"/>
      <c r="AD238" s="48"/>
      <c r="AE238" s="48"/>
      <c r="AF238" s="48"/>
    </row>
    <row r="239">
      <c r="A239" s="39">
        <v>2.0</v>
      </c>
      <c r="B239" s="39" t="s">
        <v>535</v>
      </c>
      <c r="C239" s="40">
        <v>108.0</v>
      </c>
      <c r="D239" s="40">
        <v>7.0</v>
      </c>
      <c r="E239" s="40" t="s">
        <v>536</v>
      </c>
      <c r="F239" s="42" t="str">
        <f>HYPERLINK("http://www.tribunnews.com/regional/2019/03/29/pelaku-nekat-bunuh-gadis-cantik-calon-pendeta-karena-sakit-hati-cinta-ditolak-dan-katai-jelek ","sumber")</f>
        <v>sumber</v>
      </c>
      <c r="G239" s="40" t="s">
        <v>33</v>
      </c>
      <c r="H239" s="41"/>
      <c r="I239" s="41"/>
      <c r="J239" s="40">
        <v>2.0</v>
      </c>
      <c r="K239" s="41"/>
      <c r="L239" s="41"/>
      <c r="M239" s="41"/>
      <c r="N239" s="41"/>
      <c r="O239" s="41"/>
      <c r="P239" s="41"/>
      <c r="Q239" s="41"/>
      <c r="R239" s="41"/>
      <c r="S239" s="41"/>
      <c r="T239" s="41"/>
      <c r="U239" s="41"/>
      <c r="V239" s="41"/>
      <c r="W239" s="41"/>
      <c r="X239" s="41"/>
      <c r="Y239" s="41"/>
      <c r="Z239" s="47"/>
      <c r="AA239" s="43"/>
      <c r="AB239" s="48"/>
      <c r="AC239" s="48"/>
      <c r="AD239" s="48"/>
      <c r="AE239" s="48"/>
      <c r="AF239" s="48"/>
    </row>
    <row r="240">
      <c r="A240" s="39">
        <v>2.0</v>
      </c>
      <c r="B240" s="39" t="s">
        <v>537</v>
      </c>
      <c r="C240" s="40">
        <v>109.0</v>
      </c>
      <c r="D240" s="40">
        <v>7.0</v>
      </c>
      <c r="E240" s="53">
        <v>43469.0</v>
      </c>
      <c r="F240" s="42" t="str">
        <f>HYPERLINK("https://tirto.id/jadwal-sholat-dan-masjid-terdekat-di-kota-palopo-dkGg ","sumber")</f>
        <v>sumber</v>
      </c>
      <c r="G240" s="40" t="s">
        <v>33</v>
      </c>
      <c r="H240" s="41"/>
      <c r="I240" s="41"/>
      <c r="J240" s="40">
        <v>2.0</v>
      </c>
      <c r="K240" s="41"/>
      <c r="L240" s="41"/>
      <c r="M240" s="41"/>
      <c r="N240" s="41"/>
      <c r="O240" s="41"/>
      <c r="P240" s="41"/>
      <c r="Q240" s="41"/>
      <c r="R240" s="41"/>
      <c r="S240" s="41"/>
      <c r="T240" s="41"/>
      <c r="U240" s="41"/>
      <c r="V240" s="41"/>
      <c r="W240" s="41"/>
      <c r="X240" s="41"/>
      <c r="Y240" s="41"/>
      <c r="Z240" s="47"/>
      <c r="AA240" s="43"/>
      <c r="AB240" s="48"/>
      <c r="AC240" s="48"/>
      <c r="AD240" s="48"/>
      <c r="AE240" s="48"/>
      <c r="AF240" s="48"/>
    </row>
    <row r="241">
      <c r="A241" s="39">
        <v>2.0</v>
      </c>
      <c r="B241" s="39" t="s">
        <v>538</v>
      </c>
      <c r="C241" s="40">
        <v>110.0</v>
      </c>
      <c r="D241" s="40">
        <v>1.0</v>
      </c>
      <c r="E241" s="53">
        <v>43589.0</v>
      </c>
      <c r="F241" s="42" t="str">
        <f>HYPERLINK("https://sport.detik.com/sepakbola/liga-inggris/d-4498217/manchester-city-vs-brighton-statistik-gila-the-citizens-di-piala-fa ","sumber")</f>
        <v>sumber</v>
      </c>
      <c r="G241" s="40" t="s">
        <v>33</v>
      </c>
      <c r="H241" s="41"/>
      <c r="I241" s="41"/>
      <c r="J241" s="40">
        <v>2.0</v>
      </c>
      <c r="K241" s="41"/>
      <c r="L241" s="41"/>
      <c r="M241" s="41"/>
      <c r="N241" s="41"/>
      <c r="O241" s="41"/>
      <c r="P241" s="41"/>
      <c r="Q241" s="41"/>
      <c r="R241" s="41"/>
      <c r="S241" s="41"/>
      <c r="T241" s="41"/>
      <c r="U241" s="41"/>
      <c r="V241" s="41"/>
      <c r="W241" s="41"/>
      <c r="X241" s="41"/>
      <c r="Y241" s="41"/>
      <c r="Z241" s="47"/>
      <c r="AA241" s="43"/>
      <c r="AB241" s="48"/>
      <c r="AC241" s="48"/>
      <c r="AD241" s="48"/>
      <c r="AE241" s="48"/>
      <c r="AF241" s="48"/>
    </row>
    <row r="242">
      <c r="A242" s="32">
        <v>1.0</v>
      </c>
      <c r="B242" s="32" t="s">
        <v>539</v>
      </c>
      <c r="C242" s="33">
        <v>111.0</v>
      </c>
      <c r="D242" s="33">
        <v>8.0</v>
      </c>
      <c r="E242" s="34">
        <v>43620.0</v>
      </c>
      <c r="F242" s="35" t="str">
        <f>HYPERLINK("https://www.suara.com/lifestyle/2019/04/06/080500/bikin-haru-bocah-ini-menggendong-teman-sekolahnya-setiap-hari ","sumber")</f>
        <v>sumber</v>
      </c>
      <c r="G242" s="33" t="s">
        <v>33</v>
      </c>
      <c r="H242" s="33">
        <v>235.0</v>
      </c>
      <c r="I242" s="33">
        <v>2.0</v>
      </c>
      <c r="J242" s="33">
        <v>2.0</v>
      </c>
      <c r="K242" s="33" t="s">
        <v>540</v>
      </c>
      <c r="L242" s="33">
        <v>0.0</v>
      </c>
      <c r="M242" s="33">
        <v>0.0</v>
      </c>
      <c r="N242" s="37">
        <v>0.0</v>
      </c>
      <c r="O242" s="33">
        <v>0.0</v>
      </c>
      <c r="P242" s="57">
        <v>0.0</v>
      </c>
      <c r="Q242" s="33" t="s">
        <v>61</v>
      </c>
      <c r="R242" s="33" t="s">
        <v>100</v>
      </c>
      <c r="S242" s="33" t="s">
        <v>541</v>
      </c>
      <c r="T242" s="33">
        <v>1.0</v>
      </c>
      <c r="U242" s="33">
        <v>0.0</v>
      </c>
      <c r="V242" s="33">
        <v>0.0</v>
      </c>
      <c r="W242" s="36"/>
      <c r="X242" s="36"/>
      <c r="Y242" s="36"/>
      <c r="Z242" s="45"/>
      <c r="AA242" s="45"/>
      <c r="AB242" s="45"/>
      <c r="AC242" s="45"/>
      <c r="AD242" s="45"/>
      <c r="AE242" s="45"/>
      <c r="AF242" s="45"/>
    </row>
    <row r="243">
      <c r="A243" s="58">
        <v>1.0</v>
      </c>
      <c r="B243" s="58" t="s">
        <v>542</v>
      </c>
      <c r="C243" s="59">
        <v>112.0</v>
      </c>
      <c r="D243" s="59">
        <v>10.0</v>
      </c>
      <c r="E243" s="60">
        <v>43620.0</v>
      </c>
      <c r="F243" s="61" t="str">
        <f>HYPERLINK("https://metro.tempo.co/read/1192901/jpo-pasar-minggu-dibongkar-begini-desain-barunya-kelak ","sumber")</f>
        <v>sumber</v>
      </c>
      <c r="G243" s="59" t="s">
        <v>33</v>
      </c>
      <c r="H243" s="59">
        <v>291.0</v>
      </c>
      <c r="I243" s="59">
        <v>4.0</v>
      </c>
      <c r="J243" s="59">
        <v>2.0</v>
      </c>
      <c r="K243" s="59" t="s">
        <v>543</v>
      </c>
      <c r="L243" s="59">
        <v>0.0</v>
      </c>
      <c r="M243" s="33">
        <v>0.0</v>
      </c>
      <c r="N243" s="37">
        <v>0.0</v>
      </c>
      <c r="O243" s="33">
        <v>0.0</v>
      </c>
      <c r="P243" s="59">
        <v>0.0</v>
      </c>
      <c r="Q243" s="59">
        <v>0.0</v>
      </c>
      <c r="R243" s="59">
        <v>0.0</v>
      </c>
      <c r="S243" s="62"/>
      <c r="T243" s="59">
        <v>0.0</v>
      </c>
      <c r="U243" s="59">
        <v>0.0</v>
      </c>
      <c r="V243" s="59">
        <v>1.0</v>
      </c>
      <c r="W243" s="62"/>
      <c r="X243" s="62"/>
      <c r="Y243" s="62"/>
      <c r="Z243" s="63"/>
      <c r="AA243" s="63"/>
      <c r="AB243" s="63"/>
      <c r="AC243" s="63"/>
      <c r="AD243" s="63"/>
      <c r="AE243" s="63"/>
      <c r="AF243" s="63"/>
    </row>
    <row r="244">
      <c r="A244" s="32">
        <v>1.0</v>
      </c>
      <c r="B244" s="32" t="s">
        <v>544</v>
      </c>
      <c r="C244" s="33">
        <v>113.0</v>
      </c>
      <c r="D244" s="33">
        <v>6.0</v>
      </c>
      <c r="E244" s="34">
        <v>43712.0</v>
      </c>
      <c r="F244" s="35" t="str">
        <f>HYPERLINK("https://lifestyle.kompas.com/read/2019/04/09/150716620/tak-hanya-lansia-katarak-juga-hantui-penduduk-usia-produktif ","sumber")</f>
        <v>sumber</v>
      </c>
      <c r="G244" s="33" t="s">
        <v>33</v>
      </c>
      <c r="H244" s="33">
        <v>721.0</v>
      </c>
      <c r="I244" s="33">
        <v>3.0</v>
      </c>
      <c r="J244" s="33">
        <v>2.0</v>
      </c>
      <c r="K244" s="33" t="s">
        <v>545</v>
      </c>
      <c r="L244" s="33">
        <v>0.0</v>
      </c>
      <c r="M244" s="33">
        <v>0.0</v>
      </c>
      <c r="N244" s="37">
        <v>0.0</v>
      </c>
      <c r="O244" s="33">
        <v>0.0</v>
      </c>
      <c r="P244" s="59">
        <v>0.0</v>
      </c>
      <c r="Q244" s="33" t="s">
        <v>80</v>
      </c>
      <c r="R244" s="33" t="s">
        <v>546</v>
      </c>
      <c r="S244" s="36"/>
      <c r="T244" s="33">
        <v>0.0</v>
      </c>
      <c r="U244" s="33">
        <v>0.0</v>
      </c>
      <c r="V244" s="33">
        <v>0.0</v>
      </c>
      <c r="W244" s="36"/>
      <c r="X244" s="36"/>
      <c r="Y244" s="36"/>
      <c r="Z244" s="45"/>
      <c r="AA244" s="45"/>
      <c r="AB244" s="45"/>
      <c r="AC244" s="45"/>
      <c r="AD244" s="45"/>
      <c r="AE244" s="45"/>
      <c r="AF244" s="45"/>
    </row>
    <row r="245">
      <c r="A245" s="32">
        <v>1.0</v>
      </c>
      <c r="B245" s="32" t="s">
        <v>547</v>
      </c>
      <c r="C245" s="33">
        <v>114.0</v>
      </c>
      <c r="D245" s="33">
        <v>10.0</v>
      </c>
      <c r="E245" s="33" t="s">
        <v>548</v>
      </c>
      <c r="F245" s="35" t="str">
        <f>HYPERLINK("https://dunia.tempo.co/read/1195680/julian-assange-pernah-sembunyi-di-loteng-sebelum-cari-suaka ","sumber")</f>
        <v>sumber</v>
      </c>
      <c r="G245" s="33" t="s">
        <v>33</v>
      </c>
      <c r="H245" s="36"/>
      <c r="I245" s="33">
        <v>1.0</v>
      </c>
      <c r="J245" s="33">
        <v>2.0</v>
      </c>
      <c r="K245" s="33" t="s">
        <v>549</v>
      </c>
      <c r="L245" s="33">
        <v>0.0</v>
      </c>
      <c r="M245" s="33">
        <v>0.0</v>
      </c>
      <c r="N245" s="37">
        <v>0.0</v>
      </c>
      <c r="O245" s="33">
        <v>0.0</v>
      </c>
      <c r="P245" s="33">
        <v>0.0</v>
      </c>
      <c r="Q245" s="33" t="s">
        <v>61</v>
      </c>
      <c r="R245" s="33" t="s">
        <v>100</v>
      </c>
      <c r="S245" s="36"/>
      <c r="T245" s="33">
        <v>0.0</v>
      </c>
      <c r="U245" s="33">
        <v>0.0</v>
      </c>
      <c r="V245" s="33">
        <v>0.0</v>
      </c>
      <c r="W245" s="36"/>
      <c r="X245" s="36"/>
      <c r="Y245" s="36"/>
      <c r="Z245" s="45"/>
      <c r="AA245" s="45"/>
      <c r="AB245" s="45"/>
      <c r="AC245" s="45"/>
      <c r="AD245" s="45"/>
      <c r="AE245" s="45"/>
      <c r="AF245" s="45"/>
    </row>
    <row r="246">
      <c r="A246" s="24">
        <v>1.0</v>
      </c>
      <c r="B246" s="24" t="s">
        <v>550</v>
      </c>
      <c r="C246" s="25">
        <v>115.0</v>
      </c>
      <c r="D246" s="25">
        <v>4.0</v>
      </c>
      <c r="E246" s="25" t="s">
        <v>386</v>
      </c>
      <c r="F246" s="27" t="str">
        <f>HYPERLINK("https://hot.liputan6.com/read/3952572/4-jenis-autisme-pada-anak-yang-perlu-diketahui-ada-yang-punya-teman-imajinatif ","sumber")</f>
        <v>sumber</v>
      </c>
      <c r="G246" s="25" t="s">
        <v>33</v>
      </c>
      <c r="H246" s="25">
        <v>552.0</v>
      </c>
      <c r="I246" s="25">
        <v>5.0</v>
      </c>
      <c r="J246" s="25">
        <v>2.0</v>
      </c>
      <c r="K246" s="25"/>
      <c r="L246" s="25">
        <v>0.0</v>
      </c>
      <c r="M246" s="25">
        <v>0.0</v>
      </c>
      <c r="N246" s="38">
        <v>0.0</v>
      </c>
      <c r="O246" s="25">
        <v>0.0</v>
      </c>
      <c r="P246" s="25">
        <v>0.0</v>
      </c>
      <c r="Q246" s="25"/>
      <c r="R246" s="25"/>
      <c r="S246" s="25" t="s">
        <v>551</v>
      </c>
      <c r="T246" s="25">
        <v>2.0</v>
      </c>
      <c r="U246" s="25">
        <v>0.0</v>
      </c>
      <c r="V246" s="25">
        <v>0.0</v>
      </c>
      <c r="W246" s="29"/>
      <c r="X246" s="29"/>
      <c r="Y246" s="29"/>
      <c r="Z246" s="46"/>
      <c r="AA246" s="46"/>
      <c r="AB246" s="46"/>
      <c r="AC246" s="46"/>
      <c r="AD246" s="46"/>
      <c r="AE246" s="46"/>
      <c r="AF246" s="46"/>
    </row>
    <row r="247">
      <c r="A247" s="24">
        <v>1.0</v>
      </c>
      <c r="B247" s="24" t="s">
        <v>552</v>
      </c>
      <c r="C247" s="25">
        <v>116.0</v>
      </c>
      <c r="D247" s="25">
        <v>7.0</v>
      </c>
      <c r="E247" s="25" t="s">
        <v>553</v>
      </c>
      <c r="F247" s="27" t="str">
        <f>HYPERLINK("http://www.tribunnews.com/kesehatan/2019/04/25/orang-yang-suka-pamerkan-organ-intimnya-alami-gangguan-jiwa","sumber")</f>
        <v>sumber</v>
      </c>
      <c r="G247" s="25" t="s">
        <v>33</v>
      </c>
      <c r="H247" s="25">
        <v>202.0</v>
      </c>
      <c r="I247" s="25">
        <v>1.0</v>
      </c>
      <c r="J247" s="25">
        <v>2.0</v>
      </c>
      <c r="K247" s="25" t="s">
        <v>554</v>
      </c>
      <c r="L247" s="25">
        <v>0.0</v>
      </c>
      <c r="M247" s="25">
        <v>-1.0</v>
      </c>
      <c r="N247" s="38">
        <v>0.0</v>
      </c>
      <c r="O247" s="25">
        <v>0.0</v>
      </c>
      <c r="P247" s="25">
        <v>0.0</v>
      </c>
      <c r="Q247" s="25">
        <v>0.0</v>
      </c>
      <c r="R247" s="25">
        <v>0.0</v>
      </c>
      <c r="S247" s="25" t="s">
        <v>555</v>
      </c>
      <c r="T247" s="25">
        <v>1.0</v>
      </c>
      <c r="U247" s="25">
        <v>0.0</v>
      </c>
      <c r="V247" s="25">
        <v>0.0</v>
      </c>
      <c r="W247" s="29"/>
      <c r="X247" s="29"/>
      <c r="Y247" s="29"/>
      <c r="Z247" s="46"/>
      <c r="AA247" s="46"/>
      <c r="AB247" s="46"/>
      <c r="AC247" s="46"/>
      <c r="AD247" s="46"/>
      <c r="AE247" s="46"/>
      <c r="AF247" s="46"/>
    </row>
    <row r="248">
      <c r="A248" s="32">
        <v>1.0</v>
      </c>
      <c r="B248" s="32" t="s">
        <v>556</v>
      </c>
      <c r="C248" s="33">
        <v>117.0</v>
      </c>
      <c r="D248" s="33">
        <v>7.0</v>
      </c>
      <c r="E248" s="33" t="s">
        <v>557</v>
      </c>
      <c r="F248" s="35" t="str">
        <f>HYPERLINK("http://www.tribunnews.com/regional/2019/04/19/wanita-gangguan-jiwa-ini-gigit-jarinya-hingga-putus ","sumber")</f>
        <v>sumber</v>
      </c>
      <c r="G248" s="33" t="s">
        <v>33</v>
      </c>
      <c r="H248" s="33">
        <v>361.0</v>
      </c>
      <c r="I248" s="33">
        <v>2.0</v>
      </c>
      <c r="J248" s="33">
        <v>2.0</v>
      </c>
      <c r="K248" s="33" t="s">
        <v>558</v>
      </c>
      <c r="L248" s="33">
        <v>0.0</v>
      </c>
      <c r="M248" s="33">
        <v>0.0</v>
      </c>
      <c r="N248" s="37">
        <v>0.0</v>
      </c>
      <c r="O248" s="33">
        <v>0.0</v>
      </c>
      <c r="P248" s="33">
        <v>-1.0</v>
      </c>
      <c r="Q248" s="33" t="s">
        <v>100</v>
      </c>
      <c r="R248" s="33" t="s">
        <v>61</v>
      </c>
      <c r="S248" s="33" t="s">
        <v>559</v>
      </c>
      <c r="T248" s="33">
        <v>1.0</v>
      </c>
      <c r="U248" s="33">
        <v>0.0</v>
      </c>
      <c r="V248" s="33">
        <v>0.0</v>
      </c>
      <c r="W248" s="36"/>
      <c r="X248" s="36"/>
      <c r="Y248" s="36"/>
      <c r="Z248" s="45"/>
      <c r="AA248" s="45"/>
      <c r="AB248" s="45"/>
      <c r="AC248" s="45"/>
      <c r="AD248" s="45"/>
      <c r="AE248" s="45"/>
      <c r="AF248" s="45"/>
    </row>
    <row r="249">
      <c r="A249" s="39">
        <v>2.0</v>
      </c>
      <c r="B249" s="39" t="s">
        <v>560</v>
      </c>
      <c r="C249" s="40">
        <v>118.0</v>
      </c>
      <c r="D249" s="40">
        <v>4.0</v>
      </c>
      <c r="E249" s="40" t="s">
        <v>561</v>
      </c>
      <c r="F249" s="42" t="str">
        <f>HYPERLINK("https://www.liputan6.com/showbiz/read/3946719/hina-capres-erin-taulany-terancam-hukuman-4-tahun-penjara ","sumber")</f>
        <v>sumber</v>
      </c>
      <c r="G249" s="40" t="s">
        <v>33</v>
      </c>
      <c r="H249" s="41"/>
      <c r="I249" s="41"/>
      <c r="J249" s="40">
        <v>2.0</v>
      </c>
      <c r="K249" s="41"/>
      <c r="L249" s="41"/>
      <c r="M249" s="41"/>
      <c r="N249" s="41"/>
      <c r="O249" s="41"/>
      <c r="P249" s="41"/>
      <c r="Q249" s="41"/>
      <c r="R249" s="41"/>
      <c r="S249" s="41"/>
      <c r="T249" s="41"/>
      <c r="U249" s="41"/>
      <c r="V249" s="41"/>
      <c r="W249" s="41"/>
      <c r="X249" s="41"/>
      <c r="Y249" s="41"/>
      <c r="Z249" s="47"/>
      <c r="AA249" s="43"/>
      <c r="AB249" s="48"/>
      <c r="AC249" s="48"/>
      <c r="AD249" s="48"/>
      <c r="AE249" s="48"/>
      <c r="AF249" s="48"/>
    </row>
    <row r="250">
      <c r="A250" s="39">
        <v>2.0</v>
      </c>
      <c r="B250" s="39" t="s">
        <v>562</v>
      </c>
      <c r="C250" s="40">
        <v>119.0</v>
      </c>
      <c r="D250" s="40">
        <v>8.0</v>
      </c>
      <c r="E250" s="40" t="s">
        <v>561</v>
      </c>
      <c r="F250" s="42" t="str">
        <f>HYPERLINK("https://www.suara.com/news/2019/04/21/170800/diduga-menghina-prabowo-istri-andre-taulany-dilaporkan-ke-polda-metro-jaya ","sumber")</f>
        <v>sumber</v>
      </c>
      <c r="G250" s="40" t="s">
        <v>33</v>
      </c>
      <c r="H250" s="41"/>
      <c r="I250" s="41"/>
      <c r="J250" s="40">
        <v>2.0</v>
      </c>
      <c r="K250" s="41"/>
      <c r="L250" s="41"/>
      <c r="M250" s="41"/>
      <c r="N250" s="41"/>
      <c r="O250" s="41"/>
      <c r="P250" s="41"/>
      <c r="Q250" s="41"/>
      <c r="R250" s="41"/>
      <c r="S250" s="41"/>
      <c r="T250" s="41"/>
      <c r="U250" s="41"/>
      <c r="V250" s="41"/>
      <c r="W250" s="41"/>
      <c r="X250" s="41"/>
      <c r="Y250" s="41"/>
      <c r="Z250" s="47"/>
      <c r="AA250" s="43"/>
      <c r="AB250" s="48"/>
      <c r="AC250" s="48"/>
      <c r="AD250" s="48"/>
      <c r="AE250" s="48"/>
      <c r="AF250" s="48"/>
    </row>
    <row r="251">
      <c r="A251" s="24">
        <v>1.0</v>
      </c>
      <c r="B251" s="24" t="s">
        <v>563</v>
      </c>
      <c r="C251" s="25">
        <v>120.0</v>
      </c>
      <c r="D251" s="25">
        <v>3.0</v>
      </c>
      <c r="E251" s="25" t="s">
        <v>189</v>
      </c>
      <c r="F251" s="27" t="str">
        <f>HYPERLINK("https://news.okezone.com/read/2019/04/22/18/2046333/pelaut-buta-jepang-catat-rekor-dengan-berlayar-lintasi-pasifik-tanpa-henti","sumber")</f>
        <v>sumber</v>
      </c>
      <c r="G251" s="25" t="s">
        <v>33</v>
      </c>
      <c r="H251" s="25">
        <v>299.0</v>
      </c>
      <c r="I251" s="25">
        <v>2.0</v>
      </c>
      <c r="J251" s="25">
        <v>2.0</v>
      </c>
      <c r="K251" s="25" t="s">
        <v>564</v>
      </c>
      <c r="L251" s="25">
        <v>0.0</v>
      </c>
      <c r="M251" s="25">
        <v>0.0</v>
      </c>
      <c r="N251" s="38">
        <v>0.0</v>
      </c>
      <c r="O251" s="25">
        <v>0.0</v>
      </c>
      <c r="P251" s="25">
        <v>0.0</v>
      </c>
      <c r="Q251" s="25">
        <v>2.0</v>
      </c>
      <c r="R251" s="25">
        <v>0.0</v>
      </c>
      <c r="S251" s="29"/>
      <c r="T251" s="25">
        <v>0.0</v>
      </c>
      <c r="U251" s="25">
        <v>0.0</v>
      </c>
      <c r="V251" s="25">
        <v>0.0</v>
      </c>
      <c r="W251" s="29"/>
      <c r="X251" s="29"/>
      <c r="Y251" s="29"/>
      <c r="Z251" s="46"/>
      <c r="AA251" s="46"/>
      <c r="AB251" s="46"/>
      <c r="AC251" s="46"/>
      <c r="AD251" s="46"/>
      <c r="AE251" s="46"/>
      <c r="AF251" s="46"/>
    </row>
    <row r="252">
      <c r="A252" s="32">
        <v>1.0</v>
      </c>
      <c r="B252" s="32" t="s">
        <v>565</v>
      </c>
      <c r="C252" s="33">
        <v>121.0</v>
      </c>
      <c r="D252" s="33">
        <v>8.0</v>
      </c>
      <c r="E252" s="33" t="s">
        <v>197</v>
      </c>
      <c r="F252" s="35" t="str">
        <f>HYPERLINK("https://www.suara.com/health/2019/04/24/174041/gangguan-jiwa-bukan-halangan-lelaki-ini-luncurkan-lima-novel ","sumber")</f>
        <v>sumber</v>
      </c>
      <c r="G252" s="33" t="s">
        <v>33</v>
      </c>
      <c r="H252" s="33">
        <v>577.0</v>
      </c>
      <c r="I252" s="33">
        <v>2.0</v>
      </c>
      <c r="J252" s="33">
        <v>2.0</v>
      </c>
      <c r="K252" s="33" t="s">
        <v>566</v>
      </c>
      <c r="L252" s="33">
        <v>0.0</v>
      </c>
      <c r="M252" s="33">
        <v>0.0</v>
      </c>
      <c r="N252" s="37">
        <v>0.0</v>
      </c>
      <c r="O252" s="33">
        <v>0.0</v>
      </c>
      <c r="P252" s="33">
        <v>0.0</v>
      </c>
      <c r="Q252" s="33" t="s">
        <v>210</v>
      </c>
      <c r="R252" s="33" t="s">
        <v>100</v>
      </c>
      <c r="S252" s="33" t="s">
        <v>567</v>
      </c>
      <c r="T252" s="33">
        <v>1.0</v>
      </c>
      <c r="U252" s="33">
        <v>0.0</v>
      </c>
      <c r="V252" s="33">
        <v>0.0</v>
      </c>
      <c r="W252" s="36"/>
      <c r="X252" s="36"/>
      <c r="Y252" s="36"/>
      <c r="Z252" s="45"/>
      <c r="AA252" s="45"/>
      <c r="AB252" s="45"/>
      <c r="AC252" s="45"/>
      <c r="AD252" s="45"/>
      <c r="AE252" s="45"/>
      <c r="AF252" s="45"/>
    </row>
    <row r="253">
      <c r="A253" s="24">
        <v>1.0</v>
      </c>
      <c r="B253" s="24" t="s">
        <v>568</v>
      </c>
      <c r="C253" s="25">
        <v>122.0</v>
      </c>
      <c r="D253" s="25">
        <v>1.0</v>
      </c>
      <c r="E253" s="25" t="s">
        <v>569</v>
      </c>
      <c r="F253" s="27" t="str">
        <f>HYPERLINK(" https://health.detik.com/berita-detikhealth/d-4515562/kemenangan-tanpa-selebrasi-di-tps-khusus-pengidap-gangguan-jiwa ","sumber")</f>
        <v>sumber</v>
      </c>
      <c r="G253" s="25" t="s">
        <v>33</v>
      </c>
      <c r="H253" s="25">
        <v>410.0</v>
      </c>
      <c r="I253" s="25">
        <v>3.0</v>
      </c>
      <c r="J253" s="25">
        <v>2.0</v>
      </c>
      <c r="K253" s="25" t="s">
        <v>570</v>
      </c>
      <c r="L253" s="25">
        <v>0.0</v>
      </c>
      <c r="M253" s="25">
        <v>0.0</v>
      </c>
      <c r="N253" s="38">
        <v>0.0</v>
      </c>
      <c r="O253" s="25">
        <v>0.0</v>
      </c>
      <c r="P253" s="25">
        <v>0.0</v>
      </c>
      <c r="Q253" s="25" t="s">
        <v>61</v>
      </c>
      <c r="R253" s="25" t="s">
        <v>61</v>
      </c>
      <c r="S253" s="25" t="s">
        <v>500</v>
      </c>
      <c r="T253" s="25">
        <v>1.0</v>
      </c>
      <c r="U253" s="25">
        <v>0.0</v>
      </c>
      <c r="V253" s="25">
        <v>0.0</v>
      </c>
      <c r="W253" s="29"/>
      <c r="X253" s="29"/>
      <c r="Y253" s="29"/>
      <c r="Z253" s="46"/>
      <c r="AA253" s="46"/>
      <c r="AB253" s="46"/>
      <c r="AC253" s="46"/>
      <c r="AD253" s="46"/>
      <c r="AE253" s="46"/>
      <c r="AF253" s="46"/>
    </row>
    <row r="254">
      <c r="A254" s="39">
        <v>2.0</v>
      </c>
      <c r="B254" s="39" t="s">
        <v>571</v>
      </c>
      <c r="C254" s="40">
        <v>123.0</v>
      </c>
      <c r="D254" s="40">
        <v>9.0</v>
      </c>
      <c r="E254" s="40" t="s">
        <v>553</v>
      </c>
      <c r="F254" s="42" t="str">
        <f>HYPERLINK("https://khazanah.republika.co.id/berita/dunia-islam/hikmah/pqh3kv313/perangkap-iblis ","sumber")</f>
        <v>sumber</v>
      </c>
      <c r="G254" s="40" t="s">
        <v>33</v>
      </c>
      <c r="H254" s="41"/>
      <c r="I254" s="41"/>
      <c r="J254" s="40">
        <v>2.0</v>
      </c>
      <c r="K254" s="41"/>
      <c r="L254" s="41"/>
      <c r="M254" s="41"/>
      <c r="N254" s="41"/>
      <c r="O254" s="41"/>
      <c r="P254" s="41"/>
      <c r="Q254" s="41"/>
      <c r="R254" s="41"/>
      <c r="S254" s="41"/>
      <c r="T254" s="41"/>
      <c r="U254" s="41"/>
      <c r="V254" s="41"/>
      <c r="W254" s="41"/>
      <c r="X254" s="41"/>
      <c r="Y254" s="41"/>
      <c r="Z254" s="47"/>
      <c r="AA254" s="43"/>
      <c r="AB254" s="48"/>
      <c r="AC254" s="48"/>
      <c r="AD254" s="48"/>
      <c r="AE254" s="48"/>
      <c r="AF254" s="48"/>
    </row>
    <row r="255">
      <c r="A255" s="24">
        <v>1.0</v>
      </c>
      <c r="B255" s="24" t="s">
        <v>572</v>
      </c>
      <c r="C255" s="25">
        <v>124.0</v>
      </c>
      <c r="D255" s="25">
        <v>8.0</v>
      </c>
      <c r="E255" s="26">
        <v>43559.0</v>
      </c>
      <c r="F255" s="27" t="str">
        <f>HYPERLINK("https://www.suara.com/bisnis/2019/04/04/112501/intip-bakti-kemenpupr-untuk-penyandang-disabilitas ","sumber")</f>
        <v>sumber</v>
      </c>
      <c r="G255" s="25" t="s">
        <v>33</v>
      </c>
      <c r="H255" s="25">
        <v>347.0</v>
      </c>
      <c r="I255" s="25">
        <v>4.0</v>
      </c>
      <c r="J255" s="25">
        <v>2.0</v>
      </c>
      <c r="K255" s="25" t="s">
        <v>573</v>
      </c>
      <c r="L255" s="25">
        <v>0.0</v>
      </c>
      <c r="M255" s="25">
        <v>0.0</v>
      </c>
      <c r="N255" s="38">
        <v>0.0</v>
      </c>
      <c r="O255" s="25">
        <v>0.0</v>
      </c>
      <c r="P255" s="25">
        <v>0.0</v>
      </c>
      <c r="Q255" s="25">
        <v>0.0</v>
      </c>
      <c r="R255" s="25">
        <v>1.0</v>
      </c>
      <c r="S255" s="29"/>
      <c r="T255" s="25">
        <v>0.0</v>
      </c>
      <c r="U255" s="25">
        <v>0.0</v>
      </c>
      <c r="V255" s="25">
        <v>1.0</v>
      </c>
      <c r="W255" s="29"/>
      <c r="X255" s="29"/>
      <c r="Y255" s="29"/>
      <c r="Z255" s="46"/>
      <c r="AA255" s="46"/>
      <c r="AB255" s="46"/>
      <c r="AC255" s="46"/>
      <c r="AD255" s="46"/>
      <c r="AE255" s="46"/>
      <c r="AF255" s="46"/>
    </row>
    <row r="256">
      <c r="A256" s="32">
        <v>1.0</v>
      </c>
      <c r="B256" s="32" t="s">
        <v>574</v>
      </c>
      <c r="C256" s="33">
        <v>125.0</v>
      </c>
      <c r="D256" s="33">
        <v>10.0</v>
      </c>
      <c r="E256" s="33" t="s">
        <v>553</v>
      </c>
      <c r="F256" s="35" t="str">
        <f>HYPERLINK("https://dunia.tempo.co/read/1198968/kisah-pilu-bayi-dalam-kantong-plastik-penuh-belatung-di-vietnam ","sumber")</f>
        <v>sumber</v>
      </c>
      <c r="G256" s="33" t="s">
        <v>33</v>
      </c>
      <c r="H256" s="33">
        <v>311.0</v>
      </c>
      <c r="I256" s="33">
        <v>2.0</v>
      </c>
      <c r="J256" s="33">
        <v>2.0</v>
      </c>
      <c r="K256" s="33"/>
      <c r="L256" s="33">
        <v>0.0</v>
      </c>
      <c r="M256" s="33">
        <v>0.0</v>
      </c>
      <c r="N256" s="37">
        <v>0.0</v>
      </c>
      <c r="O256" s="33">
        <v>0.0</v>
      </c>
      <c r="P256" s="33">
        <v>0.0</v>
      </c>
      <c r="Q256" s="36"/>
      <c r="R256" s="36"/>
      <c r="S256" s="36"/>
      <c r="T256" s="33">
        <v>0.0</v>
      </c>
      <c r="U256" s="33">
        <v>0.0</v>
      </c>
      <c r="V256" s="33">
        <v>0.0</v>
      </c>
      <c r="W256" s="36"/>
      <c r="X256" s="36"/>
      <c r="Y256" s="36"/>
      <c r="Z256" s="45"/>
      <c r="AA256" s="45"/>
      <c r="AB256" s="45"/>
      <c r="AC256" s="45"/>
      <c r="AD256" s="45"/>
      <c r="AE256" s="45"/>
      <c r="AF256" s="45"/>
    </row>
    <row r="257">
      <c r="A257" s="24">
        <v>1.0</v>
      </c>
      <c r="B257" s="64" t="s">
        <v>575</v>
      </c>
      <c r="C257" s="25">
        <v>126.0</v>
      </c>
      <c r="D257" s="25">
        <v>9.0</v>
      </c>
      <c r="E257" s="26">
        <v>43529.0</v>
      </c>
      <c r="F257" s="27" t="str">
        <f>HYPERLINK("https://gayahidup.republika.co.id/berita/gaya-hidup/travelling/pqwqmy459/anakanak-difabel-diajak-berwista-ke-jakarta-aquarium ","sumber")</f>
        <v>sumber</v>
      </c>
      <c r="G257" s="25" t="s">
        <v>33</v>
      </c>
      <c r="H257" s="29"/>
      <c r="I257" s="25">
        <v>3.0</v>
      </c>
      <c r="J257" s="25">
        <v>2.0</v>
      </c>
      <c r="K257" s="25" t="s">
        <v>576</v>
      </c>
      <c r="L257" s="25">
        <v>0.0</v>
      </c>
      <c r="M257" s="25">
        <v>0.0</v>
      </c>
      <c r="N257" s="38">
        <v>0.0</v>
      </c>
      <c r="O257" s="25">
        <v>0.0</v>
      </c>
      <c r="P257" s="25">
        <v>0.0</v>
      </c>
      <c r="Q257" s="25">
        <v>0.0</v>
      </c>
      <c r="R257" s="25">
        <v>0.0</v>
      </c>
      <c r="S257" s="29"/>
      <c r="T257" s="25">
        <v>0.0</v>
      </c>
      <c r="U257" s="25">
        <v>0.0</v>
      </c>
      <c r="V257" s="25">
        <v>0.0</v>
      </c>
      <c r="W257" s="29"/>
      <c r="X257" s="29"/>
      <c r="Y257" s="29"/>
      <c r="Z257" s="46"/>
      <c r="AA257" s="46"/>
      <c r="AB257" s="46"/>
      <c r="AC257" s="46"/>
      <c r="AD257" s="46"/>
      <c r="AE257" s="46"/>
      <c r="AF257" s="46"/>
    </row>
    <row r="258">
      <c r="A258" s="39">
        <v>2.0</v>
      </c>
      <c r="B258" s="39" t="s">
        <v>577</v>
      </c>
      <c r="C258" s="40">
        <v>127.0</v>
      </c>
      <c r="D258" s="40">
        <v>9.0</v>
      </c>
      <c r="E258" s="53">
        <v>43621.0</v>
      </c>
      <c r="F258" s="42" t="str">
        <f>HYPERLINK("https://nasional.republika.co.id/berita/nasional/politik/pr2oo7335/bpjs-ketenagakerjaan-sudah-santuni-30-kpps-yang-meninggal ","sumber")</f>
        <v>sumber</v>
      </c>
      <c r="G258" s="40" t="s">
        <v>33</v>
      </c>
      <c r="H258" s="41"/>
      <c r="I258" s="41"/>
      <c r="J258" s="40">
        <v>2.0</v>
      </c>
      <c r="K258" s="41"/>
      <c r="L258" s="41"/>
      <c r="M258" s="41"/>
      <c r="N258" s="41"/>
      <c r="O258" s="41"/>
      <c r="P258" s="41"/>
      <c r="Q258" s="41"/>
      <c r="R258" s="41"/>
      <c r="S258" s="41"/>
      <c r="T258" s="41"/>
      <c r="U258" s="41"/>
      <c r="V258" s="41"/>
      <c r="W258" s="41"/>
      <c r="X258" s="41"/>
      <c r="Y258" s="41"/>
      <c r="Z258" s="47"/>
      <c r="AA258" s="43"/>
      <c r="AB258" s="48"/>
      <c r="AC258" s="48"/>
      <c r="AD258" s="48"/>
      <c r="AE258" s="48"/>
      <c r="AF258" s="48"/>
    </row>
    <row r="259">
      <c r="A259" s="39">
        <v>2.0</v>
      </c>
      <c r="B259" s="39" t="s">
        <v>578</v>
      </c>
      <c r="C259" s="40">
        <v>128.0</v>
      </c>
      <c r="D259" s="40">
        <v>4.0</v>
      </c>
      <c r="E259" s="53">
        <v>43682.0</v>
      </c>
      <c r="F259" s="42" t="str">
        <f>HYPERLINK("https://www.liputan6.com/bola/read/3960350/lolos-ke-final-liga-champions-fans-liverpool-minta-bantuan-suporter-city ","sumber")</f>
        <v>sumber</v>
      </c>
      <c r="G259" s="40" t="s">
        <v>33</v>
      </c>
      <c r="H259" s="41"/>
      <c r="I259" s="41"/>
      <c r="J259" s="40">
        <v>2.0</v>
      </c>
      <c r="K259" s="41"/>
      <c r="L259" s="41"/>
      <c r="M259" s="41"/>
      <c r="N259" s="41"/>
      <c r="O259" s="41"/>
      <c r="P259" s="41"/>
      <c r="Q259" s="41"/>
      <c r="R259" s="41"/>
      <c r="S259" s="41"/>
      <c r="T259" s="41"/>
      <c r="U259" s="41"/>
      <c r="V259" s="41"/>
      <c r="W259" s="41"/>
      <c r="X259" s="41"/>
      <c r="Y259" s="41"/>
      <c r="Z259" s="47"/>
      <c r="AA259" s="43"/>
      <c r="AB259" s="48"/>
      <c r="AC259" s="48"/>
      <c r="AD259" s="48"/>
      <c r="AE259" s="48"/>
      <c r="AF259" s="48"/>
    </row>
    <row r="260">
      <c r="A260" s="39">
        <v>2.0</v>
      </c>
      <c r="B260" s="39" t="s">
        <v>579</v>
      </c>
      <c r="C260" s="40">
        <v>129.0</v>
      </c>
      <c r="D260" s="40">
        <v>9.0</v>
      </c>
      <c r="E260" s="53">
        <v>43682.0</v>
      </c>
      <c r="F260" s="42" t="str">
        <f>HYPERLINK("https://nasional.republika.co.id/berita/nasional/daerah/pr6olb291/pilkades-sleman-ltemgtevotingltemgt-pertama-di-diy ","sumber")</f>
        <v>sumber</v>
      </c>
      <c r="G260" s="40" t="s">
        <v>33</v>
      </c>
      <c r="H260" s="41"/>
      <c r="I260" s="41"/>
      <c r="J260" s="40">
        <v>2.0</v>
      </c>
      <c r="K260" s="41"/>
      <c r="L260" s="41"/>
      <c r="M260" s="41"/>
      <c r="N260" s="41"/>
      <c r="O260" s="41"/>
      <c r="P260" s="41"/>
      <c r="Q260" s="41"/>
      <c r="R260" s="41"/>
      <c r="S260" s="41"/>
      <c r="T260" s="41"/>
      <c r="U260" s="41"/>
      <c r="V260" s="41"/>
      <c r="W260" s="41"/>
      <c r="X260" s="41"/>
      <c r="Y260" s="41"/>
      <c r="Z260" s="47"/>
      <c r="AA260" s="43"/>
      <c r="AB260" s="48"/>
      <c r="AC260" s="48"/>
      <c r="AD260" s="48"/>
      <c r="AE260" s="48"/>
      <c r="AF260" s="48"/>
    </row>
    <row r="261">
      <c r="A261" s="32">
        <v>1.0</v>
      </c>
      <c r="B261" s="32" t="s">
        <v>580</v>
      </c>
      <c r="C261" s="33">
        <v>130.0</v>
      </c>
      <c r="D261" s="33">
        <v>4.0</v>
      </c>
      <c r="E261" s="33" t="s">
        <v>247</v>
      </c>
      <c r="F261" s="35" t="str">
        <f>HYPERLINK("https://hot.liputan6.com/read/3964962/bocah-ini-lukis-wajah-cristiano-ronaldo-pakai-kaki-hasilnya-mirip-banget ","sumber")</f>
        <v>sumber</v>
      </c>
      <c r="G261" s="33" t="s">
        <v>33</v>
      </c>
      <c r="H261" s="33">
        <v>287.0</v>
      </c>
      <c r="I261" s="33">
        <v>2.0</v>
      </c>
      <c r="J261" s="33">
        <v>2.0</v>
      </c>
      <c r="K261" s="33" t="s">
        <v>581</v>
      </c>
      <c r="L261" s="33">
        <v>0.0</v>
      </c>
      <c r="M261" s="33">
        <v>0.0</v>
      </c>
      <c r="N261" s="37">
        <v>0.0</v>
      </c>
      <c r="O261" s="33">
        <v>0.0</v>
      </c>
      <c r="P261" s="59">
        <v>-1.0</v>
      </c>
      <c r="Q261" s="33">
        <v>0.0</v>
      </c>
      <c r="R261" s="33">
        <v>0.0</v>
      </c>
      <c r="S261" s="33" t="s">
        <v>582</v>
      </c>
      <c r="T261" s="33">
        <v>1.0</v>
      </c>
      <c r="U261" s="33">
        <v>0.0</v>
      </c>
      <c r="V261" s="33">
        <v>0.0</v>
      </c>
      <c r="W261" s="36"/>
      <c r="X261" s="36"/>
      <c r="Y261" s="36"/>
      <c r="Z261" s="44"/>
      <c r="AA261" s="45"/>
      <c r="AB261" s="45"/>
      <c r="AC261" s="45"/>
      <c r="AD261" s="45"/>
      <c r="AE261" s="45"/>
      <c r="AF261" s="45"/>
    </row>
    <row r="262">
      <c r="A262" s="24">
        <v>1.0</v>
      </c>
      <c r="B262" s="24" t="s">
        <v>583</v>
      </c>
      <c r="C262" s="25">
        <v>131.0</v>
      </c>
      <c r="D262" s="25">
        <v>7.0</v>
      </c>
      <c r="E262" s="25" t="s">
        <v>232</v>
      </c>
      <c r="F262" s="27" t="str">
        <f>HYPERLINK("http://www.tribunnews.com/metropolitan/2019/05/14/jasad-istri-ditemukan-membusuk-bersama-adik-yang-tanpa-busana-sang-suami-bilangnya-pulang-kampung ","sumber")</f>
        <v>sumber</v>
      </c>
      <c r="G262" s="25" t="s">
        <v>33</v>
      </c>
      <c r="H262" s="25">
        <v>219.0</v>
      </c>
      <c r="I262" s="25">
        <v>1.0</v>
      </c>
      <c r="J262" s="25">
        <v>2.0</v>
      </c>
      <c r="K262" s="25" t="s">
        <v>584</v>
      </c>
      <c r="L262" s="25">
        <v>0.0</v>
      </c>
      <c r="M262" s="25">
        <v>0.0</v>
      </c>
      <c r="N262" s="38">
        <v>0.0</v>
      </c>
      <c r="O262" s="25">
        <v>0.0</v>
      </c>
      <c r="P262" s="25">
        <v>0.0</v>
      </c>
      <c r="Q262" s="25" t="s">
        <v>53</v>
      </c>
      <c r="R262" s="25" t="s">
        <v>53</v>
      </c>
      <c r="S262" s="25" t="s">
        <v>585</v>
      </c>
      <c r="T262" s="25">
        <v>1.0</v>
      </c>
      <c r="U262" s="25">
        <v>0.0</v>
      </c>
      <c r="V262" s="25">
        <v>0.0</v>
      </c>
      <c r="W262" s="29"/>
      <c r="X262" s="29"/>
      <c r="Y262" s="29"/>
      <c r="Z262" s="46"/>
      <c r="AA262" s="46"/>
      <c r="AB262" s="46"/>
      <c r="AC262" s="46"/>
      <c r="AD262" s="46"/>
      <c r="AE262" s="46"/>
      <c r="AF262" s="46"/>
    </row>
    <row r="263">
      <c r="A263" s="39">
        <v>2.0</v>
      </c>
      <c r="B263" s="39" t="s">
        <v>586</v>
      </c>
      <c r="C263" s="40">
        <v>132.0</v>
      </c>
      <c r="D263" s="40">
        <v>7.0</v>
      </c>
      <c r="E263" s="40" t="s">
        <v>390</v>
      </c>
      <c r="F263" s="42" t="str">
        <f>HYPERLINK("http://www.tribunnews.com/nasional/2019/05/19/koalisi-masyarakat-sipil-minta-jokowi-mempertimbangkan-rekam-jejak-pansel-calon-pimpinan-kpk ","sumber")</f>
        <v>sumber</v>
      </c>
      <c r="G263" s="40" t="s">
        <v>33</v>
      </c>
      <c r="H263" s="41"/>
      <c r="I263" s="41"/>
      <c r="J263" s="40">
        <v>2.0</v>
      </c>
      <c r="K263" s="41"/>
      <c r="L263" s="41"/>
      <c r="M263" s="41"/>
      <c r="N263" s="41"/>
      <c r="O263" s="41"/>
      <c r="P263" s="41"/>
      <c r="Q263" s="41"/>
      <c r="R263" s="41"/>
      <c r="S263" s="41"/>
      <c r="T263" s="41"/>
      <c r="U263" s="41"/>
      <c r="V263" s="41"/>
      <c r="W263" s="41"/>
      <c r="X263" s="41"/>
      <c r="Y263" s="41"/>
      <c r="Z263" s="47"/>
      <c r="AA263" s="43"/>
      <c r="AB263" s="48"/>
      <c r="AC263" s="48"/>
      <c r="AD263" s="48"/>
      <c r="AE263" s="48"/>
      <c r="AF263" s="48"/>
    </row>
    <row r="264">
      <c r="A264" s="39">
        <v>2.0</v>
      </c>
      <c r="B264" s="39" t="s">
        <v>587</v>
      </c>
      <c r="C264" s="40">
        <v>133.0</v>
      </c>
      <c r="D264" s="40">
        <v>10.0</v>
      </c>
      <c r="E264" s="40" t="s">
        <v>588</v>
      </c>
      <c r="F264" s="42" t="str">
        <f>HYPERLINK("https://gaya.tempo.co/read/1207867/kesalahan-penggunaan-pada-car-seat-ini-bisa-bahayakan-bayi ","sumber")</f>
        <v>sumber</v>
      </c>
      <c r="G264" s="40" t="s">
        <v>33</v>
      </c>
      <c r="H264" s="41"/>
      <c r="I264" s="41"/>
      <c r="J264" s="40">
        <v>2.0</v>
      </c>
      <c r="K264" s="41"/>
      <c r="L264" s="41"/>
      <c r="M264" s="41"/>
      <c r="N264" s="41"/>
      <c r="O264" s="41"/>
      <c r="P264" s="41"/>
      <c r="Q264" s="41"/>
      <c r="R264" s="41"/>
      <c r="S264" s="41"/>
      <c r="T264" s="41"/>
      <c r="U264" s="41"/>
      <c r="V264" s="41"/>
      <c r="W264" s="41"/>
      <c r="X264" s="41"/>
      <c r="Y264" s="41"/>
      <c r="Z264" s="47"/>
      <c r="AA264" s="43"/>
      <c r="AB264" s="48"/>
      <c r="AC264" s="48"/>
      <c r="AD264" s="48"/>
      <c r="AE264" s="48"/>
      <c r="AF264" s="48"/>
    </row>
    <row r="265">
      <c r="A265" s="39">
        <v>2.0</v>
      </c>
      <c r="B265" s="39" t="s">
        <v>589</v>
      </c>
      <c r="C265" s="40">
        <v>134.0</v>
      </c>
      <c r="D265" s="40">
        <v>2.0</v>
      </c>
      <c r="E265" s="40" t="s">
        <v>590</v>
      </c>
      <c r="F265" s="42" t="str">
        <f>HYPERLINK("https://www.cnnindonesia.com/nasional/20190523012333-20-397629/motor-wartawan-dibakar-massa-aksi-22-mei ","sumber")</f>
        <v>sumber</v>
      </c>
      <c r="G265" s="40" t="s">
        <v>33</v>
      </c>
      <c r="H265" s="41"/>
      <c r="I265" s="41"/>
      <c r="J265" s="40">
        <v>2.0</v>
      </c>
      <c r="K265" s="41"/>
      <c r="L265" s="41"/>
      <c r="M265" s="41"/>
      <c r="N265" s="41"/>
      <c r="O265" s="41"/>
      <c r="P265" s="41"/>
      <c r="Q265" s="41"/>
      <c r="R265" s="41"/>
      <c r="S265" s="41"/>
      <c r="T265" s="41"/>
      <c r="U265" s="41"/>
      <c r="V265" s="41"/>
      <c r="W265" s="41"/>
      <c r="X265" s="41"/>
      <c r="Y265" s="41"/>
      <c r="Z265" s="47"/>
      <c r="AA265" s="43"/>
      <c r="AB265" s="48"/>
      <c r="AC265" s="48"/>
      <c r="AD265" s="48"/>
      <c r="AE265" s="48"/>
      <c r="AF265" s="48"/>
    </row>
    <row r="266">
      <c r="A266" s="24">
        <v>1.0</v>
      </c>
      <c r="B266" s="24" t="s">
        <v>591</v>
      </c>
      <c r="C266" s="25">
        <v>135.0</v>
      </c>
      <c r="D266" s="25">
        <v>3.0</v>
      </c>
      <c r="E266" s="25" t="s">
        <v>237</v>
      </c>
      <c r="F266" s="27" t="str">
        <f>HYPERLINK(" https://celebrity.okezone.com/read/2019/05/20/206/2058185/transformasi-akshay-kumar-sebagai-transgender-dalam-laxmi-bomb ","sumber")</f>
        <v>sumber</v>
      </c>
      <c r="G266" s="25" t="s">
        <v>33</v>
      </c>
      <c r="H266" s="25">
        <v>332.0</v>
      </c>
      <c r="I266" s="25">
        <v>2.0</v>
      </c>
      <c r="J266" s="25">
        <v>3.0</v>
      </c>
      <c r="K266" s="25" t="s">
        <v>592</v>
      </c>
      <c r="L266" s="25">
        <v>0.0</v>
      </c>
      <c r="M266" s="25">
        <v>0.0</v>
      </c>
      <c r="N266" s="38">
        <v>0.0</v>
      </c>
      <c r="O266" s="25">
        <v>0.0</v>
      </c>
      <c r="P266" s="25">
        <v>0.0</v>
      </c>
      <c r="Q266" s="25" t="s">
        <v>61</v>
      </c>
      <c r="R266" s="25" t="s">
        <v>61</v>
      </c>
      <c r="S266" s="29"/>
      <c r="T266" s="25">
        <v>0.0</v>
      </c>
      <c r="U266" s="25">
        <v>0.0</v>
      </c>
      <c r="V266" s="25">
        <v>0.0</v>
      </c>
      <c r="W266" s="29"/>
      <c r="X266" s="29"/>
      <c r="Y266" s="29"/>
      <c r="Z266" s="46"/>
      <c r="AA266" s="46"/>
      <c r="AB266" s="46"/>
      <c r="AC266" s="46"/>
      <c r="AD266" s="46"/>
      <c r="AE266" s="46"/>
      <c r="AF266" s="46"/>
    </row>
    <row r="267">
      <c r="A267" s="39">
        <v>2.0</v>
      </c>
      <c r="B267" s="39" t="s">
        <v>593</v>
      </c>
      <c r="C267" s="40">
        <v>136.0</v>
      </c>
      <c r="D267" s="40">
        <v>5.0</v>
      </c>
      <c r="E267" s="40" t="s">
        <v>212</v>
      </c>
      <c r="F267" s="42" t="str">
        <f>HYPERLINK("https://tirto.id/ltmpt-usai-utbk-pendaftaran-sbmptn-2019-dimulai-10-24-juni-2019-d9ld ","sumber")</f>
        <v>sumber</v>
      </c>
      <c r="G267" s="40" t="s">
        <v>33</v>
      </c>
      <c r="H267" s="41"/>
      <c r="I267" s="41"/>
      <c r="J267" s="40">
        <v>2.0</v>
      </c>
      <c r="K267" s="41"/>
      <c r="L267" s="41"/>
      <c r="M267" s="41"/>
      <c r="N267" s="41"/>
      <c r="O267" s="41"/>
      <c r="P267" s="41"/>
      <c r="Q267" s="41"/>
      <c r="R267" s="41"/>
      <c r="S267" s="41"/>
      <c r="T267" s="41"/>
      <c r="U267" s="41"/>
      <c r="V267" s="41"/>
      <c r="W267" s="41"/>
      <c r="X267" s="41"/>
      <c r="Y267" s="41"/>
      <c r="Z267" s="47"/>
      <c r="AA267" s="43"/>
      <c r="AB267" s="48"/>
      <c r="AC267" s="48"/>
      <c r="AD267" s="48"/>
      <c r="AE267" s="48"/>
      <c r="AF267" s="48"/>
    </row>
    <row r="268">
      <c r="A268" s="32">
        <v>1.0</v>
      </c>
      <c r="B268" s="32" t="s">
        <v>594</v>
      </c>
      <c r="C268" s="33">
        <v>137.0</v>
      </c>
      <c r="D268" s="33">
        <v>2.0</v>
      </c>
      <c r="E268" s="34">
        <v>43652.0</v>
      </c>
      <c r="F268" s="35" t="str">
        <f>HYPERLINK("https://www.cnnindonesia.com/nasional/20190607215037-20-401695/atur-lalin-polisi-ditusuk-oleh-orang-tak-dikenal ","sumber")</f>
        <v>sumber</v>
      </c>
      <c r="G268" s="33" t="s">
        <v>33</v>
      </c>
      <c r="H268" s="33">
        <v>291.0</v>
      </c>
      <c r="I268" s="33">
        <v>1.0</v>
      </c>
      <c r="J268" s="33">
        <v>2.0</v>
      </c>
      <c r="K268" s="33" t="s">
        <v>595</v>
      </c>
      <c r="L268" s="33">
        <v>0.0</v>
      </c>
      <c r="M268" s="33">
        <v>-1.0</v>
      </c>
      <c r="N268" s="33">
        <v>-1.0</v>
      </c>
      <c r="O268" s="33">
        <v>0.0</v>
      </c>
      <c r="P268" s="33">
        <v>0.0</v>
      </c>
      <c r="Q268" s="33">
        <v>0.0</v>
      </c>
      <c r="R268" s="33">
        <v>0.0</v>
      </c>
      <c r="S268" s="33" t="s">
        <v>585</v>
      </c>
      <c r="T268" s="33">
        <v>1.0</v>
      </c>
      <c r="U268" s="33">
        <v>0.0</v>
      </c>
      <c r="V268" s="33">
        <v>0.0</v>
      </c>
      <c r="W268" s="36"/>
      <c r="X268" s="36"/>
      <c r="Y268" s="36"/>
      <c r="Z268" s="45"/>
      <c r="AA268" s="45"/>
      <c r="AB268" s="45"/>
      <c r="AC268" s="45"/>
      <c r="AD268" s="45"/>
      <c r="AE268" s="45"/>
      <c r="AF268" s="45"/>
    </row>
    <row r="269">
      <c r="A269" s="32">
        <v>1.0</v>
      </c>
      <c r="B269" s="32" t="s">
        <v>596</v>
      </c>
      <c r="C269" s="33">
        <v>138.0</v>
      </c>
      <c r="D269" s="33">
        <v>6.0</v>
      </c>
      <c r="E269" s="34">
        <v>43775.0</v>
      </c>
      <c r="F269" s="35" t="str">
        <f>HYPERLINK("https://megapolitan.kompas.com/read/2019/06/11/18181911/ditangkap-pelaku-vandalisme-di-masjid-diduga-alami-gangguan-jiwa ","sumber")</f>
        <v>sumber</v>
      </c>
      <c r="G269" s="33" t="s">
        <v>33</v>
      </c>
      <c r="H269" s="33">
        <v>293.0</v>
      </c>
      <c r="I269" s="33">
        <v>1.0</v>
      </c>
      <c r="J269" s="33">
        <v>2.0</v>
      </c>
      <c r="K269" s="33" t="s">
        <v>597</v>
      </c>
      <c r="L269" s="33">
        <v>0.0</v>
      </c>
      <c r="M269" s="33">
        <v>-1.0</v>
      </c>
      <c r="N269" s="37">
        <v>0.0</v>
      </c>
      <c r="O269" s="33">
        <v>0.0</v>
      </c>
      <c r="P269" s="33">
        <v>0.0</v>
      </c>
      <c r="Q269" s="33">
        <v>0.0</v>
      </c>
      <c r="R269" s="33">
        <v>0.0</v>
      </c>
      <c r="S269" s="33" t="s">
        <v>598</v>
      </c>
      <c r="T269" s="33">
        <v>2.0</v>
      </c>
      <c r="U269" s="33">
        <v>0.0</v>
      </c>
      <c r="V269" s="33">
        <v>0.0</v>
      </c>
      <c r="W269" s="36"/>
      <c r="X269" s="36"/>
      <c r="Y269" s="36"/>
      <c r="Z269" s="45"/>
      <c r="AA269" s="45"/>
      <c r="AB269" s="45"/>
      <c r="AC269" s="45"/>
      <c r="AD269" s="45"/>
      <c r="AE269" s="45"/>
      <c r="AF269" s="45"/>
    </row>
    <row r="270">
      <c r="A270" s="39">
        <v>2.0</v>
      </c>
      <c r="B270" s="39" t="s">
        <v>599</v>
      </c>
      <c r="C270" s="40">
        <v>139.0</v>
      </c>
      <c r="D270" s="40">
        <v>1.0</v>
      </c>
      <c r="E270" s="53">
        <v>43805.0</v>
      </c>
      <c r="F270" s="42" t="str">
        <f>HYPERLINK("https://sport.detik.com/sepakbola/liga-spanyol/d-4584147/barcelona-pasang-harga-tinggi-cillessen-sulit-pergi ","sumber")</f>
        <v>sumber</v>
      </c>
      <c r="G270" s="40" t="s">
        <v>33</v>
      </c>
      <c r="H270" s="41"/>
      <c r="I270" s="41"/>
      <c r="J270" s="40">
        <v>2.0</v>
      </c>
      <c r="K270" s="41"/>
      <c r="L270" s="41"/>
      <c r="M270" s="41"/>
      <c r="N270" s="41"/>
      <c r="O270" s="41"/>
      <c r="P270" s="41"/>
      <c r="Q270" s="41"/>
      <c r="R270" s="41"/>
      <c r="S270" s="41"/>
      <c r="T270" s="41"/>
      <c r="U270" s="41"/>
      <c r="V270" s="41"/>
      <c r="W270" s="41"/>
      <c r="X270" s="41"/>
      <c r="Y270" s="41"/>
      <c r="Z270" s="47"/>
      <c r="AA270" s="43"/>
      <c r="AB270" s="48"/>
      <c r="AC270" s="48"/>
      <c r="AD270" s="48"/>
      <c r="AE270" s="48"/>
      <c r="AF270" s="48"/>
    </row>
    <row r="271">
      <c r="A271" s="39">
        <v>2.0</v>
      </c>
      <c r="B271" s="39" t="s">
        <v>600</v>
      </c>
      <c r="C271" s="40">
        <v>140.0</v>
      </c>
      <c r="D271" s="40">
        <v>9.0</v>
      </c>
      <c r="E271" s="40" t="s">
        <v>420</v>
      </c>
      <c r="F271" s="42" t="str">
        <f>HYPERLINK("https://nasional.republika.co.id/berita/nasional/hukum/pt8rro384/yasonna-akui-petugas-lalai-dikelabui-setnov ","sumber")</f>
        <v>sumber</v>
      </c>
      <c r="G271" s="40" t="s">
        <v>33</v>
      </c>
      <c r="H271" s="41"/>
      <c r="I271" s="41"/>
      <c r="J271" s="40">
        <v>2.0</v>
      </c>
      <c r="K271" s="41"/>
      <c r="L271" s="41"/>
      <c r="M271" s="41"/>
      <c r="N271" s="41"/>
      <c r="O271" s="41"/>
      <c r="P271" s="41"/>
      <c r="Q271" s="41"/>
      <c r="R271" s="41"/>
      <c r="S271" s="41"/>
      <c r="T271" s="41"/>
      <c r="U271" s="41"/>
      <c r="V271" s="41"/>
      <c r="W271" s="41"/>
      <c r="X271" s="41"/>
      <c r="Y271" s="41"/>
      <c r="Z271" s="47"/>
      <c r="AA271" s="43"/>
      <c r="AB271" s="48"/>
      <c r="AC271" s="48"/>
      <c r="AD271" s="48"/>
      <c r="AE271" s="48"/>
      <c r="AF271" s="48"/>
    </row>
    <row r="272">
      <c r="A272" s="39">
        <v>2.0</v>
      </c>
      <c r="B272" s="39" t="s">
        <v>601</v>
      </c>
      <c r="C272" s="40">
        <v>141.0</v>
      </c>
      <c r="D272" s="40">
        <v>8.0</v>
      </c>
      <c r="E272" s="40" t="s">
        <v>420</v>
      </c>
      <c r="F272" s="42" t="str">
        <f>HYPERLINK("https://www.suara.com/health/2019/06/17/081000/liputan-khas-ilmuwan-beberkan-bahaya-tersembunyi-polusi-udara ","sumber")</f>
        <v>sumber</v>
      </c>
      <c r="G272" s="40" t="s">
        <v>33</v>
      </c>
      <c r="H272" s="41"/>
      <c r="I272" s="41"/>
      <c r="J272" s="40">
        <v>2.0</v>
      </c>
      <c r="K272" s="41"/>
      <c r="L272" s="41"/>
      <c r="M272" s="41"/>
      <c r="N272" s="41"/>
      <c r="O272" s="41"/>
      <c r="P272" s="41"/>
      <c r="Q272" s="41"/>
      <c r="R272" s="41"/>
      <c r="S272" s="41"/>
      <c r="T272" s="41"/>
      <c r="U272" s="41"/>
      <c r="V272" s="41"/>
      <c r="W272" s="41"/>
      <c r="X272" s="41"/>
      <c r="Y272" s="41"/>
      <c r="Z272" s="47"/>
      <c r="AA272" s="43"/>
      <c r="AB272" s="48"/>
      <c r="AC272" s="48"/>
      <c r="AD272" s="48"/>
      <c r="AE272" s="48"/>
      <c r="AF272" s="48"/>
    </row>
    <row r="273">
      <c r="A273" s="39">
        <v>2.0</v>
      </c>
      <c r="B273" s="39" t="s">
        <v>602</v>
      </c>
      <c r="C273" s="40">
        <v>142.0</v>
      </c>
      <c r="D273" s="40">
        <v>5.0</v>
      </c>
      <c r="E273" s="40" t="s">
        <v>420</v>
      </c>
      <c r="F273" s="42" t="str">
        <f>HYPERLINK("https://tirto.id/ruu-ekstradisi-cina-ribuan-orang-ikut-demonstrasi-di-hong-kong-ecwa ","sumber")</f>
        <v>sumber</v>
      </c>
      <c r="G273" s="40" t="s">
        <v>33</v>
      </c>
      <c r="H273" s="41"/>
      <c r="I273" s="41"/>
      <c r="J273" s="40">
        <v>2.0</v>
      </c>
      <c r="K273" s="41"/>
      <c r="L273" s="41"/>
      <c r="M273" s="41"/>
      <c r="N273" s="41"/>
      <c r="O273" s="41"/>
      <c r="P273" s="41"/>
      <c r="Q273" s="41"/>
      <c r="R273" s="41"/>
      <c r="S273" s="41"/>
      <c r="T273" s="41"/>
      <c r="U273" s="41"/>
      <c r="V273" s="41"/>
      <c r="W273" s="41"/>
      <c r="X273" s="41"/>
      <c r="Y273" s="41"/>
      <c r="Z273" s="47"/>
      <c r="AA273" s="43"/>
      <c r="AB273" s="48"/>
      <c r="AC273" s="48"/>
      <c r="AD273" s="48"/>
      <c r="AE273" s="48"/>
      <c r="AF273" s="48"/>
    </row>
    <row r="274">
      <c r="A274" s="39">
        <v>2.0</v>
      </c>
      <c r="B274" s="39" t="s">
        <v>603</v>
      </c>
      <c r="C274" s="40">
        <v>143.0</v>
      </c>
      <c r="D274" s="40">
        <v>7.0</v>
      </c>
      <c r="E274" s="40" t="s">
        <v>420</v>
      </c>
      <c r="F274" s="42" t="str">
        <f>HYPERLINK("http://www.tribunnews.com/nasional/2019/06/17/setya-novanto-huni-kamar-nomor-14-di-rutan-gunung-sindur-begini-pengamanannya-menurut-karutan ","sumber")</f>
        <v>sumber</v>
      </c>
      <c r="G274" s="40" t="s">
        <v>33</v>
      </c>
      <c r="H274" s="41"/>
      <c r="I274" s="41"/>
      <c r="J274" s="40">
        <v>2.0</v>
      </c>
      <c r="K274" s="41"/>
      <c r="L274" s="41"/>
      <c r="M274" s="41"/>
      <c r="N274" s="41"/>
      <c r="O274" s="41"/>
      <c r="P274" s="41"/>
      <c r="Q274" s="41"/>
      <c r="R274" s="41"/>
      <c r="S274" s="41"/>
      <c r="T274" s="41"/>
      <c r="U274" s="41"/>
      <c r="V274" s="41"/>
      <c r="W274" s="41"/>
      <c r="X274" s="41"/>
      <c r="Y274" s="41"/>
      <c r="Z274" s="47"/>
      <c r="AA274" s="43"/>
      <c r="AB274" s="48"/>
      <c r="AC274" s="48"/>
      <c r="AD274" s="48"/>
      <c r="AE274" s="48"/>
      <c r="AF274" s="48"/>
    </row>
    <row r="275">
      <c r="A275" s="24">
        <v>1.0</v>
      </c>
      <c r="B275" s="24" t="s">
        <v>604</v>
      </c>
      <c r="C275" s="25">
        <v>144.0</v>
      </c>
      <c r="D275" s="25">
        <v>8.0</v>
      </c>
      <c r="E275" s="26">
        <v>43775.0</v>
      </c>
      <c r="F275" s="27" t="str">
        <f>HYPERLINK("https://www.suara.com/health/2019/06/11/153500/tim-peneliti-sebut-wanita-dengan-pcos-lebih-berisiko-melahirkan-anak-autis ","sumber")</f>
        <v>sumber</v>
      </c>
      <c r="G275" s="25" t="s">
        <v>33</v>
      </c>
      <c r="H275" s="25">
        <v>227.0</v>
      </c>
      <c r="I275" s="25">
        <v>5.0</v>
      </c>
      <c r="J275" s="25">
        <v>2.0</v>
      </c>
      <c r="K275" s="25" t="s">
        <v>605</v>
      </c>
      <c r="L275" s="25">
        <v>0.0</v>
      </c>
      <c r="M275" s="25">
        <v>0.0</v>
      </c>
      <c r="N275" s="38">
        <v>0.0</v>
      </c>
      <c r="O275" s="25">
        <v>0.0</v>
      </c>
      <c r="P275" s="25">
        <v>0.0</v>
      </c>
      <c r="Q275" s="25">
        <v>0.0</v>
      </c>
      <c r="R275" s="25">
        <v>0.0</v>
      </c>
      <c r="S275" s="29"/>
      <c r="T275" s="25">
        <v>0.0</v>
      </c>
      <c r="U275" s="25">
        <v>0.0</v>
      </c>
      <c r="V275" s="25">
        <v>0.0</v>
      </c>
      <c r="W275" s="29"/>
      <c r="X275" s="29"/>
      <c r="Y275" s="29"/>
      <c r="Z275" s="46"/>
      <c r="AA275" s="46"/>
      <c r="AB275" s="46"/>
      <c r="AC275" s="46"/>
      <c r="AD275" s="46"/>
      <c r="AE275" s="46"/>
      <c r="AF275" s="46"/>
    </row>
    <row r="276">
      <c r="A276" s="32">
        <v>1.0</v>
      </c>
      <c r="B276" s="32" t="s">
        <v>606</v>
      </c>
      <c r="C276" s="33">
        <v>145.0</v>
      </c>
      <c r="D276" s="33">
        <v>8.0</v>
      </c>
      <c r="E276" s="33" t="s">
        <v>607</v>
      </c>
      <c r="F276" s="35" t="str">
        <f>HYPERLINK("https://jatim.suara.com/read/2019/06/19/072916/ayah-setahun-hilang-misterius-polisi-temukan-gundukan-aneh-di-rumah-anak ","sumber")</f>
        <v>sumber</v>
      </c>
      <c r="G276" s="33" t="s">
        <v>33</v>
      </c>
      <c r="H276" s="33">
        <v>218.0</v>
      </c>
      <c r="I276" s="33">
        <v>1.0</v>
      </c>
      <c r="J276" s="33">
        <v>2.0</v>
      </c>
      <c r="K276" s="33" t="s">
        <v>608</v>
      </c>
      <c r="L276" s="33">
        <v>0.0</v>
      </c>
      <c r="M276" s="33">
        <v>-1.0</v>
      </c>
      <c r="N276" s="37">
        <v>0.0</v>
      </c>
      <c r="O276" s="33">
        <v>0.0</v>
      </c>
      <c r="P276" s="33">
        <v>0.0</v>
      </c>
      <c r="Q276" s="33">
        <v>0.0</v>
      </c>
      <c r="R276" s="33">
        <v>0.0</v>
      </c>
      <c r="S276" s="33" t="s">
        <v>500</v>
      </c>
      <c r="T276" s="33">
        <v>1.0</v>
      </c>
      <c r="U276" s="33">
        <v>0.0</v>
      </c>
      <c r="V276" s="33">
        <v>0.0</v>
      </c>
      <c r="W276" s="36"/>
      <c r="X276" s="36"/>
      <c r="Y276" s="36"/>
      <c r="Z276" s="45"/>
      <c r="AA276" s="45"/>
      <c r="AB276" s="45"/>
      <c r="AC276" s="45"/>
      <c r="AD276" s="45"/>
      <c r="AE276" s="45"/>
      <c r="AF276" s="45"/>
    </row>
    <row r="277">
      <c r="A277" s="39">
        <v>2.0</v>
      </c>
      <c r="B277" s="39" t="s">
        <v>609</v>
      </c>
      <c r="C277" s="40">
        <v>146.0</v>
      </c>
      <c r="D277" s="40">
        <v>9.0</v>
      </c>
      <c r="E277" s="40" t="s">
        <v>252</v>
      </c>
      <c r="F277" s="42" t="str">
        <f>HYPERLINK("https://senggang.republika.co.id/berita/senggang/film/ptf73x459/ltemgttoy-story-4ltemgt-perjalanan-woody-dan-teman-baru ","sumber")</f>
        <v>sumber</v>
      </c>
      <c r="G277" s="40" t="s">
        <v>33</v>
      </c>
      <c r="H277" s="41"/>
      <c r="I277" s="41"/>
      <c r="J277" s="40">
        <v>2.0</v>
      </c>
      <c r="K277" s="41"/>
      <c r="L277" s="41"/>
      <c r="M277" s="41"/>
      <c r="N277" s="41"/>
      <c r="O277" s="41"/>
      <c r="P277" s="41"/>
      <c r="Q277" s="41"/>
      <c r="R277" s="41"/>
      <c r="S277" s="41"/>
      <c r="T277" s="41"/>
      <c r="U277" s="41"/>
      <c r="V277" s="41"/>
      <c r="W277" s="41"/>
      <c r="X277" s="41"/>
      <c r="Y277" s="41"/>
      <c r="Z277" s="47"/>
      <c r="AA277" s="43"/>
      <c r="AB277" s="48"/>
      <c r="AC277" s="48"/>
      <c r="AD277" s="48"/>
      <c r="AE277" s="48"/>
      <c r="AF277" s="48"/>
    </row>
    <row r="278">
      <c r="A278" s="39">
        <v>2.0</v>
      </c>
      <c r="B278" s="39" t="s">
        <v>610</v>
      </c>
      <c r="C278" s="40">
        <v>147.0</v>
      </c>
      <c r="D278" s="40">
        <v>7.0</v>
      </c>
      <c r="E278" s="40" t="s">
        <v>252</v>
      </c>
      <c r="F278" s="42" t="str">
        <f>HYPERLINK("http://www.tribunnews.com/regional/2019/06/21/dua-orang-di-sikka-tewas-digigit-anjing-gila ","sumber")</f>
        <v>sumber</v>
      </c>
      <c r="G278" s="40" t="s">
        <v>33</v>
      </c>
      <c r="H278" s="41"/>
      <c r="I278" s="41"/>
      <c r="J278" s="40">
        <v>2.0</v>
      </c>
      <c r="K278" s="41"/>
      <c r="L278" s="41"/>
      <c r="M278" s="41"/>
      <c r="N278" s="41"/>
      <c r="O278" s="41"/>
      <c r="P278" s="41"/>
      <c r="Q278" s="41"/>
      <c r="R278" s="41"/>
      <c r="S278" s="41"/>
      <c r="T278" s="41"/>
      <c r="U278" s="41"/>
      <c r="V278" s="41"/>
      <c r="W278" s="41"/>
      <c r="X278" s="41"/>
      <c r="Y278" s="41"/>
      <c r="Z278" s="47"/>
      <c r="AA278" s="43"/>
      <c r="AB278" s="48"/>
      <c r="AC278" s="48"/>
      <c r="AD278" s="48"/>
      <c r="AE278" s="48"/>
      <c r="AF278" s="48"/>
    </row>
    <row r="279">
      <c r="A279" s="24">
        <v>1.0</v>
      </c>
      <c r="B279" s="24" t="s">
        <v>611</v>
      </c>
      <c r="C279" s="25">
        <v>148.0</v>
      </c>
      <c r="D279" s="25">
        <v>9.0</v>
      </c>
      <c r="E279" s="26">
        <v>43683.0</v>
      </c>
      <c r="F279" s="27" t="str">
        <f>HYPERLINK("https://nasional.republika.co.id/berita/nasional/daerah/psr76r383/polisi-bekuk-pelaku-penusukan-personel-pengamanan-lebaran ","sumber")</f>
        <v>sumber</v>
      </c>
      <c r="G279" s="25" t="s">
        <v>33</v>
      </c>
      <c r="H279" s="25">
        <v>293.0</v>
      </c>
      <c r="I279" s="25">
        <v>1.0</v>
      </c>
      <c r="J279" s="25">
        <v>2.0</v>
      </c>
      <c r="K279" s="25" t="s">
        <v>612</v>
      </c>
      <c r="L279" s="25">
        <v>0.0</v>
      </c>
      <c r="M279" s="25">
        <v>0.0</v>
      </c>
      <c r="N279" s="38">
        <v>0.0</v>
      </c>
      <c r="O279" s="25">
        <v>0.0</v>
      </c>
      <c r="P279" s="25">
        <v>0.0</v>
      </c>
      <c r="Q279" s="25">
        <v>0.0</v>
      </c>
      <c r="R279" s="25">
        <v>0.0</v>
      </c>
      <c r="S279" s="25" t="s">
        <v>585</v>
      </c>
      <c r="T279" s="25">
        <v>1.0</v>
      </c>
      <c r="U279" s="25">
        <v>0.0</v>
      </c>
      <c r="V279" s="25">
        <v>0.0</v>
      </c>
      <c r="W279" s="29"/>
      <c r="X279" s="29"/>
      <c r="Y279" s="29"/>
      <c r="Z279" s="46"/>
      <c r="AA279" s="46"/>
      <c r="AB279" s="46"/>
      <c r="AC279" s="46"/>
      <c r="AD279" s="46"/>
      <c r="AE279" s="46"/>
      <c r="AF279" s="46"/>
    </row>
    <row r="280">
      <c r="A280" s="39">
        <v>2.0</v>
      </c>
      <c r="B280" s="39" t="s">
        <v>613</v>
      </c>
      <c r="C280" s="40">
        <v>149.0</v>
      </c>
      <c r="D280" s="40">
        <v>8.0</v>
      </c>
      <c r="E280" s="40" t="s">
        <v>270</v>
      </c>
      <c r="F280" s="42" t="str">
        <f>HYPERLINK("https://www.suara.com/health/2019/06/23/182900/haru-ayah-bikin-tato-mirip-bekas-luka-operasi-jantung-anaknya ","sumber")</f>
        <v>sumber</v>
      </c>
      <c r="G280" s="40" t="s">
        <v>33</v>
      </c>
      <c r="H280" s="41"/>
      <c r="I280" s="41"/>
      <c r="J280" s="40">
        <v>2.0</v>
      </c>
      <c r="K280" s="41"/>
      <c r="L280" s="41"/>
      <c r="M280" s="41"/>
      <c r="N280" s="41"/>
      <c r="O280" s="41"/>
      <c r="P280" s="41"/>
      <c r="Q280" s="41"/>
      <c r="R280" s="41"/>
      <c r="S280" s="41"/>
      <c r="T280" s="41"/>
      <c r="U280" s="41"/>
      <c r="V280" s="41"/>
      <c r="W280" s="41"/>
      <c r="X280" s="41"/>
      <c r="Y280" s="41"/>
      <c r="Z280" s="47"/>
      <c r="AA280" s="43"/>
      <c r="AB280" s="48"/>
      <c r="AC280" s="48"/>
      <c r="AD280" s="48"/>
      <c r="AE280" s="48"/>
      <c r="AF280" s="48"/>
    </row>
    <row r="281">
      <c r="A281" s="39">
        <v>2.0</v>
      </c>
      <c r="B281" s="39" t="s">
        <v>614</v>
      </c>
      <c r="C281" s="40">
        <v>150.0</v>
      </c>
      <c r="D281" s="40">
        <v>2.0</v>
      </c>
      <c r="E281" s="40" t="s">
        <v>270</v>
      </c>
      <c r="F281" s="42" t="str">
        <f>HYPERLINK("https://www.cnnindonesia.com/nasional/20190625170721-12-406320/komnas-ham-sebut-masih-banyak-praktik-penyiksaan-di-penjara ","sumber")</f>
        <v>sumber</v>
      </c>
      <c r="G281" s="40" t="s">
        <v>33</v>
      </c>
      <c r="H281" s="41"/>
      <c r="I281" s="41"/>
      <c r="J281" s="40">
        <v>2.0</v>
      </c>
      <c r="K281" s="41"/>
      <c r="L281" s="41"/>
      <c r="M281" s="41"/>
      <c r="N281" s="41"/>
      <c r="O281" s="41"/>
      <c r="P281" s="41"/>
      <c r="Q281" s="41"/>
      <c r="R281" s="41"/>
      <c r="S281" s="41"/>
      <c r="T281" s="41"/>
      <c r="U281" s="41"/>
      <c r="V281" s="41"/>
      <c r="W281" s="41"/>
      <c r="X281" s="41"/>
      <c r="Y281" s="41"/>
      <c r="Z281" s="47"/>
      <c r="AA281" s="43"/>
      <c r="AB281" s="48"/>
      <c r="AC281" s="48"/>
      <c r="AD281" s="48"/>
      <c r="AE281" s="48"/>
      <c r="AF281" s="48"/>
    </row>
    <row r="282">
      <c r="A282" s="39">
        <v>2.0</v>
      </c>
      <c r="B282" s="39" t="s">
        <v>615</v>
      </c>
      <c r="C282" s="40">
        <v>151.0</v>
      </c>
      <c r="D282" s="40">
        <v>6.0</v>
      </c>
      <c r="E282" s="40" t="s">
        <v>616</v>
      </c>
      <c r="F282" s="42" t="str">
        <f>HYPERLINK("https://bola.kompas.com/read/2019/06/27/17400058/copa-america-saksi-evolusi-arthur-melo-di-lini-tengah-timnas-brasil ","sumber")</f>
        <v>sumber</v>
      </c>
      <c r="G282" s="40" t="s">
        <v>33</v>
      </c>
      <c r="H282" s="41"/>
      <c r="I282" s="41"/>
      <c r="J282" s="40">
        <v>2.0</v>
      </c>
      <c r="K282" s="41"/>
      <c r="L282" s="41"/>
      <c r="M282" s="41"/>
      <c r="N282" s="41"/>
      <c r="O282" s="41"/>
      <c r="P282" s="41"/>
      <c r="Q282" s="41"/>
      <c r="R282" s="41"/>
      <c r="S282" s="41"/>
      <c r="T282" s="41"/>
      <c r="U282" s="41"/>
      <c r="V282" s="41"/>
      <c r="W282" s="41"/>
      <c r="X282" s="41"/>
      <c r="Y282" s="41"/>
      <c r="Z282" s="47"/>
      <c r="AA282" s="43"/>
      <c r="AB282" s="48"/>
      <c r="AC282" s="48"/>
      <c r="AD282" s="48"/>
      <c r="AE282" s="48"/>
      <c r="AF282" s="48"/>
    </row>
    <row r="283">
      <c r="A283" s="32">
        <v>1.0</v>
      </c>
      <c r="B283" s="32" t="s">
        <v>617</v>
      </c>
      <c r="C283" s="33">
        <v>152.0</v>
      </c>
      <c r="D283" s="33">
        <v>7.0</v>
      </c>
      <c r="E283" s="33" t="s">
        <v>616</v>
      </c>
      <c r="F283" s="35" t="str">
        <f>HYPERLINK("http://www.tribunnews.com/regional/2019/06/27/ayah-aniaya-anaknya-berusia-2-tahun-hingga-tewas-pukul-pakai-kayu-lukai-polisi-saat-ditangkap ","sumber")</f>
        <v>sumber</v>
      </c>
      <c r="G283" s="33" t="s">
        <v>33</v>
      </c>
      <c r="H283" s="33">
        <v>168.0</v>
      </c>
      <c r="I283" s="33">
        <v>1.0</v>
      </c>
      <c r="J283" s="33">
        <v>2.0</v>
      </c>
      <c r="K283" s="33" t="s">
        <v>618</v>
      </c>
      <c r="L283" s="33">
        <v>0.0</v>
      </c>
      <c r="M283" s="33">
        <v>-1.0</v>
      </c>
      <c r="N283" s="37">
        <v>0.0</v>
      </c>
      <c r="O283" s="33">
        <v>0.0</v>
      </c>
      <c r="P283" s="33">
        <v>0.0</v>
      </c>
      <c r="Q283" s="33" t="s">
        <v>61</v>
      </c>
      <c r="R283" s="33" t="s">
        <v>61</v>
      </c>
      <c r="S283" s="33" t="s">
        <v>500</v>
      </c>
      <c r="T283" s="33">
        <v>1.0</v>
      </c>
      <c r="U283" s="33">
        <v>0.0</v>
      </c>
      <c r="V283" s="33">
        <v>0.0</v>
      </c>
      <c r="W283" s="36"/>
      <c r="X283" s="36"/>
      <c r="Y283" s="36"/>
      <c r="Z283" s="45"/>
      <c r="AA283" s="45"/>
      <c r="AB283" s="45"/>
      <c r="AC283" s="45"/>
      <c r="AD283" s="45"/>
      <c r="AE283" s="45"/>
      <c r="AF283" s="45"/>
    </row>
    <row r="284">
      <c r="A284" s="39">
        <v>2.0</v>
      </c>
      <c r="B284" s="39" t="s">
        <v>619</v>
      </c>
      <c r="C284" s="40">
        <v>153.0</v>
      </c>
      <c r="D284" s="40">
        <v>5.0</v>
      </c>
      <c r="E284" s="40" t="s">
        <v>273</v>
      </c>
      <c r="F284" s="42" t="str">
        <f>HYPERLINK("https://tirto.id/laporan-keuangan-cacat-garuda-dinilai-ojk-masih-merugi-saat-2018-edgB ","sumber")</f>
        <v>sumber</v>
      </c>
      <c r="G284" s="40" t="s">
        <v>33</v>
      </c>
      <c r="H284" s="41"/>
      <c r="I284" s="41"/>
      <c r="J284" s="40">
        <v>2.0</v>
      </c>
      <c r="K284" s="41"/>
      <c r="L284" s="41"/>
      <c r="M284" s="41"/>
      <c r="N284" s="41"/>
      <c r="O284" s="41"/>
      <c r="P284" s="41"/>
      <c r="Q284" s="41"/>
      <c r="R284" s="41"/>
      <c r="S284" s="41"/>
      <c r="T284" s="41"/>
      <c r="U284" s="41"/>
      <c r="V284" s="41"/>
      <c r="W284" s="41"/>
      <c r="X284" s="41"/>
      <c r="Y284" s="41"/>
      <c r="Z284" s="47"/>
      <c r="AA284" s="43"/>
      <c r="AB284" s="48"/>
      <c r="AC284" s="48"/>
      <c r="AD284" s="48"/>
      <c r="AE284" s="48"/>
      <c r="AF284" s="48"/>
    </row>
    <row r="285">
      <c r="A285" s="39">
        <v>2.0</v>
      </c>
      <c r="B285" s="39" t="s">
        <v>620</v>
      </c>
      <c r="C285" s="40">
        <v>154.0</v>
      </c>
      <c r="D285" s="40">
        <v>10.0</v>
      </c>
      <c r="E285" s="40" t="s">
        <v>621</v>
      </c>
      <c r="F285" s="42" t="str">
        <f>HYPERLINK("https://dunia.tempo.co/read/1219790/festival-yulin-di-cina-saat-jutaan-anjing-dikonsumsi ","sumber")</f>
        <v>sumber</v>
      </c>
      <c r="G285" s="40" t="s">
        <v>33</v>
      </c>
      <c r="H285" s="41"/>
      <c r="I285" s="41"/>
      <c r="J285" s="40">
        <v>2.0</v>
      </c>
      <c r="K285" s="41"/>
      <c r="L285" s="41"/>
      <c r="M285" s="41"/>
      <c r="N285" s="41"/>
      <c r="O285" s="41"/>
      <c r="P285" s="41"/>
      <c r="Q285" s="41"/>
      <c r="R285" s="41"/>
      <c r="S285" s="41"/>
      <c r="T285" s="41"/>
      <c r="U285" s="41"/>
      <c r="V285" s="41"/>
      <c r="W285" s="41"/>
      <c r="X285" s="41"/>
      <c r="Y285" s="41"/>
      <c r="Z285" s="47"/>
      <c r="AA285" s="43"/>
      <c r="AB285" s="48"/>
      <c r="AC285" s="48"/>
      <c r="AD285" s="48"/>
      <c r="AE285" s="48"/>
      <c r="AF285" s="48"/>
    </row>
    <row r="286">
      <c r="A286" s="58">
        <v>1.0</v>
      </c>
      <c r="B286" s="58" t="s">
        <v>622</v>
      </c>
      <c r="C286" s="59">
        <v>155.0</v>
      </c>
      <c r="D286" s="59">
        <v>10.0</v>
      </c>
      <c r="E286" s="60">
        <v>43472.0</v>
      </c>
      <c r="F286" s="61" t="str">
        <f>HYPERLINK("https://metro.tempo.co/read/1220184/rs-polri-sebut-tim-dokter-periksa-wanita-bawa-anjing-masuk-masjid ","sumber")</f>
        <v>sumber</v>
      </c>
      <c r="G286" s="59" t="s">
        <v>33</v>
      </c>
      <c r="H286" s="59">
        <v>353.0</v>
      </c>
      <c r="I286" s="59">
        <v>1.0</v>
      </c>
      <c r="J286" s="59">
        <v>2.0</v>
      </c>
      <c r="K286" s="59" t="s">
        <v>623</v>
      </c>
      <c r="L286" s="59">
        <v>0.0</v>
      </c>
      <c r="M286" s="59">
        <v>-1.0</v>
      </c>
      <c r="N286" s="65">
        <v>0.0</v>
      </c>
      <c r="O286" s="59">
        <v>0.0</v>
      </c>
      <c r="P286" s="59">
        <v>0.0</v>
      </c>
      <c r="Q286" s="59" t="s">
        <v>61</v>
      </c>
      <c r="R286" s="59" t="s">
        <v>85</v>
      </c>
      <c r="S286" s="59" t="s">
        <v>624</v>
      </c>
      <c r="T286" s="59">
        <v>1.0</v>
      </c>
      <c r="U286" s="59">
        <v>0.0</v>
      </c>
      <c r="V286" s="59">
        <v>0.0</v>
      </c>
      <c r="W286" s="62"/>
      <c r="X286" s="62"/>
      <c r="Y286" s="62"/>
      <c r="Z286" s="63"/>
      <c r="AA286" s="63"/>
      <c r="AB286" s="63"/>
      <c r="AC286" s="63"/>
      <c r="AD286" s="63"/>
      <c r="AE286" s="63"/>
      <c r="AF286" s="63"/>
    </row>
    <row r="287">
      <c r="A287" s="32">
        <v>1.0</v>
      </c>
      <c r="B287" s="32" t="s">
        <v>625</v>
      </c>
      <c r="C287" s="33">
        <v>156.0</v>
      </c>
      <c r="D287" s="33">
        <v>6.0</v>
      </c>
      <c r="E287" s="34">
        <v>43503.0</v>
      </c>
      <c r="F287" s="35" t="str">
        <f>HYPERLINK("https://internasional.kompas.com/read/2019/07/02/15150021/sebut-lift-di-istana-osaka-kesalahan-besar-pm-jepang-dikritik ","sumber")</f>
        <v>sumber</v>
      </c>
      <c r="G287" s="33" t="s">
        <v>33</v>
      </c>
      <c r="H287" s="36"/>
      <c r="I287" s="33">
        <v>1.0</v>
      </c>
      <c r="J287" s="33">
        <v>2.0</v>
      </c>
      <c r="K287" s="33" t="s">
        <v>626</v>
      </c>
      <c r="L287" s="33">
        <v>0.0</v>
      </c>
      <c r="M287" s="33">
        <v>0.0</v>
      </c>
      <c r="N287" s="37">
        <v>0.0</v>
      </c>
      <c r="O287" s="33">
        <v>0.0</v>
      </c>
      <c r="P287" s="33">
        <v>0.0</v>
      </c>
      <c r="Q287" s="33" t="s">
        <v>627</v>
      </c>
      <c r="R287" s="33" t="s">
        <v>628</v>
      </c>
      <c r="S287" s="36"/>
      <c r="T287" s="33">
        <v>0.0</v>
      </c>
      <c r="U287" s="33">
        <v>0.0</v>
      </c>
      <c r="V287" s="33">
        <v>0.0</v>
      </c>
      <c r="W287" s="36"/>
      <c r="X287" s="36"/>
      <c r="Y287" s="36"/>
      <c r="Z287" s="45"/>
      <c r="AA287" s="45"/>
      <c r="AB287" s="45"/>
      <c r="AC287" s="45"/>
      <c r="AD287" s="45"/>
      <c r="AE287" s="45"/>
      <c r="AF287" s="45"/>
    </row>
    <row r="288">
      <c r="A288" s="32">
        <v>1.0</v>
      </c>
      <c r="B288" s="32" t="s">
        <v>629</v>
      </c>
      <c r="C288" s="33">
        <v>157.0</v>
      </c>
      <c r="D288" s="33">
        <v>7.0</v>
      </c>
      <c r="E288" s="34">
        <v>43531.0</v>
      </c>
      <c r="F288" s="35" t="str">
        <f>HYPERLINK("http://www.tribunnews.com/regional/2019/07/03/wanita-bawa-anjing-ke-masjid-positif-skizofrenia-dan-tetap-diproses-hukum ","sumber")</f>
        <v>sumber</v>
      </c>
      <c r="G288" s="33" t="s">
        <v>33</v>
      </c>
      <c r="H288" s="33">
        <v>186.0</v>
      </c>
      <c r="I288" s="33">
        <v>1.0</v>
      </c>
      <c r="J288" s="33">
        <v>2.0</v>
      </c>
      <c r="K288" s="33" t="s">
        <v>630</v>
      </c>
      <c r="L288" s="33">
        <v>0.0</v>
      </c>
      <c r="M288" s="33">
        <v>-1.0</v>
      </c>
      <c r="N288" s="37">
        <v>0.0</v>
      </c>
      <c r="O288" s="33">
        <v>0.0</v>
      </c>
      <c r="P288" s="33">
        <v>0.0</v>
      </c>
      <c r="Q288" s="33" t="s">
        <v>89</v>
      </c>
      <c r="R288" s="33" t="s">
        <v>631</v>
      </c>
      <c r="S288" s="33" t="s">
        <v>632</v>
      </c>
      <c r="T288" s="33">
        <v>2.0</v>
      </c>
      <c r="U288" s="33">
        <v>0.0</v>
      </c>
      <c r="V288" s="33">
        <v>0.0</v>
      </c>
      <c r="W288" s="36"/>
      <c r="X288" s="36"/>
      <c r="Y288" s="36"/>
      <c r="Z288" s="45"/>
      <c r="AA288" s="45"/>
      <c r="AB288" s="45"/>
      <c r="AC288" s="45"/>
      <c r="AD288" s="45"/>
      <c r="AE288" s="45"/>
      <c r="AF288" s="45"/>
    </row>
    <row r="289">
      <c r="A289" s="39">
        <v>2.0</v>
      </c>
      <c r="B289" s="39" t="s">
        <v>633</v>
      </c>
      <c r="C289" s="40">
        <v>158.0</v>
      </c>
      <c r="D289" s="40">
        <v>6.0</v>
      </c>
      <c r="E289" s="53">
        <v>43562.0</v>
      </c>
      <c r="F289" s="42" t="str">
        <f>HYPERLINK("https://megapolitan.kompas.com/read/2019/07/04/06443011/populer-megapolitan-jasad-anjing-jadi-barang-bukti-kasus-sm-i-pembacok ","sumber")</f>
        <v>sumber</v>
      </c>
      <c r="G289" s="40" t="s">
        <v>33</v>
      </c>
      <c r="H289" s="40"/>
      <c r="I289" s="40">
        <v>1.0</v>
      </c>
      <c r="J289" s="40">
        <v>2.0</v>
      </c>
      <c r="K289" s="40"/>
      <c r="L289" s="41"/>
      <c r="M289" s="41"/>
      <c r="N289" s="41"/>
      <c r="O289" s="41"/>
      <c r="P289" s="41"/>
      <c r="Q289" s="41"/>
      <c r="R289" s="41"/>
      <c r="S289" s="41"/>
      <c r="T289" s="41"/>
      <c r="U289" s="41"/>
      <c r="V289" s="41"/>
      <c r="W289" s="41"/>
      <c r="X289" s="41"/>
      <c r="Y289" s="41"/>
      <c r="Z289" s="48"/>
      <c r="AA289" s="48"/>
      <c r="AB289" s="48"/>
      <c r="AC289" s="48"/>
      <c r="AD289" s="48"/>
      <c r="AE289" s="48"/>
      <c r="AF289" s="48"/>
    </row>
    <row r="290">
      <c r="A290" s="39">
        <v>2.0</v>
      </c>
      <c r="B290" s="39" t="s">
        <v>634</v>
      </c>
      <c r="C290" s="40">
        <v>159.0</v>
      </c>
      <c r="D290" s="40">
        <v>3.0</v>
      </c>
      <c r="E290" s="53">
        <v>43592.0</v>
      </c>
      <c r="F290" s="42" t="str">
        <f>HYPERLINK("https://lifestyle.okezone.com/read/2019/07/05/481/2074965/kenapa-sih-menguap-itu-menular-tanda-tanda-penyakit-kah ","sumber")</f>
        <v>sumber</v>
      </c>
      <c r="G290" s="40" t="s">
        <v>33</v>
      </c>
      <c r="H290" s="41"/>
      <c r="I290" s="41"/>
      <c r="J290" s="40">
        <v>2.0</v>
      </c>
      <c r="K290" s="41"/>
      <c r="L290" s="41"/>
      <c r="M290" s="41"/>
      <c r="N290" s="41"/>
      <c r="O290" s="41"/>
      <c r="P290" s="41"/>
      <c r="Q290" s="41"/>
      <c r="R290" s="41"/>
      <c r="S290" s="41"/>
      <c r="T290" s="41"/>
      <c r="U290" s="41"/>
      <c r="V290" s="41"/>
      <c r="W290" s="41"/>
      <c r="X290" s="41"/>
      <c r="Y290" s="41"/>
      <c r="Z290" s="47"/>
      <c r="AA290" s="43"/>
      <c r="AB290" s="48"/>
      <c r="AC290" s="48"/>
      <c r="AD290" s="48"/>
      <c r="AE290" s="48"/>
      <c r="AF290" s="48"/>
    </row>
    <row r="291">
      <c r="A291" s="24">
        <v>1.0</v>
      </c>
      <c r="B291" s="24" t="s">
        <v>635</v>
      </c>
      <c r="C291" s="25">
        <v>160.0</v>
      </c>
      <c r="D291" s="25">
        <v>5.0</v>
      </c>
      <c r="E291" s="26">
        <v>43806.0</v>
      </c>
      <c r="F291" s="27" t="str">
        <f>HYPERLINK(" https://tirto.id/penyerang-sopir-bus-di-cipali-dipastikan-sakit-jiwa-berpotensi-sp3-ed9M ","sumber")</f>
        <v>sumber</v>
      </c>
      <c r="G291" s="25" t="s">
        <v>33</v>
      </c>
      <c r="H291" s="25">
        <v>302.0</v>
      </c>
      <c r="I291" s="25">
        <v>1.0</v>
      </c>
      <c r="J291" s="25">
        <v>2.0</v>
      </c>
      <c r="K291" s="25" t="s">
        <v>636</v>
      </c>
      <c r="L291" s="25">
        <v>0.0</v>
      </c>
      <c r="M291" s="25">
        <v>0.0</v>
      </c>
      <c r="N291" s="38">
        <v>0.0</v>
      </c>
      <c r="O291" s="25">
        <v>0.0</v>
      </c>
      <c r="P291" s="25">
        <v>0.0</v>
      </c>
      <c r="Q291" s="25">
        <v>0.0</v>
      </c>
      <c r="R291" s="25">
        <v>0.0</v>
      </c>
      <c r="S291" s="25" t="s">
        <v>637</v>
      </c>
      <c r="T291" s="25">
        <v>1.0</v>
      </c>
      <c r="U291" s="25">
        <v>0.0</v>
      </c>
      <c r="V291" s="25">
        <v>0.0</v>
      </c>
      <c r="W291" s="29"/>
      <c r="X291" s="29"/>
      <c r="Y291" s="29"/>
      <c r="Z291" s="55"/>
      <c r="AA291" s="46"/>
      <c r="AB291" s="46"/>
      <c r="AC291" s="46"/>
      <c r="AD291" s="46"/>
      <c r="AE291" s="46"/>
      <c r="AF291" s="46"/>
    </row>
    <row r="292">
      <c r="A292" s="39">
        <v>2.0</v>
      </c>
      <c r="B292" s="39" t="s">
        <v>638</v>
      </c>
      <c r="C292" s="40">
        <v>161.0</v>
      </c>
      <c r="D292" s="40">
        <v>3.0</v>
      </c>
      <c r="E292" s="53">
        <v>43653.0</v>
      </c>
      <c r="F292" s="42" t="str">
        <f>HYPERLINK("https://lifestyle.okezone.com/read/2019/07/06/196/2075541/makna-one-night-stand-menurut-anak-milenial-selalu-negatif ","sumber")</f>
        <v>sumber</v>
      </c>
      <c r="G292" s="40" t="s">
        <v>33</v>
      </c>
      <c r="H292" s="41"/>
      <c r="I292" s="41"/>
      <c r="J292" s="40">
        <v>2.0</v>
      </c>
      <c r="K292" s="41"/>
      <c r="L292" s="41"/>
      <c r="M292" s="41"/>
      <c r="N292" s="41"/>
      <c r="O292" s="41"/>
      <c r="P292" s="41"/>
      <c r="Q292" s="41"/>
      <c r="R292" s="41"/>
      <c r="S292" s="41"/>
      <c r="T292" s="41"/>
      <c r="U292" s="41"/>
      <c r="V292" s="41"/>
      <c r="W292" s="41"/>
      <c r="X292" s="41"/>
      <c r="Y292" s="41"/>
      <c r="Z292" s="47"/>
      <c r="AA292" s="43"/>
      <c r="AB292" s="48"/>
      <c r="AC292" s="48"/>
      <c r="AD292" s="48"/>
      <c r="AE292" s="48"/>
      <c r="AF292" s="48"/>
    </row>
    <row r="293">
      <c r="A293" s="24">
        <v>1.0</v>
      </c>
      <c r="B293" s="24" t="s">
        <v>639</v>
      </c>
      <c r="C293" s="25">
        <v>162.0</v>
      </c>
      <c r="D293" s="25">
        <v>7.0</v>
      </c>
      <c r="E293" s="26">
        <v>43592.0</v>
      </c>
      <c r="F293" s="27" t="str">
        <f>HYPERLINK("http://www.tribunnews.com/kesehatan/2019/07/05/axa-mandiri-rangkul-penyandang-autisme-melalui-cr-week-2019 ","sumber")</f>
        <v>sumber</v>
      </c>
      <c r="G293" s="25" t="s">
        <v>33</v>
      </c>
      <c r="H293" s="25">
        <v>449.0</v>
      </c>
      <c r="I293" s="25">
        <v>3.0</v>
      </c>
      <c r="J293" s="25">
        <v>2.0</v>
      </c>
      <c r="K293" s="25" t="s">
        <v>640</v>
      </c>
      <c r="L293" s="25">
        <v>0.0</v>
      </c>
      <c r="M293" s="25">
        <v>0.0</v>
      </c>
      <c r="N293" s="38">
        <v>0.0</v>
      </c>
      <c r="O293" s="25">
        <v>0.0</v>
      </c>
      <c r="P293" s="25">
        <v>0.0</v>
      </c>
      <c r="Q293" s="25">
        <v>0.0</v>
      </c>
      <c r="R293" s="25">
        <v>-1.0</v>
      </c>
      <c r="S293" s="29"/>
      <c r="T293" s="25">
        <v>0.0</v>
      </c>
      <c r="U293" s="25">
        <v>0.0</v>
      </c>
      <c r="V293" s="25">
        <v>0.0</v>
      </c>
      <c r="W293" s="29"/>
      <c r="X293" s="29"/>
      <c r="Y293" s="29"/>
      <c r="Z293" s="46"/>
      <c r="AA293" s="46"/>
      <c r="AB293" s="46"/>
      <c r="AC293" s="46"/>
      <c r="AD293" s="46"/>
      <c r="AE293" s="46"/>
      <c r="AF293" s="46"/>
    </row>
    <row r="294">
      <c r="A294" s="32">
        <v>1.0</v>
      </c>
      <c r="B294" s="32" t="s">
        <v>641</v>
      </c>
      <c r="C294" s="33">
        <v>163.0</v>
      </c>
      <c r="D294" s="33">
        <v>1.0</v>
      </c>
      <c r="E294" s="33" t="s">
        <v>642</v>
      </c>
      <c r="F294" s="35" t="str">
        <f>HYPERLINK("https://news.detik.com/berita/d-4634237/bu-dokter-yang-gagal-jadi-pns-karena-disabilitas-akan-ambil-langkah-hukum ","sumber")</f>
        <v>sumber</v>
      </c>
      <c r="G294" s="33" t="s">
        <v>33</v>
      </c>
      <c r="H294" s="33">
        <v>191.0</v>
      </c>
      <c r="I294" s="33">
        <v>1.0</v>
      </c>
      <c r="J294" s="33">
        <v>2.0</v>
      </c>
      <c r="K294" s="66" t="s">
        <v>643</v>
      </c>
      <c r="L294" s="33">
        <v>0.0</v>
      </c>
      <c r="M294" s="33">
        <v>1.0</v>
      </c>
      <c r="N294" s="37">
        <v>0.0</v>
      </c>
      <c r="O294" s="33">
        <v>0.0</v>
      </c>
      <c r="P294" s="33">
        <v>0.0</v>
      </c>
      <c r="Q294" s="33">
        <v>0.0</v>
      </c>
      <c r="R294" s="33">
        <v>1.0</v>
      </c>
      <c r="S294" s="36"/>
      <c r="T294" s="33">
        <v>0.0</v>
      </c>
      <c r="U294" s="33">
        <v>0.0</v>
      </c>
      <c r="V294" s="33">
        <v>0.0</v>
      </c>
      <c r="W294" s="36"/>
      <c r="X294" s="36"/>
      <c r="Y294" s="36"/>
      <c r="Z294" s="36"/>
      <c r="AA294" s="36"/>
      <c r="AB294" s="36"/>
      <c r="AC294" s="36"/>
      <c r="AD294" s="36"/>
      <c r="AE294" s="36"/>
      <c r="AF294" s="36"/>
    </row>
    <row r="295">
      <c r="A295" s="24">
        <v>1.0</v>
      </c>
      <c r="B295" s="24" t="s">
        <v>644</v>
      </c>
      <c r="C295" s="25">
        <v>164.0</v>
      </c>
      <c r="D295" s="25">
        <v>4.0</v>
      </c>
      <c r="E295" s="25" t="s">
        <v>645</v>
      </c>
      <c r="F295" s="27" t="str">
        <f>HYPERLINK(" https://www.liputan6.com/news/read/4011924/pemuda-yang-tusuk-adiknya-hingga-tewas-diduga-dalami-ilmu-kebatinan ","sumber")</f>
        <v>sumber</v>
      </c>
      <c r="G295" s="25" t="s">
        <v>33</v>
      </c>
      <c r="H295" s="25">
        <v>459.0</v>
      </c>
      <c r="I295" s="25">
        <v>1.0</v>
      </c>
      <c r="J295" s="25">
        <v>2.0</v>
      </c>
      <c r="K295" s="25" t="s">
        <v>646</v>
      </c>
      <c r="L295" s="25">
        <v>0.0</v>
      </c>
      <c r="M295" s="25">
        <v>0.0</v>
      </c>
      <c r="N295" s="38">
        <v>0.0</v>
      </c>
      <c r="O295" s="25">
        <v>0.0</v>
      </c>
      <c r="P295" s="25">
        <v>0.0</v>
      </c>
      <c r="Q295" s="25" t="s">
        <v>61</v>
      </c>
      <c r="R295" s="25" t="s">
        <v>61</v>
      </c>
      <c r="S295" s="25" t="s">
        <v>647</v>
      </c>
      <c r="T295" s="25">
        <v>3.0</v>
      </c>
      <c r="U295" s="25">
        <v>0.0</v>
      </c>
      <c r="V295" s="25">
        <v>0.0</v>
      </c>
      <c r="W295" s="29"/>
      <c r="X295" s="29"/>
      <c r="Y295" s="29"/>
      <c r="Z295" s="29"/>
      <c r="AA295" s="29"/>
      <c r="AB295" s="29"/>
      <c r="AC295" s="29"/>
      <c r="AD295" s="29"/>
      <c r="AE295" s="29"/>
      <c r="AF295" s="29"/>
    </row>
    <row r="296">
      <c r="A296" s="39">
        <v>2.0</v>
      </c>
      <c r="B296" s="39" t="s">
        <v>648</v>
      </c>
      <c r="C296" s="40">
        <v>165.0</v>
      </c>
      <c r="D296" s="40">
        <v>3.0</v>
      </c>
      <c r="E296" s="53">
        <v>43504.0</v>
      </c>
      <c r="F296" s="42" t="str">
        <f>HYPERLINK("https://celebrity.okezone.com/read/2019/08/02/206/2086959/sinopsis-film-victor-frankenstein-ilmuwan-gila-si-pencipta-monster ","sumber")</f>
        <v>sumber</v>
      </c>
      <c r="G296" s="40" t="s">
        <v>33</v>
      </c>
      <c r="H296" s="41"/>
      <c r="I296" s="41"/>
      <c r="J296" s="40">
        <v>2.0</v>
      </c>
      <c r="K296" s="41"/>
      <c r="L296" s="41"/>
      <c r="M296" s="41"/>
      <c r="N296" s="41"/>
      <c r="O296" s="41"/>
      <c r="P296" s="41"/>
      <c r="Q296" s="41"/>
      <c r="R296" s="41"/>
      <c r="S296" s="41"/>
      <c r="T296" s="41"/>
      <c r="U296" s="41"/>
      <c r="V296" s="41"/>
      <c r="W296" s="41"/>
      <c r="X296" s="41"/>
      <c r="Y296" s="41"/>
      <c r="Z296" s="40"/>
      <c r="AA296" s="43"/>
      <c r="AB296" s="41"/>
      <c r="AC296" s="41"/>
      <c r="AD296" s="41"/>
      <c r="AE296" s="41"/>
      <c r="AF296" s="41"/>
    </row>
    <row r="297">
      <c r="A297" s="24">
        <v>1.0</v>
      </c>
      <c r="B297" s="24" t="s">
        <v>649</v>
      </c>
      <c r="C297" s="25">
        <v>166.0</v>
      </c>
      <c r="D297" s="25">
        <v>6.0</v>
      </c>
      <c r="E297" s="25" t="s">
        <v>306</v>
      </c>
      <c r="F297" s="27" t="str">
        <f>HYPERLINK(" https://regional.kompas.com/read/2019/08/25/14131851/cerita-penyandang-difabel-kibarkan-bendera-merah-putih-dalam-laut-awalnya ","sumber")</f>
        <v>sumber</v>
      </c>
      <c r="G297" s="25" t="s">
        <v>33</v>
      </c>
      <c r="H297" s="25">
        <v>178.0</v>
      </c>
      <c r="I297" s="25">
        <v>2.0</v>
      </c>
      <c r="J297" s="25">
        <v>2.0</v>
      </c>
      <c r="K297" s="25" t="s">
        <v>650</v>
      </c>
      <c r="L297" s="25">
        <v>0.0</v>
      </c>
      <c r="M297" s="25">
        <v>0.0</v>
      </c>
      <c r="N297" s="38">
        <v>0.0</v>
      </c>
      <c r="O297" s="25">
        <v>0.0</v>
      </c>
      <c r="P297" s="25">
        <v>0.0</v>
      </c>
      <c r="Q297" s="25" t="s">
        <v>651</v>
      </c>
      <c r="R297" s="25" t="s">
        <v>100</v>
      </c>
      <c r="S297" s="29"/>
      <c r="T297" s="25">
        <v>0.0</v>
      </c>
      <c r="U297" s="25">
        <v>0.0</v>
      </c>
      <c r="V297" s="25">
        <v>0.0</v>
      </c>
      <c r="W297" s="29"/>
      <c r="X297" s="29"/>
      <c r="Y297" s="29"/>
      <c r="Z297" s="29"/>
      <c r="AA297" s="29"/>
      <c r="AB297" s="29"/>
      <c r="AC297" s="29"/>
      <c r="AD297" s="29"/>
      <c r="AE297" s="29"/>
      <c r="AF297" s="29"/>
    </row>
    <row r="298">
      <c r="A298" s="24">
        <v>1.0</v>
      </c>
      <c r="B298" s="24" t="s">
        <v>652</v>
      </c>
      <c r="C298" s="25">
        <v>167.0</v>
      </c>
      <c r="D298" s="25">
        <v>2.0</v>
      </c>
      <c r="E298" s="25" t="s">
        <v>315</v>
      </c>
      <c r="F298" s="27" t="str">
        <f>HYPERLINK("https://www.cnnindonesia.com/nasional/20190827191937-12-425140/pelaku-penyerangan-polisi-di-pati-dibawa-ke-rumah-sakit-jiwa ","sumber")</f>
        <v>sumber</v>
      </c>
      <c r="G298" s="25" t="s">
        <v>33</v>
      </c>
      <c r="H298" s="25">
        <v>251.0</v>
      </c>
      <c r="I298" s="25">
        <v>1.0</v>
      </c>
      <c r="J298" s="25">
        <v>2.0</v>
      </c>
      <c r="K298" s="25" t="s">
        <v>653</v>
      </c>
      <c r="L298" s="25">
        <v>0.0</v>
      </c>
      <c r="M298" s="25">
        <v>0.0</v>
      </c>
      <c r="N298" s="38">
        <v>0.0</v>
      </c>
      <c r="O298" s="25">
        <v>0.0</v>
      </c>
      <c r="P298" s="25">
        <v>0.0</v>
      </c>
      <c r="Q298" s="25">
        <v>0.0</v>
      </c>
      <c r="R298" s="25">
        <v>0.0</v>
      </c>
      <c r="S298" s="25" t="s">
        <v>654</v>
      </c>
      <c r="T298" s="25">
        <v>1.0</v>
      </c>
      <c r="U298" s="25">
        <v>0.0</v>
      </c>
      <c r="V298" s="25">
        <v>0.0</v>
      </c>
      <c r="W298" s="29"/>
      <c r="X298" s="29"/>
      <c r="Y298" s="29"/>
      <c r="Z298" s="29"/>
      <c r="AA298" s="29"/>
      <c r="AB298" s="29"/>
      <c r="AC298" s="29"/>
      <c r="AD298" s="29"/>
      <c r="AE298" s="29"/>
      <c r="AF298" s="29"/>
    </row>
    <row r="299">
      <c r="A299" s="39">
        <v>2.0</v>
      </c>
      <c r="B299" s="39" t="s">
        <v>655</v>
      </c>
      <c r="C299" s="40">
        <v>168.0</v>
      </c>
      <c r="D299" s="40">
        <v>2.0</v>
      </c>
      <c r="E299" s="40" t="s">
        <v>656</v>
      </c>
      <c r="F299" s="42" t="str">
        <f>HYPERLINK("https://www.cnnindonesia.com/hiburan/20190816171902-241-422059/komunisme-tudingan-orba-yang-tak-terbukti-di-bumi-manusia ","sumber")</f>
        <v>sumber</v>
      </c>
      <c r="G299" s="40" t="s">
        <v>33</v>
      </c>
      <c r="H299" s="41"/>
      <c r="I299" s="41"/>
      <c r="J299" s="40">
        <v>2.0</v>
      </c>
      <c r="K299" s="41"/>
      <c r="L299" s="41"/>
      <c r="M299" s="41"/>
      <c r="N299" s="41"/>
      <c r="O299" s="41"/>
      <c r="P299" s="41"/>
      <c r="Q299" s="41"/>
      <c r="R299" s="41"/>
      <c r="S299" s="41"/>
      <c r="T299" s="41"/>
      <c r="U299" s="41"/>
      <c r="V299" s="41"/>
      <c r="W299" s="41"/>
      <c r="X299" s="41"/>
      <c r="Y299" s="41"/>
      <c r="Z299" s="40"/>
      <c r="AA299" s="43"/>
      <c r="AB299" s="41"/>
      <c r="AC299" s="41"/>
      <c r="AD299" s="41"/>
      <c r="AE299" s="41"/>
      <c r="AF299" s="41"/>
    </row>
    <row r="300">
      <c r="A300" s="24">
        <v>1.0</v>
      </c>
      <c r="B300" s="24" t="s">
        <v>657</v>
      </c>
      <c r="C300" s="25">
        <v>169.0</v>
      </c>
      <c r="D300" s="25">
        <v>4.0</v>
      </c>
      <c r="E300" s="26">
        <v>43807.0</v>
      </c>
      <c r="F300" s="27" t="str">
        <f>HYPERLINK(" https://hot.liputan6.com/read/4035648/aksi-pria-difabel-turun-dari-kursi-roda-demi-selamatkan-anak-kucing-bikin-salut ","sumber")</f>
        <v>sumber</v>
      </c>
      <c r="G300" s="25" t="s">
        <v>33</v>
      </c>
      <c r="H300" s="25">
        <v>391.0</v>
      </c>
      <c r="I300" s="25">
        <v>2.0</v>
      </c>
      <c r="J300" s="25">
        <v>2.0</v>
      </c>
      <c r="K300" s="25" t="s">
        <v>658</v>
      </c>
      <c r="L300" s="25">
        <v>0.0</v>
      </c>
      <c r="M300" s="25">
        <v>0.0</v>
      </c>
      <c r="N300" s="38">
        <v>0.0</v>
      </c>
      <c r="O300" s="25">
        <v>0.0</v>
      </c>
      <c r="P300" s="25">
        <v>0.0</v>
      </c>
      <c r="Q300" s="25" t="s">
        <v>277</v>
      </c>
      <c r="R300" s="25" t="s">
        <v>659</v>
      </c>
      <c r="S300" s="25" t="s">
        <v>660</v>
      </c>
      <c r="T300" s="25">
        <v>1.0</v>
      </c>
      <c r="U300" s="25">
        <v>0.0</v>
      </c>
      <c r="V300" s="25">
        <v>0.0</v>
      </c>
      <c r="W300" s="29"/>
      <c r="X300" s="29"/>
      <c r="Y300" s="29"/>
      <c r="Z300" s="29"/>
      <c r="AA300" s="29"/>
      <c r="AB300" s="29"/>
      <c r="AC300" s="29"/>
      <c r="AD300" s="29"/>
      <c r="AE300" s="29"/>
      <c r="AF300" s="29"/>
    </row>
    <row r="301">
      <c r="A301" s="24">
        <v>1.0</v>
      </c>
      <c r="B301" s="24" t="s">
        <v>661</v>
      </c>
      <c r="C301" s="25">
        <v>170.0</v>
      </c>
      <c r="D301" s="25">
        <v>8.0</v>
      </c>
      <c r="E301" s="26">
        <v>43473.0</v>
      </c>
      <c r="F301" s="27" t="str">
        <f>HYPERLINK("https://www.suara.com/otomotif/2019/08/01/144528/dituduh-menertawakan-motor-difabel-orang-ini-panen-komentar-pedas ","sumber")</f>
        <v>sumber</v>
      </c>
      <c r="G301" s="25" t="s">
        <v>33</v>
      </c>
      <c r="H301" s="25">
        <v>158.0</v>
      </c>
      <c r="I301" s="25">
        <v>1.0</v>
      </c>
      <c r="J301" s="25">
        <v>2.0</v>
      </c>
      <c r="K301" s="25" t="s">
        <v>662</v>
      </c>
      <c r="L301" s="25">
        <v>0.0</v>
      </c>
      <c r="M301" s="25">
        <v>0.0</v>
      </c>
      <c r="N301" s="38">
        <v>0.0</v>
      </c>
      <c r="O301" s="25">
        <v>0.0</v>
      </c>
      <c r="P301" s="25">
        <v>0.0</v>
      </c>
      <c r="Q301" s="25" t="s">
        <v>53</v>
      </c>
      <c r="R301" s="25" t="s">
        <v>663</v>
      </c>
      <c r="S301" s="29"/>
      <c r="T301" s="25">
        <v>0.0</v>
      </c>
      <c r="U301" s="25">
        <v>0.0</v>
      </c>
      <c r="V301" s="25">
        <v>0.0</v>
      </c>
      <c r="W301" s="29"/>
      <c r="X301" s="29"/>
      <c r="Y301" s="29"/>
      <c r="Z301" s="29"/>
      <c r="AA301" s="29"/>
      <c r="AB301" s="29"/>
      <c r="AC301" s="29"/>
      <c r="AD301" s="29"/>
      <c r="AE301" s="29"/>
      <c r="AF301" s="29"/>
    </row>
    <row r="302">
      <c r="A302" s="32">
        <v>1.0</v>
      </c>
      <c r="B302" s="32" t="s">
        <v>664</v>
      </c>
      <c r="C302" s="33">
        <v>171.0</v>
      </c>
      <c r="D302" s="33">
        <v>1.0</v>
      </c>
      <c r="E302" s="33" t="s">
        <v>665</v>
      </c>
      <c r="F302" s="35" t="str">
        <f>HYPERLINK("https://hot.detik.com/celeb/d-4678715/kerja-keras-jadi-cara-dian-sastro-sembuhkan-anak-dari-autisme ","sumber")</f>
        <v>sumber</v>
      </c>
      <c r="G302" s="33" t="s">
        <v>33</v>
      </c>
      <c r="H302" s="33">
        <v>1486.0</v>
      </c>
      <c r="I302" s="33">
        <v>2.0</v>
      </c>
      <c r="J302" s="33">
        <v>2.0</v>
      </c>
      <c r="K302" s="33" t="s">
        <v>666</v>
      </c>
      <c r="L302" s="33">
        <v>0.0</v>
      </c>
      <c r="M302" s="33">
        <v>0.0</v>
      </c>
      <c r="N302" s="37">
        <v>0.0</v>
      </c>
      <c r="O302" s="33">
        <v>0.0</v>
      </c>
      <c r="P302" s="33">
        <v>0.0</v>
      </c>
      <c r="Q302" s="33">
        <v>0.0</v>
      </c>
      <c r="R302" s="33">
        <v>1.0</v>
      </c>
      <c r="S302" s="33" t="s">
        <v>667</v>
      </c>
      <c r="T302" s="33">
        <v>2.0</v>
      </c>
      <c r="U302" s="33">
        <v>0.0</v>
      </c>
      <c r="V302" s="33">
        <v>0.0</v>
      </c>
      <c r="W302" s="36"/>
      <c r="X302" s="36"/>
      <c r="Y302" s="36"/>
      <c r="Z302" s="36"/>
      <c r="AA302" s="36"/>
      <c r="AB302" s="36"/>
      <c r="AC302" s="36"/>
      <c r="AD302" s="36"/>
      <c r="AE302" s="36"/>
      <c r="AF302" s="36"/>
    </row>
    <row r="303">
      <c r="A303" s="32">
        <v>1.0</v>
      </c>
      <c r="B303" s="32" t="s">
        <v>668</v>
      </c>
      <c r="C303" s="33">
        <v>172.0</v>
      </c>
      <c r="D303" s="33">
        <v>6.0</v>
      </c>
      <c r="E303" s="33" t="s">
        <v>665</v>
      </c>
      <c r="F303" s="35" t="str">
        <f>HYPERLINK("https://entertainment.kompas.com/read/2019/08/23/201654010/suami-dian-sastro-awalnya-tak-percaya-putranya-idap-autisme ","sumber")</f>
        <v>sumber</v>
      </c>
      <c r="G303" s="33" t="s">
        <v>33</v>
      </c>
      <c r="H303" s="33">
        <v>258.0</v>
      </c>
      <c r="I303" s="33">
        <v>2.0</v>
      </c>
      <c r="J303" s="33">
        <v>2.0</v>
      </c>
      <c r="K303" s="33" t="s">
        <v>666</v>
      </c>
      <c r="L303" s="33">
        <v>0.0</v>
      </c>
      <c r="M303" s="33">
        <v>0.0</v>
      </c>
      <c r="N303" s="37">
        <v>0.0</v>
      </c>
      <c r="O303" s="33">
        <v>0.0</v>
      </c>
      <c r="P303" s="33">
        <v>0.0</v>
      </c>
      <c r="Q303" s="33">
        <v>0.0</v>
      </c>
      <c r="R303" s="33">
        <v>1.0</v>
      </c>
      <c r="S303" s="33" t="s">
        <v>669</v>
      </c>
      <c r="T303" s="33">
        <v>1.0</v>
      </c>
      <c r="U303" s="33">
        <v>0.0</v>
      </c>
      <c r="V303" s="33">
        <v>0.0</v>
      </c>
      <c r="W303" s="36"/>
      <c r="X303" s="36"/>
      <c r="Y303" s="36"/>
      <c r="Z303" s="36"/>
      <c r="AA303" s="36"/>
      <c r="AB303" s="36"/>
      <c r="AC303" s="36"/>
      <c r="AD303" s="36"/>
      <c r="AE303" s="36"/>
      <c r="AF303" s="36"/>
    </row>
    <row r="304">
      <c r="A304" s="32">
        <v>1.0</v>
      </c>
      <c r="B304" s="32" t="s">
        <v>670</v>
      </c>
      <c r="C304" s="33">
        <v>173.0</v>
      </c>
      <c r="D304" s="33">
        <v>4.0</v>
      </c>
      <c r="E304" s="33" t="s">
        <v>41</v>
      </c>
      <c r="F304" s="35" t="str">
        <f>HYPERLINK("https://www.liputan6.com/showbiz/read/4045729/setelah-bertahun-tahun-dian-sastrowardoyo-ungkap-anaknya-autisme ","sumber")</f>
        <v>sumber</v>
      </c>
      <c r="G304" s="33" t="s">
        <v>33</v>
      </c>
      <c r="H304" s="36"/>
      <c r="I304" s="33">
        <v>2.0</v>
      </c>
      <c r="J304" s="33">
        <v>2.0</v>
      </c>
      <c r="K304" s="33" t="s">
        <v>666</v>
      </c>
      <c r="L304" s="33">
        <v>0.0</v>
      </c>
      <c r="M304" s="33">
        <v>0.0</v>
      </c>
      <c r="N304" s="37">
        <v>0.0</v>
      </c>
      <c r="O304" s="33">
        <v>0.0</v>
      </c>
      <c r="P304" s="33">
        <v>0.0</v>
      </c>
      <c r="Q304" s="33">
        <v>0.0</v>
      </c>
      <c r="R304" s="33">
        <v>0.0</v>
      </c>
      <c r="S304" s="36"/>
      <c r="T304" s="33">
        <v>0.0</v>
      </c>
      <c r="U304" s="33">
        <v>0.0</v>
      </c>
      <c r="V304" s="33">
        <v>0.0</v>
      </c>
      <c r="W304" s="36"/>
      <c r="X304" s="36"/>
      <c r="Y304" s="36"/>
      <c r="Z304" s="36"/>
      <c r="AA304" s="36"/>
      <c r="AB304" s="36"/>
      <c r="AC304" s="36"/>
      <c r="AD304" s="36"/>
      <c r="AE304" s="36"/>
      <c r="AF304" s="36"/>
    </row>
    <row r="305">
      <c r="A305" s="39">
        <v>2.0</v>
      </c>
      <c r="B305" s="39" t="s">
        <v>671</v>
      </c>
      <c r="C305" s="40">
        <v>174.0</v>
      </c>
      <c r="D305" s="40">
        <v>5.0</v>
      </c>
      <c r="E305" s="40" t="s">
        <v>310</v>
      </c>
      <c r="F305" s="42" t="str">
        <f>HYPERLINK("https://tirto.id/pengakuan-petani-jambi-yang-disiksa-polisi-karena-konflik-lahan-eg1K ","sumber")</f>
        <v>sumber</v>
      </c>
      <c r="G305" s="40" t="s">
        <v>33</v>
      </c>
      <c r="H305" s="41"/>
      <c r="I305" s="41"/>
      <c r="J305" s="40">
        <v>2.0</v>
      </c>
      <c r="K305" s="41"/>
      <c r="L305" s="41"/>
      <c r="M305" s="41"/>
      <c r="N305" s="41"/>
      <c r="O305" s="41"/>
      <c r="P305" s="41"/>
      <c r="Q305" s="41"/>
      <c r="R305" s="41"/>
      <c r="S305" s="41"/>
      <c r="T305" s="41"/>
      <c r="U305" s="41"/>
      <c r="V305" s="41"/>
      <c r="W305" s="41"/>
      <c r="X305" s="41"/>
      <c r="Y305" s="41"/>
      <c r="Z305" s="40"/>
      <c r="AA305" s="43"/>
      <c r="AB305" s="41"/>
      <c r="AC305" s="41"/>
      <c r="AD305" s="41"/>
      <c r="AE305" s="41"/>
      <c r="AF305" s="41"/>
    </row>
    <row r="306">
      <c r="A306" s="39">
        <v>2.0</v>
      </c>
      <c r="B306" s="39" t="s">
        <v>672</v>
      </c>
      <c r="C306" s="40">
        <v>175.0</v>
      </c>
      <c r="D306" s="40">
        <v>5.0</v>
      </c>
      <c r="E306" s="40" t="s">
        <v>318</v>
      </c>
      <c r="F306" s="42" t="str">
        <f>HYPERLINK("https://tirto.id/soal-twivortiare-produser-raihaanun-dipilih-oleh-reza-rahadian-ehem ","sumber")</f>
        <v>sumber</v>
      </c>
      <c r="G306" s="40" t="s">
        <v>33</v>
      </c>
      <c r="H306" s="41"/>
      <c r="I306" s="41"/>
      <c r="J306" s="40">
        <v>2.0</v>
      </c>
      <c r="K306" s="41"/>
      <c r="L306" s="41"/>
      <c r="M306" s="41"/>
      <c r="N306" s="41"/>
      <c r="O306" s="41"/>
      <c r="P306" s="41"/>
      <c r="Q306" s="41"/>
      <c r="R306" s="41"/>
      <c r="S306" s="41"/>
      <c r="T306" s="41"/>
      <c r="U306" s="41"/>
      <c r="V306" s="41"/>
      <c r="W306" s="41"/>
      <c r="X306" s="41"/>
      <c r="Y306" s="41"/>
      <c r="Z306" s="40"/>
      <c r="AA306" s="43"/>
      <c r="AB306" s="41"/>
      <c r="AC306" s="41"/>
      <c r="AD306" s="41"/>
      <c r="AE306" s="41"/>
      <c r="AF306" s="41"/>
    </row>
    <row r="307">
      <c r="A307" s="32">
        <v>1.0</v>
      </c>
      <c r="B307" s="32" t="s">
        <v>673</v>
      </c>
      <c r="C307" s="33">
        <v>176.0</v>
      </c>
      <c r="D307" s="33">
        <v>6.0</v>
      </c>
      <c r="E307" s="34">
        <v>43505.0</v>
      </c>
      <c r="F307" s="35" t="str">
        <f>HYPERLINK("https://megapolitan.kompas.com/read/2019/09/02/18101191/menengok-rusunami-dp-rp-0-pondok-kelapa-yang-siap-huni","sumber")</f>
        <v>sumber</v>
      </c>
      <c r="G307" s="33" t="s">
        <v>33</v>
      </c>
      <c r="H307" s="36"/>
      <c r="I307" s="33">
        <v>4.0</v>
      </c>
      <c r="J307" s="33">
        <v>2.0</v>
      </c>
      <c r="K307" s="33" t="s">
        <v>674</v>
      </c>
      <c r="L307" s="33">
        <v>0.0</v>
      </c>
      <c r="M307" s="33">
        <v>0.0</v>
      </c>
      <c r="N307" s="37">
        <v>0.0</v>
      </c>
      <c r="O307" s="33">
        <v>0.0</v>
      </c>
      <c r="P307" s="33">
        <v>0.0</v>
      </c>
      <c r="Q307" s="33" t="s">
        <v>61</v>
      </c>
      <c r="R307" s="33" t="s">
        <v>61</v>
      </c>
      <c r="S307" s="36"/>
      <c r="T307" s="33">
        <v>0.0</v>
      </c>
      <c r="U307" s="33">
        <v>0.0</v>
      </c>
      <c r="V307" s="33">
        <v>1.0</v>
      </c>
      <c r="W307" s="36"/>
      <c r="X307" s="36"/>
      <c r="Y307" s="36"/>
      <c r="Z307" s="36"/>
      <c r="AA307" s="36"/>
      <c r="AB307" s="36"/>
      <c r="AC307" s="36"/>
      <c r="AD307" s="36"/>
      <c r="AE307" s="36"/>
      <c r="AF307" s="36"/>
    </row>
    <row r="308">
      <c r="A308" s="67">
        <v>1.0</v>
      </c>
      <c r="B308" s="68" t="s">
        <v>675</v>
      </c>
      <c r="C308" s="25">
        <v>177.0</v>
      </c>
      <c r="D308" s="25">
        <v>6.0</v>
      </c>
      <c r="E308" s="26">
        <v>43564.0</v>
      </c>
      <c r="F308" s="27" t="str">
        <f>HYPERLINK("https://sains.kompas.com/read/2019/09/04/061100223/memahami-gifted-dan-berkebutuhan-khusus-lewat-maria-clara-yubilea","sumber")</f>
        <v>sumber</v>
      </c>
      <c r="G308" s="25" t="s">
        <v>33</v>
      </c>
      <c r="H308" s="29"/>
      <c r="I308" s="25">
        <v>5.0</v>
      </c>
      <c r="J308" s="25">
        <v>2.0</v>
      </c>
      <c r="K308" s="25" t="s">
        <v>676</v>
      </c>
      <c r="L308" s="25">
        <v>0.0</v>
      </c>
      <c r="M308" s="25">
        <v>0.0</v>
      </c>
      <c r="N308" s="25">
        <v>0.0</v>
      </c>
      <c r="O308" s="25">
        <v>0.0</v>
      </c>
      <c r="P308" s="25">
        <v>0.0</v>
      </c>
      <c r="Q308" s="25" t="s">
        <v>53</v>
      </c>
      <c r="R308" s="25" t="s">
        <v>392</v>
      </c>
      <c r="S308" s="25" t="s">
        <v>677</v>
      </c>
      <c r="T308" s="25">
        <v>1.0</v>
      </c>
      <c r="U308" s="25">
        <v>0.0</v>
      </c>
      <c r="V308" s="25">
        <v>0.0</v>
      </c>
      <c r="W308" s="29"/>
      <c r="X308" s="29"/>
      <c r="Y308" s="29"/>
      <c r="Z308" s="29"/>
      <c r="AA308" s="29"/>
      <c r="AB308" s="29"/>
      <c r="AC308" s="29"/>
      <c r="AD308" s="29"/>
      <c r="AE308" s="29"/>
      <c r="AF308" s="29"/>
    </row>
    <row r="309">
      <c r="A309" s="39">
        <v>2.0</v>
      </c>
      <c r="B309" s="39" t="s">
        <v>678</v>
      </c>
      <c r="C309" s="40">
        <v>178.0</v>
      </c>
      <c r="D309" s="40">
        <v>8.0</v>
      </c>
      <c r="E309" s="53">
        <v>43564.0</v>
      </c>
      <c r="F309" s="42" t="str">
        <f>HYPERLINK("https://www.suara.com/lifestyle/2019/09/04/071000/canggih-ini-5-produk-kecantikan-mutakhir-dengan-teknologi-tinggi ","sumber")</f>
        <v>sumber</v>
      </c>
      <c r="G309" s="40" t="s">
        <v>33</v>
      </c>
      <c r="H309" s="41"/>
      <c r="I309" s="41"/>
      <c r="J309" s="40">
        <v>2.0</v>
      </c>
      <c r="K309" s="41"/>
      <c r="L309" s="41"/>
      <c r="M309" s="41"/>
      <c r="N309" s="41"/>
      <c r="O309" s="41"/>
      <c r="P309" s="41"/>
      <c r="Q309" s="41"/>
      <c r="R309" s="41"/>
      <c r="S309" s="41"/>
      <c r="T309" s="41"/>
      <c r="U309" s="41"/>
      <c r="V309" s="41"/>
      <c r="W309" s="41"/>
      <c r="X309" s="41"/>
      <c r="Y309" s="41"/>
      <c r="Z309" s="40"/>
      <c r="AA309" s="43"/>
      <c r="AB309" s="41"/>
      <c r="AC309" s="41"/>
      <c r="AD309" s="41"/>
      <c r="AE309" s="41"/>
      <c r="AF309" s="41"/>
    </row>
    <row r="310">
      <c r="A310" s="39">
        <v>2.0</v>
      </c>
      <c r="B310" s="39" t="s">
        <v>679</v>
      </c>
      <c r="C310" s="40">
        <v>179.0</v>
      </c>
      <c r="D310" s="40">
        <v>7.0</v>
      </c>
      <c r="E310" s="40" t="s">
        <v>337</v>
      </c>
      <c r="F310" s="42" t="str">
        <f>HYPERLINK("https://www.tribunnews.com/nasional/2019/09/26/update-cpns-2019-dibuka-197111-formasi-pendaftaran-mulai-oktober-tes-skb-bulan-desember ","sumber")</f>
        <v>sumber</v>
      </c>
      <c r="G310" s="40" t="s">
        <v>33</v>
      </c>
      <c r="H310" s="41"/>
      <c r="I310" s="41"/>
      <c r="J310" s="40">
        <v>2.0</v>
      </c>
      <c r="K310" s="41"/>
      <c r="L310" s="41"/>
      <c r="M310" s="41"/>
      <c r="N310" s="41"/>
      <c r="O310" s="41"/>
      <c r="P310" s="41"/>
      <c r="Q310" s="41"/>
      <c r="R310" s="41"/>
      <c r="S310" s="41"/>
      <c r="T310" s="41"/>
      <c r="U310" s="41"/>
      <c r="V310" s="41"/>
      <c r="W310" s="41"/>
      <c r="X310" s="41"/>
      <c r="Y310" s="41"/>
      <c r="Z310" s="40"/>
      <c r="AA310" s="43"/>
      <c r="AB310" s="41"/>
      <c r="AC310" s="41"/>
      <c r="AD310" s="41"/>
      <c r="AE310" s="41"/>
      <c r="AF310" s="41"/>
    </row>
    <row r="311">
      <c r="A311" s="39">
        <v>2.0</v>
      </c>
      <c r="B311" s="39" t="s">
        <v>680</v>
      </c>
      <c r="C311" s="40">
        <v>180.0</v>
      </c>
      <c r="D311" s="40">
        <v>3.0</v>
      </c>
      <c r="E311" s="40" t="s">
        <v>681</v>
      </c>
      <c r="F311" s="42" t="str">
        <f>HYPERLINK("https://lifestyle.okezone.com/read/2019/09/27/298/2110297/5-kedai-kopi-asyik-di-sepanjang-rute-mrt-jangan-lupa-mampir ","sumber")</f>
        <v>sumber</v>
      </c>
      <c r="G311" s="40" t="s">
        <v>33</v>
      </c>
      <c r="H311" s="41"/>
      <c r="I311" s="41"/>
      <c r="J311" s="40">
        <v>2.0</v>
      </c>
      <c r="K311" s="41"/>
      <c r="L311" s="41"/>
      <c r="M311" s="41"/>
      <c r="N311" s="41"/>
      <c r="O311" s="41"/>
      <c r="P311" s="41"/>
      <c r="Q311" s="41"/>
      <c r="R311" s="41"/>
      <c r="S311" s="41"/>
      <c r="T311" s="41"/>
      <c r="U311" s="41"/>
      <c r="V311" s="41"/>
      <c r="W311" s="41"/>
      <c r="X311" s="41"/>
      <c r="Y311" s="41"/>
      <c r="Z311" s="40"/>
      <c r="AA311" s="43"/>
      <c r="AB311" s="41"/>
      <c r="AC311" s="41"/>
      <c r="AD311" s="41"/>
      <c r="AE311" s="41"/>
      <c r="AF311" s="41"/>
    </row>
    <row r="312">
      <c r="A312" s="24">
        <v>1.0</v>
      </c>
      <c r="B312" s="24" t="s">
        <v>682</v>
      </c>
      <c r="C312" s="25">
        <v>181.0</v>
      </c>
      <c r="D312" s="25">
        <v>4.0</v>
      </c>
      <c r="E312" s="25" t="s">
        <v>683</v>
      </c>
      <c r="F312" s="27" t="str">
        <f>HYPERLINK(" https://www.liputan6.com/global/read/3878159/mahkamah-agung-as-loloskan-larangan-transgender-jadi-tentara ","sumber")</f>
        <v>sumber</v>
      </c>
      <c r="G312" s="25" t="s">
        <v>33</v>
      </c>
      <c r="H312" s="25">
        <v>421.0</v>
      </c>
      <c r="I312" s="25">
        <v>4.0</v>
      </c>
      <c r="J312" s="25">
        <v>3.0</v>
      </c>
      <c r="K312" s="25" t="s">
        <v>684</v>
      </c>
      <c r="L312" s="25">
        <v>0.0</v>
      </c>
      <c r="M312" s="25">
        <v>0.0</v>
      </c>
      <c r="N312" s="38">
        <v>0.0</v>
      </c>
      <c r="O312" s="25">
        <v>0.0</v>
      </c>
      <c r="P312" s="25">
        <v>0.0</v>
      </c>
      <c r="Q312" s="25" t="s">
        <v>61</v>
      </c>
      <c r="R312" s="25" t="s">
        <v>685</v>
      </c>
      <c r="S312" s="29"/>
      <c r="T312" s="25">
        <v>0.0</v>
      </c>
      <c r="U312" s="25">
        <v>0.0</v>
      </c>
      <c r="V312" s="25">
        <v>1.0</v>
      </c>
      <c r="W312" s="29"/>
      <c r="X312" s="29"/>
      <c r="Y312" s="29"/>
      <c r="Z312" s="29"/>
      <c r="AA312" s="29"/>
      <c r="AB312" s="29"/>
      <c r="AC312" s="29"/>
      <c r="AD312" s="29"/>
      <c r="AE312" s="29"/>
      <c r="AF312" s="29"/>
    </row>
    <row r="313">
      <c r="A313" s="32">
        <v>1.0</v>
      </c>
      <c r="B313" s="32" t="s">
        <v>686</v>
      </c>
      <c r="C313" s="33">
        <v>182.0</v>
      </c>
      <c r="D313" s="33">
        <v>2.0</v>
      </c>
      <c r="E313" s="34">
        <v>43647.0</v>
      </c>
      <c r="F313" s="35" t="str">
        <f>HYPERLINK("https://www.cnnindonesia.com/teknologi/20190107070739-185-358878/blued-berhentikan-sementara-layanan-di-china ","sumber")</f>
        <v>sumber</v>
      </c>
      <c r="G313" s="33" t="s">
        <v>33</v>
      </c>
      <c r="H313" s="33">
        <v>230.0</v>
      </c>
      <c r="I313" s="33">
        <v>1.0</v>
      </c>
      <c r="J313" s="33">
        <v>3.0</v>
      </c>
      <c r="K313" s="33" t="s">
        <v>687</v>
      </c>
      <c r="L313" s="33">
        <v>0.0</v>
      </c>
      <c r="M313" s="33">
        <v>0.0</v>
      </c>
      <c r="N313" s="37">
        <v>0.0</v>
      </c>
      <c r="O313" s="33">
        <v>0.0</v>
      </c>
      <c r="P313" s="33">
        <v>0.0</v>
      </c>
      <c r="Q313" s="33">
        <v>0.0</v>
      </c>
      <c r="R313" s="33">
        <v>0.0</v>
      </c>
      <c r="S313" s="36"/>
      <c r="T313" s="33">
        <v>0.0</v>
      </c>
      <c r="U313" s="33">
        <v>0.0</v>
      </c>
      <c r="V313" s="33">
        <v>0.0</v>
      </c>
      <c r="W313" s="36"/>
      <c r="X313" s="36"/>
      <c r="Y313" s="36"/>
      <c r="Z313" s="36"/>
      <c r="AA313" s="36"/>
      <c r="AB313" s="36"/>
      <c r="AC313" s="36"/>
      <c r="AD313" s="36"/>
      <c r="AE313" s="36"/>
      <c r="AF313" s="36"/>
    </row>
    <row r="314">
      <c r="A314" s="24">
        <v>1.0</v>
      </c>
      <c r="B314" s="24" t="s">
        <v>688</v>
      </c>
      <c r="C314" s="25">
        <v>183.0</v>
      </c>
      <c r="D314" s="25">
        <v>8.0</v>
      </c>
      <c r="E314" s="25" t="s">
        <v>689</v>
      </c>
      <c r="F314" s="27" t="str">
        <f>HYPERLINK(" https://www.suara.com/lifestyle/2019/01/14/010000/lewat-foto-pasangan-ini-kampanyekan-pernikahan-sejenis-di-jepang ","sumber")</f>
        <v>sumber</v>
      </c>
      <c r="G314" s="25" t="s">
        <v>33</v>
      </c>
      <c r="H314" s="25">
        <v>397.0</v>
      </c>
      <c r="I314" s="25">
        <v>2.0</v>
      </c>
      <c r="J314" s="25">
        <v>3.0</v>
      </c>
      <c r="K314" s="25" t="s">
        <v>690</v>
      </c>
      <c r="L314" s="25">
        <v>0.0</v>
      </c>
      <c r="M314" s="25">
        <v>0.0</v>
      </c>
      <c r="N314" s="38">
        <v>0.0</v>
      </c>
      <c r="O314" s="25">
        <v>0.0</v>
      </c>
      <c r="P314" s="25">
        <v>0.0</v>
      </c>
      <c r="Q314" s="25">
        <v>2.0</v>
      </c>
      <c r="R314" s="25">
        <v>1.0</v>
      </c>
      <c r="S314" s="25"/>
      <c r="T314" s="25">
        <v>0.0</v>
      </c>
      <c r="U314" s="25">
        <v>0.0</v>
      </c>
      <c r="V314" s="25">
        <v>0.0</v>
      </c>
      <c r="W314" s="29"/>
      <c r="X314" s="29"/>
      <c r="Y314" s="29"/>
      <c r="Z314" s="29"/>
      <c r="AA314" s="29"/>
      <c r="AB314" s="29"/>
      <c r="AC314" s="29"/>
      <c r="AD314" s="29"/>
      <c r="AE314" s="29"/>
      <c r="AF314" s="29"/>
    </row>
    <row r="315">
      <c r="A315" s="32">
        <v>1.0</v>
      </c>
      <c r="B315" s="32" t="s">
        <v>691</v>
      </c>
      <c r="C315" s="33">
        <v>184.0</v>
      </c>
      <c r="D315" s="33">
        <v>5.0</v>
      </c>
      <c r="E315" s="34">
        <v>43739.0</v>
      </c>
      <c r="F315" s="35" t="str">
        <f>HYPERLINK("https://tirto.id/atlet-transgender-di-dunia-olahraga-kesetaraan-atau-ketidakadilan-ddUr ","sumber")</f>
        <v>sumber</v>
      </c>
      <c r="G315" s="33" t="s">
        <v>33</v>
      </c>
      <c r="H315" s="36"/>
      <c r="I315" s="33">
        <v>1.0</v>
      </c>
      <c r="J315" s="33">
        <v>3.0</v>
      </c>
      <c r="K315" s="33" t="s">
        <v>692</v>
      </c>
      <c r="L315" s="33">
        <v>0.0</v>
      </c>
      <c r="M315" s="33">
        <v>1.0</v>
      </c>
      <c r="N315" s="37">
        <v>0.0</v>
      </c>
      <c r="O315" s="33">
        <v>0.0</v>
      </c>
      <c r="P315" s="33">
        <v>0.0</v>
      </c>
      <c r="Q315" s="33" t="s">
        <v>61</v>
      </c>
      <c r="R315" s="33" t="s">
        <v>61</v>
      </c>
      <c r="S315" s="36"/>
      <c r="T315" s="33">
        <v>0.0</v>
      </c>
      <c r="U315" s="33">
        <v>0.0</v>
      </c>
      <c r="V315" s="33">
        <v>1.0</v>
      </c>
      <c r="W315" s="36"/>
      <c r="X315" s="36"/>
      <c r="Y315" s="36"/>
      <c r="Z315" s="36"/>
      <c r="AA315" s="36"/>
      <c r="AB315" s="36"/>
      <c r="AC315" s="36"/>
      <c r="AD315" s="36"/>
      <c r="AE315" s="36"/>
      <c r="AF315" s="36"/>
    </row>
    <row r="316">
      <c r="A316" s="32">
        <v>1.0</v>
      </c>
      <c r="B316" s="32" t="s">
        <v>693</v>
      </c>
      <c r="C316" s="33">
        <v>185.0</v>
      </c>
      <c r="D316" s="33">
        <v>7.0</v>
      </c>
      <c r="E316" s="33" t="s">
        <v>449</v>
      </c>
      <c r="F316" s="35" t="str">
        <f>HYPERLINK("http://www.tribunnews.com/internasional/2019/01/13/para-orang-suci-transgender-dalam-prosesi-hindu-di-india ","sumber")</f>
        <v>sumber</v>
      </c>
      <c r="G316" s="33" t="s">
        <v>33</v>
      </c>
      <c r="H316" s="36"/>
      <c r="I316" s="33">
        <v>3.0</v>
      </c>
      <c r="J316" s="33">
        <v>3.0</v>
      </c>
      <c r="K316" s="33" t="s">
        <v>694</v>
      </c>
      <c r="L316" s="33">
        <v>0.0</v>
      </c>
      <c r="M316" s="33">
        <v>0.0</v>
      </c>
      <c r="N316" s="37">
        <v>0.0</v>
      </c>
      <c r="O316" s="33">
        <v>0.0</v>
      </c>
      <c r="P316" s="33">
        <v>0.0</v>
      </c>
      <c r="Q316" s="33" t="s">
        <v>695</v>
      </c>
      <c r="R316" s="33" t="s">
        <v>696</v>
      </c>
      <c r="S316" s="36"/>
      <c r="T316" s="33">
        <v>0.0</v>
      </c>
      <c r="U316" s="33">
        <v>0.0</v>
      </c>
      <c r="V316" s="33">
        <v>1.0</v>
      </c>
      <c r="W316" s="36"/>
      <c r="X316" s="36"/>
      <c r="Y316" s="36"/>
      <c r="Z316" s="36"/>
      <c r="AA316" s="36"/>
      <c r="AB316" s="36"/>
      <c r="AC316" s="36"/>
      <c r="AD316" s="36"/>
      <c r="AE316" s="36"/>
      <c r="AF316" s="36"/>
    </row>
    <row r="317">
      <c r="A317" s="32">
        <v>1.0</v>
      </c>
      <c r="B317" s="32" t="s">
        <v>697</v>
      </c>
      <c r="C317" s="33">
        <v>186.0</v>
      </c>
      <c r="D317" s="33">
        <v>5.0</v>
      </c>
      <c r="E317" s="33" t="s">
        <v>698</v>
      </c>
      <c r="F317" s="35" t="str">
        <f>HYPERLINK("https://tirto.id/bulu-ketiak-warna-warni-dan-simbol-aktivisme-lgbt-deAa ","sumber")</f>
        <v>sumber</v>
      </c>
      <c r="G317" s="33" t="s">
        <v>33</v>
      </c>
      <c r="H317" s="36"/>
      <c r="I317" s="33">
        <v>2.0</v>
      </c>
      <c r="J317" s="33">
        <v>3.0</v>
      </c>
      <c r="K317" s="33" t="s">
        <v>699</v>
      </c>
      <c r="L317" s="33">
        <v>0.0</v>
      </c>
      <c r="M317" s="33">
        <v>0.0</v>
      </c>
      <c r="N317" s="37">
        <v>0.0</v>
      </c>
      <c r="O317" s="33">
        <v>0.0</v>
      </c>
      <c r="P317" s="33">
        <v>0.0</v>
      </c>
      <c r="Q317" s="33" t="s">
        <v>202</v>
      </c>
      <c r="R317" s="33" t="s">
        <v>700</v>
      </c>
      <c r="S317" s="36"/>
      <c r="T317" s="33">
        <v>0.0</v>
      </c>
      <c r="U317" s="33">
        <v>0.0</v>
      </c>
      <c r="V317" s="33">
        <v>1.0</v>
      </c>
      <c r="W317" s="36"/>
      <c r="X317" s="36"/>
      <c r="Y317" s="36"/>
      <c r="Z317" s="36"/>
      <c r="AA317" s="36"/>
      <c r="AB317" s="36"/>
      <c r="AC317" s="36"/>
      <c r="AD317" s="36"/>
      <c r="AE317" s="36"/>
      <c r="AF317" s="36"/>
    </row>
    <row r="318">
      <c r="A318" s="32">
        <v>1.0</v>
      </c>
      <c r="B318" s="32" t="s">
        <v>701</v>
      </c>
      <c r="C318" s="33">
        <v>187.0</v>
      </c>
      <c r="D318" s="33">
        <v>7.0</v>
      </c>
      <c r="E318" s="33" t="s">
        <v>702</v>
      </c>
      <c r="F318" s="35" t="str">
        <f>HYPERLINK("http://www.tribunnews.com/internasional/2019/01/19/kisah-seorang-perempuan-muslim-inggris-yang-menjadi-lesbian ","sumber")</f>
        <v>sumber</v>
      </c>
      <c r="G318" s="33" t="s">
        <v>33</v>
      </c>
      <c r="H318" s="36"/>
      <c r="I318" s="33">
        <v>2.0</v>
      </c>
      <c r="J318" s="33">
        <v>3.0</v>
      </c>
      <c r="K318" s="33" t="s">
        <v>703</v>
      </c>
      <c r="L318" s="33">
        <v>0.0</v>
      </c>
      <c r="M318" s="33">
        <v>0.0</v>
      </c>
      <c r="N318" s="37">
        <v>0.0</v>
      </c>
      <c r="O318" s="33">
        <v>0.0</v>
      </c>
      <c r="P318" s="33">
        <v>0.0</v>
      </c>
      <c r="Q318" s="33">
        <v>2.0</v>
      </c>
      <c r="R318" s="33">
        <v>1.0</v>
      </c>
      <c r="S318" s="36"/>
      <c r="T318" s="33">
        <v>0.0</v>
      </c>
      <c r="U318" s="33">
        <v>0.0</v>
      </c>
      <c r="V318" s="33">
        <v>0.0</v>
      </c>
      <c r="W318" s="36"/>
      <c r="X318" s="36"/>
      <c r="Y318" s="36"/>
      <c r="Z318" s="36"/>
      <c r="AA318" s="36"/>
      <c r="AB318" s="36"/>
      <c r="AC318" s="36"/>
      <c r="AD318" s="36"/>
      <c r="AE318" s="36"/>
      <c r="AF318" s="36"/>
    </row>
    <row r="319">
      <c r="A319" s="39">
        <v>2.0</v>
      </c>
      <c r="B319" s="39" t="s">
        <v>704</v>
      </c>
      <c r="C319" s="40">
        <v>188.0</v>
      </c>
      <c r="D319" s="40">
        <v>5.0</v>
      </c>
      <c r="E319" s="41"/>
      <c r="F319" s="42" t="str">
        <f>HYPERLINK("https://tirto.id/getafe-vs-valencia-prediksi-skor-h2h-perempat-final-copa-del-rey-deNY ","sumber")</f>
        <v>sumber</v>
      </c>
      <c r="G319" s="40" t="s">
        <v>33</v>
      </c>
      <c r="H319" s="41"/>
      <c r="I319" s="41"/>
      <c r="J319" s="40">
        <v>3.0</v>
      </c>
      <c r="K319" s="41"/>
      <c r="L319" s="41"/>
      <c r="M319" s="41"/>
      <c r="N319" s="41"/>
      <c r="O319" s="41"/>
      <c r="P319" s="41"/>
      <c r="Q319" s="41"/>
      <c r="R319" s="41"/>
      <c r="S319" s="41"/>
      <c r="T319" s="41"/>
      <c r="U319" s="41"/>
      <c r="V319" s="41"/>
      <c r="W319" s="41"/>
      <c r="X319" s="41"/>
      <c r="Y319" s="41"/>
      <c r="Z319" s="40"/>
      <c r="AA319" s="43"/>
      <c r="AB319" s="41"/>
      <c r="AC319" s="41"/>
      <c r="AD319" s="41"/>
      <c r="AE319" s="41"/>
      <c r="AF319" s="41"/>
    </row>
    <row r="320">
      <c r="A320" s="24">
        <v>1.0</v>
      </c>
      <c r="B320" s="24" t="s">
        <v>705</v>
      </c>
      <c r="C320" s="25">
        <v>189.0</v>
      </c>
      <c r="D320" s="25">
        <v>8.0</v>
      </c>
      <c r="E320" s="26">
        <v>43709.0</v>
      </c>
      <c r="F320" s="27" t="str">
        <f>HYPERLINK("https://www.suara.com/lifestyle/2019/01/09/200000/punya-fantasi-seksual-sesama-jenis-indikasi-homoseksual","sumber")</f>
        <v>sumber</v>
      </c>
      <c r="G320" s="25" t="s">
        <v>33</v>
      </c>
      <c r="H320" s="25">
        <v>362.0</v>
      </c>
      <c r="I320" s="25">
        <v>5.0</v>
      </c>
      <c r="J320" s="25">
        <v>3.0</v>
      </c>
      <c r="K320" s="25" t="s">
        <v>706</v>
      </c>
      <c r="L320" s="25">
        <v>0.0</v>
      </c>
      <c r="M320" s="25">
        <v>0.0</v>
      </c>
      <c r="N320" s="38">
        <v>0.0</v>
      </c>
      <c r="O320" s="25">
        <v>0.0</v>
      </c>
      <c r="P320" s="25">
        <v>0.0</v>
      </c>
      <c r="Q320" s="25">
        <v>0.0</v>
      </c>
      <c r="R320" s="25">
        <v>0.0</v>
      </c>
      <c r="S320" s="29"/>
      <c r="T320" s="25">
        <v>0.0</v>
      </c>
      <c r="U320" s="25">
        <v>0.0</v>
      </c>
      <c r="V320" s="25">
        <v>0.0</v>
      </c>
      <c r="W320" s="29"/>
      <c r="X320" s="29"/>
      <c r="Y320" s="29"/>
      <c r="Z320" s="29"/>
      <c r="AA320" s="29"/>
      <c r="AB320" s="29"/>
      <c r="AC320" s="29"/>
      <c r="AD320" s="29"/>
      <c r="AE320" s="29"/>
      <c r="AF320" s="29"/>
    </row>
    <row r="321">
      <c r="A321" s="32">
        <v>1.0</v>
      </c>
      <c r="B321" s="32" t="s">
        <v>707</v>
      </c>
      <c r="C321" s="33">
        <v>190.0</v>
      </c>
      <c r="D321" s="33">
        <v>5.0</v>
      </c>
      <c r="E321" s="33" t="s">
        <v>708</v>
      </c>
      <c r="F321" s="35" t="str">
        <f>HYPERLINK("https://tirto.id/perburuan-lgbt-chechnya-di-bawah-rezim-ramzan-kadyrov-dfa8 ","sumber")</f>
        <v>sumber</v>
      </c>
      <c r="G321" s="33" t="s">
        <v>33</v>
      </c>
      <c r="H321" s="36"/>
      <c r="I321" s="33">
        <v>1.0</v>
      </c>
      <c r="J321" s="33">
        <v>3.0</v>
      </c>
      <c r="K321" s="33" t="s">
        <v>709</v>
      </c>
      <c r="L321" s="33">
        <v>0.0</v>
      </c>
      <c r="M321" s="33">
        <v>1.0</v>
      </c>
      <c r="N321" s="37">
        <v>0.0</v>
      </c>
      <c r="O321" s="33">
        <v>0.0</v>
      </c>
      <c r="P321" s="33">
        <v>0.0</v>
      </c>
      <c r="Q321" s="33" t="s">
        <v>710</v>
      </c>
      <c r="R321" s="33" t="s">
        <v>711</v>
      </c>
      <c r="S321" s="36"/>
      <c r="T321" s="33">
        <v>0.0</v>
      </c>
      <c r="U321" s="33">
        <v>0.0</v>
      </c>
      <c r="V321" s="33">
        <v>1.0</v>
      </c>
      <c r="W321" s="36"/>
      <c r="X321" s="36"/>
      <c r="Y321" s="36"/>
      <c r="Z321" s="36"/>
      <c r="AA321" s="36"/>
      <c r="AB321" s="36"/>
      <c r="AC321" s="36"/>
      <c r="AD321" s="36"/>
      <c r="AE321" s="36"/>
      <c r="AF321" s="36"/>
    </row>
    <row r="322">
      <c r="A322" s="32">
        <v>1.0</v>
      </c>
      <c r="B322" s="32" t="s">
        <v>712</v>
      </c>
      <c r="C322" s="33">
        <v>191.0</v>
      </c>
      <c r="D322" s="33">
        <v>1.0</v>
      </c>
      <c r="E322" s="33" t="s">
        <v>98</v>
      </c>
      <c r="F322" s="35" t="str">
        <f>HYPERLINK("https://news.detik.com/berita/d-4408640/psi-laporkan-soal-spanduk-hargai-hak-hak-lgbt-ke-bawaslu-dki ","sumber")</f>
        <v>sumber</v>
      </c>
      <c r="G322" s="33" t="s">
        <v>33</v>
      </c>
      <c r="H322" s="36"/>
      <c r="I322" s="33">
        <v>1.0</v>
      </c>
      <c r="J322" s="33">
        <v>3.0</v>
      </c>
      <c r="K322" s="33" t="s">
        <v>713</v>
      </c>
      <c r="L322" s="33">
        <v>0.0</v>
      </c>
      <c r="M322" s="33">
        <v>-1.0</v>
      </c>
      <c r="N322" s="37">
        <v>0.0</v>
      </c>
      <c r="O322" s="33">
        <v>0.0</v>
      </c>
      <c r="P322" s="33">
        <v>0.0</v>
      </c>
      <c r="Q322" s="33" t="s">
        <v>61</v>
      </c>
      <c r="R322" s="33" t="s">
        <v>62</v>
      </c>
      <c r="S322" s="36"/>
      <c r="T322" s="33">
        <v>0.0</v>
      </c>
      <c r="U322" s="33">
        <v>0.0</v>
      </c>
      <c r="V322" s="33">
        <v>0.0</v>
      </c>
      <c r="W322" s="36"/>
      <c r="X322" s="36"/>
      <c r="Y322" s="36"/>
      <c r="Z322" s="36"/>
      <c r="AA322" s="36"/>
      <c r="AB322" s="36"/>
      <c r="AC322" s="36"/>
      <c r="AD322" s="36"/>
      <c r="AE322" s="36"/>
      <c r="AF322" s="36"/>
    </row>
    <row r="323">
      <c r="A323" s="32">
        <v>1.0</v>
      </c>
      <c r="B323" s="32" t="s">
        <v>714</v>
      </c>
      <c r="C323" s="33">
        <v>192.0</v>
      </c>
      <c r="D323" s="33">
        <v>6.0</v>
      </c>
      <c r="E323" s="33" t="s">
        <v>98</v>
      </c>
      <c r="F323" s="35" t="str">
        <f>HYPERLINK("https://megapolitan.kompas.com/read/2019/01/31/13294731/psi-laporkan-pencatutan-nama-partai-di-spanduk-ke-bawaslu-dki ","sumber")</f>
        <v>sumber</v>
      </c>
      <c r="G323" s="33" t="s">
        <v>33</v>
      </c>
      <c r="H323" s="36"/>
      <c r="I323" s="33">
        <v>1.0</v>
      </c>
      <c r="J323" s="33">
        <v>3.0</v>
      </c>
      <c r="K323" s="33" t="s">
        <v>715</v>
      </c>
      <c r="L323" s="33">
        <v>0.0</v>
      </c>
      <c r="M323" s="33">
        <v>-1.0</v>
      </c>
      <c r="N323" s="37">
        <v>0.0</v>
      </c>
      <c r="O323" s="33">
        <v>0.0</v>
      </c>
      <c r="P323" s="33">
        <v>0.0</v>
      </c>
      <c r="Q323" s="33" t="s">
        <v>61</v>
      </c>
      <c r="R323" s="33" t="s">
        <v>62</v>
      </c>
      <c r="S323" s="36"/>
      <c r="T323" s="33">
        <v>0.0</v>
      </c>
      <c r="U323" s="33">
        <v>0.0</v>
      </c>
      <c r="V323" s="33">
        <v>0.0</v>
      </c>
      <c r="W323" s="36"/>
      <c r="X323" s="36"/>
      <c r="Y323" s="36"/>
      <c r="Z323" s="36"/>
      <c r="AA323" s="36"/>
      <c r="AB323" s="36"/>
      <c r="AC323" s="36"/>
      <c r="AD323" s="36"/>
      <c r="AE323" s="36"/>
      <c r="AF323" s="36"/>
    </row>
    <row r="324">
      <c r="A324" s="39">
        <v>2.0</v>
      </c>
      <c r="B324" s="39" t="s">
        <v>716</v>
      </c>
      <c r="C324" s="40">
        <v>193.0</v>
      </c>
      <c r="D324" s="40">
        <v>6.0</v>
      </c>
      <c r="E324" s="41"/>
      <c r="F324" s="42" t="str">
        <f>HYPERLINK("https://sains.kompas.com/read/2019/02/01/180600023/sebuah-kisah-dari-homo-erectus-nenek-moyang-kita-yang-misterius ","sumber")</f>
        <v>sumber</v>
      </c>
      <c r="G324" s="40" t="s">
        <v>33</v>
      </c>
      <c r="H324" s="41"/>
      <c r="I324" s="41"/>
      <c r="J324" s="40">
        <v>3.0</v>
      </c>
      <c r="K324" s="41"/>
      <c r="L324" s="41"/>
      <c r="M324" s="41"/>
      <c r="N324" s="41"/>
      <c r="O324" s="41"/>
      <c r="P324" s="41"/>
      <c r="Q324" s="41"/>
      <c r="R324" s="41"/>
      <c r="S324" s="41"/>
      <c r="T324" s="41"/>
      <c r="U324" s="41"/>
      <c r="V324" s="41"/>
      <c r="W324" s="41"/>
      <c r="X324" s="41"/>
      <c r="Y324" s="41"/>
      <c r="Z324" s="40"/>
      <c r="AA324" s="43"/>
      <c r="AB324" s="41"/>
      <c r="AC324" s="41"/>
      <c r="AD324" s="41"/>
      <c r="AE324" s="41"/>
      <c r="AF324" s="41"/>
    </row>
    <row r="325">
      <c r="A325" s="24">
        <v>1.0</v>
      </c>
      <c r="B325" s="24" t="s">
        <v>717</v>
      </c>
      <c r="C325" s="25">
        <v>194.0</v>
      </c>
      <c r="D325" s="25">
        <v>8.0</v>
      </c>
      <c r="E325" s="26">
        <v>43740.0</v>
      </c>
      <c r="F325" s="27" t="str">
        <f>HYPERLINK("https://www.suara.com/news/2019/02/10/153947/heboh-akun-komik-muslim-gay-di-instagram ","sumber")</f>
        <v>sumber</v>
      </c>
      <c r="G325" s="25" t="s">
        <v>33</v>
      </c>
      <c r="H325" s="25">
        <v>272.0</v>
      </c>
      <c r="I325" s="25">
        <v>1.0</v>
      </c>
      <c r="J325" s="25">
        <v>3.0</v>
      </c>
      <c r="K325" s="25" t="s">
        <v>280</v>
      </c>
      <c r="L325" s="25">
        <v>0.0</v>
      </c>
      <c r="M325" s="25">
        <v>-1.0</v>
      </c>
      <c r="N325" s="38">
        <v>0.0</v>
      </c>
      <c r="O325" s="25">
        <v>0.0</v>
      </c>
      <c r="P325" s="25">
        <v>0.0</v>
      </c>
      <c r="Q325" s="25" t="s">
        <v>53</v>
      </c>
      <c r="R325" s="25" t="s">
        <v>718</v>
      </c>
      <c r="S325" s="29"/>
      <c r="T325" s="25">
        <v>0.0</v>
      </c>
      <c r="U325" s="25">
        <v>0.0</v>
      </c>
      <c r="V325" s="25">
        <v>0.0</v>
      </c>
      <c r="W325" s="29"/>
      <c r="X325" s="29"/>
      <c r="Y325" s="29"/>
      <c r="Z325" s="29"/>
      <c r="AA325" s="29"/>
      <c r="AB325" s="29"/>
      <c r="AC325" s="29"/>
      <c r="AD325" s="29"/>
      <c r="AE325" s="29"/>
      <c r="AF325" s="29"/>
    </row>
    <row r="326">
      <c r="A326" s="39">
        <v>2.0</v>
      </c>
      <c r="B326" s="39" t="s">
        <v>719</v>
      </c>
      <c r="C326" s="40">
        <v>195.0</v>
      </c>
      <c r="D326" s="40">
        <v>6.0</v>
      </c>
      <c r="E326" s="41"/>
      <c r="F326" s="42" t="str">
        <f>HYPERLINK("https://travel.kompas.com/read/2019/02/23/220800327/berapa-harga-kisaran-paket-wisata-ke-afrika-selatan-dan-maroko- ","sumber")</f>
        <v>sumber</v>
      </c>
      <c r="G326" s="40" t="s">
        <v>33</v>
      </c>
      <c r="H326" s="41"/>
      <c r="I326" s="41"/>
      <c r="J326" s="40">
        <v>3.0</v>
      </c>
      <c r="K326" s="41"/>
      <c r="L326" s="41"/>
      <c r="M326" s="41"/>
      <c r="N326" s="41"/>
      <c r="O326" s="41"/>
      <c r="P326" s="41"/>
      <c r="Q326" s="41"/>
      <c r="R326" s="41"/>
      <c r="S326" s="41"/>
      <c r="T326" s="41"/>
      <c r="U326" s="41"/>
      <c r="V326" s="41"/>
      <c r="W326" s="41"/>
      <c r="X326" s="41"/>
      <c r="Y326" s="41"/>
      <c r="Z326" s="40"/>
      <c r="AA326" s="43"/>
      <c r="AB326" s="41"/>
      <c r="AC326" s="41"/>
      <c r="AD326" s="41"/>
      <c r="AE326" s="41"/>
      <c r="AF326" s="41"/>
    </row>
    <row r="327">
      <c r="A327" s="24">
        <v>1.0</v>
      </c>
      <c r="B327" s="24" t="s">
        <v>720</v>
      </c>
      <c r="C327" s="25">
        <v>196.0</v>
      </c>
      <c r="D327" s="25">
        <v>6.0</v>
      </c>
      <c r="E327" s="25" t="s">
        <v>721</v>
      </c>
      <c r="F327" s="27" t="str">
        <f>HYPERLINK("https://regional.kompas.com/read/2019/02/18/07295601/seorang-waria-ditemukan-tewas-diduga-korban-pembunuhan ","sumber")</f>
        <v>sumber</v>
      </c>
      <c r="G327" s="25" t="s">
        <v>33</v>
      </c>
      <c r="H327" s="25">
        <v>226.0</v>
      </c>
      <c r="I327" s="25">
        <v>1.0</v>
      </c>
      <c r="J327" s="25">
        <v>3.0</v>
      </c>
      <c r="K327" s="25" t="s">
        <v>722</v>
      </c>
      <c r="L327" s="25">
        <v>0.0</v>
      </c>
      <c r="M327" s="25">
        <v>0.0</v>
      </c>
      <c r="N327" s="38">
        <v>0.0</v>
      </c>
      <c r="O327" s="25">
        <v>0.0</v>
      </c>
      <c r="P327" s="25">
        <v>0.0</v>
      </c>
      <c r="Q327" s="25" t="s">
        <v>61</v>
      </c>
      <c r="R327" s="25" t="s">
        <v>61</v>
      </c>
      <c r="S327" s="29"/>
      <c r="T327" s="25">
        <v>0.0</v>
      </c>
      <c r="U327" s="25">
        <v>0.0</v>
      </c>
      <c r="V327" s="25">
        <v>0.0</v>
      </c>
      <c r="W327" s="29"/>
      <c r="X327" s="29"/>
      <c r="Y327" s="29"/>
      <c r="Z327" s="29"/>
      <c r="AA327" s="29"/>
      <c r="AB327" s="29"/>
      <c r="AC327" s="29"/>
      <c r="AD327" s="29"/>
      <c r="AE327" s="29"/>
      <c r="AF327" s="29"/>
    </row>
    <row r="328">
      <c r="A328" s="24">
        <v>1.0</v>
      </c>
      <c r="B328" s="24" t="s">
        <v>723</v>
      </c>
      <c r="C328" s="25">
        <v>197.0</v>
      </c>
      <c r="D328" s="25">
        <v>7.0</v>
      </c>
      <c r="E328" s="26">
        <v>43557.0</v>
      </c>
      <c r="F328" s="27" t="str">
        <f>HYPERLINK("http://www.tribunnews.com/regional/2019/02/04/empat-waria-diduga-pelaku-begal-diciduk-tim-resmob-polda-sulsel ","sumber")</f>
        <v>sumber</v>
      </c>
      <c r="G328" s="25" t="s">
        <v>33</v>
      </c>
      <c r="H328" s="25">
        <v>237.0</v>
      </c>
      <c r="I328" s="25">
        <v>1.0</v>
      </c>
      <c r="J328" s="25">
        <v>3.0</v>
      </c>
      <c r="K328" s="25" t="s">
        <v>724</v>
      </c>
      <c r="L328" s="25">
        <v>0.0</v>
      </c>
      <c r="M328" s="25">
        <v>0.0</v>
      </c>
      <c r="N328" s="38">
        <v>0.0</v>
      </c>
      <c r="O328" s="25">
        <v>0.0</v>
      </c>
      <c r="P328" s="25">
        <v>0.0</v>
      </c>
      <c r="Q328" s="25">
        <v>0.0</v>
      </c>
      <c r="R328" s="25">
        <v>0.0</v>
      </c>
      <c r="S328" s="29"/>
      <c r="T328" s="25">
        <v>0.0</v>
      </c>
      <c r="U328" s="25">
        <v>-1.0</v>
      </c>
      <c r="V328" s="25">
        <v>0.0</v>
      </c>
      <c r="W328" s="29"/>
      <c r="X328" s="29"/>
      <c r="Y328" s="29"/>
      <c r="Z328" s="29"/>
      <c r="AA328" s="29"/>
      <c r="AB328" s="29"/>
      <c r="AC328" s="29"/>
      <c r="AD328" s="29"/>
      <c r="AE328" s="29"/>
      <c r="AF328" s="29"/>
    </row>
    <row r="329">
      <c r="A329" s="39">
        <v>2.0</v>
      </c>
      <c r="B329" s="39" t="s">
        <v>725</v>
      </c>
      <c r="C329" s="40">
        <v>198.0</v>
      </c>
      <c r="D329" s="40">
        <v>3.0</v>
      </c>
      <c r="E329" s="41"/>
      <c r="F329" s="42" t="str">
        <f>HYPERLINK("https://news.okezone.com/read/2019/02/26/605/2022807/tkn-visi-misi-jokowi-adalah-bentuk-optimisme-memetik-bonus-demografi ","sumber")</f>
        <v>sumber</v>
      </c>
      <c r="G329" s="40" t="s">
        <v>33</v>
      </c>
      <c r="H329" s="41"/>
      <c r="I329" s="41"/>
      <c r="J329" s="40">
        <v>3.0</v>
      </c>
      <c r="K329" s="41"/>
      <c r="L329" s="41"/>
      <c r="M329" s="41"/>
      <c r="N329" s="41"/>
      <c r="O329" s="41"/>
      <c r="P329" s="41"/>
      <c r="Q329" s="41"/>
      <c r="R329" s="41"/>
      <c r="S329" s="41"/>
      <c r="T329" s="41"/>
      <c r="U329" s="41"/>
      <c r="V329" s="41"/>
      <c r="W329" s="41"/>
      <c r="X329" s="41"/>
      <c r="Y329" s="41"/>
      <c r="Z329" s="40"/>
      <c r="AA329" s="43"/>
      <c r="AB329" s="41"/>
      <c r="AC329" s="41"/>
      <c r="AD329" s="41"/>
      <c r="AE329" s="41"/>
      <c r="AF329" s="41"/>
    </row>
    <row r="330">
      <c r="A330" s="58">
        <v>1.0</v>
      </c>
      <c r="B330" s="58" t="s">
        <v>726</v>
      </c>
      <c r="C330" s="59">
        <v>199.0</v>
      </c>
      <c r="D330" s="59">
        <v>7.0</v>
      </c>
      <c r="E330" s="59" t="s">
        <v>357</v>
      </c>
      <c r="F330" s="61" t="str">
        <f>HYPERLINK("http://www.tribunnews.com/pilpres-2019/2019/02/26/bpn-minta-polisi-tak-buru-buru-tersangkakan-3-perempuan-di-jabar-diduga-kampanye-hitam-jokowi ","sumber")</f>
        <v>sumber</v>
      </c>
      <c r="G330" s="59" t="s">
        <v>33</v>
      </c>
      <c r="H330" s="62"/>
      <c r="I330" s="59">
        <v>1.0</v>
      </c>
      <c r="J330" s="59">
        <v>3.0</v>
      </c>
      <c r="K330" s="59" t="s">
        <v>727</v>
      </c>
      <c r="L330" s="59">
        <v>0.0</v>
      </c>
      <c r="M330" s="59">
        <v>-1.0</v>
      </c>
      <c r="N330" s="65">
        <v>0.0</v>
      </c>
      <c r="O330" s="59">
        <v>0.0</v>
      </c>
      <c r="P330" s="59">
        <v>0.0</v>
      </c>
      <c r="Q330" s="59" t="s">
        <v>61</v>
      </c>
      <c r="R330" s="59" t="s">
        <v>62</v>
      </c>
      <c r="S330" s="62"/>
      <c r="T330" s="59">
        <v>0.0</v>
      </c>
      <c r="U330" s="59">
        <v>0.0</v>
      </c>
      <c r="V330" s="59">
        <v>0.0</v>
      </c>
      <c r="W330" s="62"/>
      <c r="X330" s="62"/>
      <c r="Y330" s="62"/>
      <c r="Z330" s="62"/>
      <c r="AA330" s="62"/>
      <c r="AB330" s="62"/>
      <c r="AC330" s="62"/>
      <c r="AD330" s="62"/>
      <c r="AE330" s="62"/>
      <c r="AF330" s="62"/>
    </row>
    <row r="331">
      <c r="A331" s="32">
        <v>1.0</v>
      </c>
      <c r="B331" s="32" t="s">
        <v>728</v>
      </c>
      <c r="C331" s="33">
        <v>200.0</v>
      </c>
      <c r="D331" s="33">
        <v>10.0</v>
      </c>
      <c r="E331" s="34">
        <v>43588.0</v>
      </c>
      <c r="F331" s="35" t="str">
        <f>HYPERLINK("https://nasional.tempo.co/read/1181877/tkn-sebut-hoaks-masih-tinggi-di-jawa-barat ","sumber")</f>
        <v>sumber</v>
      </c>
      <c r="G331" s="33" t="s">
        <v>33</v>
      </c>
      <c r="H331" s="36"/>
      <c r="I331" s="33">
        <v>1.0</v>
      </c>
      <c r="J331" s="33">
        <v>3.0</v>
      </c>
      <c r="K331" s="33" t="s">
        <v>729</v>
      </c>
      <c r="L331" s="33">
        <v>0.0</v>
      </c>
      <c r="M331" s="33">
        <v>-1.0</v>
      </c>
      <c r="N331" s="37">
        <v>0.0</v>
      </c>
      <c r="O331" s="33">
        <v>0.0</v>
      </c>
      <c r="P331" s="33">
        <v>0.0</v>
      </c>
      <c r="Q331" s="33">
        <v>0.0</v>
      </c>
      <c r="R331" s="33">
        <v>-1.0</v>
      </c>
      <c r="S331" s="36"/>
      <c r="T331" s="33">
        <v>0.0</v>
      </c>
      <c r="U331" s="33">
        <v>0.0</v>
      </c>
      <c r="V331" s="33">
        <v>0.0</v>
      </c>
      <c r="W331" s="36"/>
      <c r="X331" s="36"/>
      <c r="Y331" s="36"/>
      <c r="Z331" s="36"/>
      <c r="AA331" s="36"/>
      <c r="AB331" s="36"/>
      <c r="AC331" s="36"/>
      <c r="AD331" s="36"/>
      <c r="AE331" s="36"/>
      <c r="AF331" s="36"/>
    </row>
    <row r="332">
      <c r="A332" s="32">
        <v>1.0</v>
      </c>
      <c r="B332" s="32" t="s">
        <v>730</v>
      </c>
      <c r="C332" s="33">
        <v>201.0</v>
      </c>
      <c r="D332" s="33">
        <v>9.0</v>
      </c>
      <c r="E332" s="34">
        <v>43649.0</v>
      </c>
      <c r="F332" s="35" t="str">
        <f>HYPERLINK("https://internasional.republika.co.id/berita/internasional/amerika/pnz1je377/unggah-video-pria-berkemih-presiden-brasil-bikin-heboh ","sumber")</f>
        <v>sumber</v>
      </c>
      <c r="G332" s="33" t="s">
        <v>33</v>
      </c>
      <c r="H332" s="36"/>
      <c r="I332" s="33">
        <v>1.0</v>
      </c>
      <c r="J332" s="33">
        <v>3.0</v>
      </c>
      <c r="K332" s="33" t="s">
        <v>731</v>
      </c>
      <c r="L332" s="33">
        <v>0.0</v>
      </c>
      <c r="M332" s="33">
        <v>-1.0</v>
      </c>
      <c r="N332" s="37">
        <v>0.0</v>
      </c>
      <c r="O332" s="33">
        <v>0.0</v>
      </c>
      <c r="P332" s="33">
        <v>0.0</v>
      </c>
      <c r="Q332" s="33">
        <v>0.0</v>
      </c>
      <c r="R332" s="33">
        <v>-1.0</v>
      </c>
      <c r="S332" s="36"/>
      <c r="T332" s="33">
        <v>0.0</v>
      </c>
      <c r="U332" s="33">
        <v>0.0</v>
      </c>
      <c r="V332" s="33">
        <v>0.0</v>
      </c>
      <c r="W332" s="36"/>
      <c r="X332" s="36"/>
      <c r="Y332" s="36"/>
      <c r="Z332" s="36"/>
      <c r="AA332" s="36"/>
      <c r="AB332" s="36"/>
      <c r="AC332" s="36"/>
      <c r="AD332" s="36"/>
      <c r="AE332" s="36"/>
      <c r="AF332" s="36"/>
    </row>
    <row r="333">
      <c r="A333" s="39">
        <v>2.0</v>
      </c>
      <c r="B333" s="39" t="s">
        <v>732</v>
      </c>
      <c r="C333" s="40">
        <v>202.0</v>
      </c>
      <c r="D333" s="40">
        <v>8.0</v>
      </c>
      <c r="E333" s="53">
        <v>43741.0</v>
      </c>
      <c r="F333" s="42" t="str">
        <f>HYPERLINK("https://www.suara.com/health/2019/03/10/210000/penggemar-olah-raga-dan-perokok-cenderung-banyak-pasangan-kok-bisa ","sumber")</f>
        <v>sumber</v>
      </c>
      <c r="G333" s="40" t="s">
        <v>33</v>
      </c>
      <c r="H333" s="41"/>
      <c r="I333" s="40"/>
      <c r="J333" s="40">
        <v>3.0</v>
      </c>
      <c r="K333" s="40"/>
      <c r="L333" s="41"/>
      <c r="M333" s="41"/>
      <c r="N333" s="41"/>
      <c r="O333" s="41"/>
      <c r="P333" s="41"/>
      <c r="Q333" s="41"/>
      <c r="R333" s="41"/>
      <c r="S333" s="41"/>
      <c r="T333" s="41"/>
      <c r="U333" s="41"/>
      <c r="V333" s="41"/>
      <c r="W333" s="41"/>
      <c r="X333" s="41"/>
      <c r="Y333" s="41"/>
      <c r="Z333" s="40"/>
      <c r="AA333" s="43"/>
      <c r="AB333" s="41"/>
      <c r="AC333" s="41"/>
      <c r="AD333" s="41"/>
      <c r="AE333" s="41"/>
      <c r="AF333" s="41"/>
    </row>
    <row r="334">
      <c r="A334" s="32">
        <v>1.0</v>
      </c>
      <c r="B334" s="32" t="s">
        <v>733</v>
      </c>
      <c r="C334" s="33">
        <v>203.0</v>
      </c>
      <c r="D334" s="33">
        <v>5.0</v>
      </c>
      <c r="E334" s="33" t="s">
        <v>525</v>
      </c>
      <c r="F334" s="35" t="str">
        <f>HYPERLINK("https://tirto.id/kontroversi-kewajiban-sterilisasi-transgender-di-jepang-djW4 ","sumber")</f>
        <v>sumber</v>
      </c>
      <c r="G334" s="33" t="s">
        <v>33</v>
      </c>
      <c r="H334" s="36"/>
      <c r="I334" s="33">
        <v>4.0</v>
      </c>
      <c r="J334" s="33">
        <v>3.0</v>
      </c>
      <c r="K334" s="33" t="s">
        <v>734</v>
      </c>
      <c r="L334" s="33">
        <v>0.0</v>
      </c>
      <c r="M334" s="33">
        <v>0.0</v>
      </c>
      <c r="N334" s="37">
        <v>0.0</v>
      </c>
      <c r="O334" s="33">
        <v>0.0</v>
      </c>
      <c r="P334" s="33">
        <v>0.0</v>
      </c>
      <c r="Q334" s="33" t="s">
        <v>166</v>
      </c>
      <c r="R334" s="33" t="s">
        <v>392</v>
      </c>
      <c r="S334" s="36"/>
      <c r="T334" s="33">
        <v>0.0</v>
      </c>
      <c r="U334" s="33">
        <v>0.0</v>
      </c>
      <c r="V334" s="33">
        <v>1.0</v>
      </c>
      <c r="W334" s="36"/>
      <c r="X334" s="36"/>
      <c r="Y334" s="36"/>
      <c r="Z334" s="36"/>
      <c r="AA334" s="36"/>
      <c r="AB334" s="36"/>
      <c r="AC334" s="36"/>
      <c r="AD334" s="36"/>
      <c r="AE334" s="36"/>
      <c r="AF334" s="36"/>
    </row>
    <row r="335">
      <c r="A335" s="32">
        <v>1.0</v>
      </c>
      <c r="B335" s="32" t="s">
        <v>735</v>
      </c>
      <c r="C335" s="33">
        <v>204.0</v>
      </c>
      <c r="D335" s="33">
        <v>9.0</v>
      </c>
      <c r="E335" s="33" t="s">
        <v>736</v>
      </c>
      <c r="F335" s="35" t="str">
        <f>HYPERLINK("https://republika.co.id/berita/pendidikan/dunia-kampus/pouv0z335/memuat-konten-pornografi-usu-ingin-tertibkan-pers-mahasiswa ","sumber")</f>
        <v>sumber</v>
      </c>
      <c r="G335" s="33" t="s">
        <v>33</v>
      </c>
      <c r="H335" s="36"/>
      <c r="I335" s="33">
        <v>1.0</v>
      </c>
      <c r="J335" s="33">
        <v>3.0</v>
      </c>
      <c r="K335" s="33" t="s">
        <v>737</v>
      </c>
      <c r="L335" s="33">
        <v>0.0</v>
      </c>
      <c r="M335" s="33">
        <v>1.0</v>
      </c>
      <c r="N335" s="37">
        <v>0.0</v>
      </c>
      <c r="O335" s="33">
        <v>0.0</v>
      </c>
      <c r="P335" s="33">
        <v>0.0</v>
      </c>
      <c r="Q335" s="33" t="s">
        <v>53</v>
      </c>
      <c r="R335" s="33" t="s">
        <v>738</v>
      </c>
      <c r="S335" s="33" t="s">
        <v>739</v>
      </c>
      <c r="T335" s="33">
        <v>1.0</v>
      </c>
      <c r="U335" s="33">
        <v>0.0</v>
      </c>
      <c r="V335" s="33">
        <v>0.0</v>
      </c>
      <c r="W335" s="36"/>
      <c r="X335" s="36"/>
      <c r="Y335" s="36"/>
      <c r="Z335" s="36"/>
      <c r="AA335" s="36"/>
      <c r="AB335" s="36"/>
      <c r="AC335" s="36"/>
      <c r="AD335" s="36"/>
      <c r="AE335" s="36"/>
      <c r="AF335" s="36"/>
    </row>
    <row r="336">
      <c r="A336" s="39">
        <v>2.0</v>
      </c>
      <c r="B336" s="39" t="s">
        <v>740</v>
      </c>
      <c r="C336" s="40">
        <v>205.0</v>
      </c>
      <c r="D336" s="40">
        <v>9.0</v>
      </c>
      <c r="E336" s="41"/>
      <c r="F336" s="42" t="str">
        <f>HYPERLINK("https://nasional.republika.co.id/berita/nasional/daerah/pox8kj459/kasus-tb-di-indramayu-tinggi ","sumber")</f>
        <v>sumber</v>
      </c>
      <c r="G336" s="40" t="s">
        <v>33</v>
      </c>
      <c r="H336" s="41"/>
      <c r="I336" s="41"/>
      <c r="J336" s="40">
        <v>3.0</v>
      </c>
      <c r="K336" s="41"/>
      <c r="L336" s="41"/>
      <c r="M336" s="41"/>
      <c r="N336" s="41"/>
      <c r="O336" s="41"/>
      <c r="P336" s="41"/>
      <c r="Q336" s="41"/>
      <c r="R336" s="41"/>
      <c r="S336" s="41"/>
      <c r="T336" s="41"/>
      <c r="U336" s="41"/>
      <c r="V336" s="41"/>
      <c r="W336" s="41"/>
      <c r="X336" s="41"/>
      <c r="Y336" s="41"/>
      <c r="Z336" s="40"/>
      <c r="AA336" s="43"/>
      <c r="AB336" s="41"/>
      <c r="AC336" s="41"/>
      <c r="AD336" s="41"/>
      <c r="AE336" s="41"/>
      <c r="AF336" s="41"/>
    </row>
    <row r="337">
      <c r="A337" s="39">
        <v>2.0</v>
      </c>
      <c r="B337" s="39" t="s">
        <v>741</v>
      </c>
      <c r="C337" s="40">
        <v>206.0</v>
      </c>
      <c r="D337" s="40">
        <v>4.0</v>
      </c>
      <c r="E337" s="41"/>
      <c r="F337" s="42" t="str">
        <f>HYPERLINK("https://hot.liputan6.com/read/3927162/video-akan-diterapkan-di-brunei-ini-hukuman-bagi-lgbt ","sumber")</f>
        <v>sumber</v>
      </c>
      <c r="G337" s="40" t="s">
        <v>33</v>
      </c>
      <c r="H337" s="41"/>
      <c r="I337" s="41"/>
      <c r="J337" s="40">
        <v>3.0</v>
      </c>
      <c r="K337" s="41"/>
      <c r="L337" s="41"/>
      <c r="M337" s="41"/>
      <c r="N337" s="41"/>
      <c r="O337" s="41"/>
      <c r="P337" s="41"/>
      <c r="Q337" s="41"/>
      <c r="R337" s="41"/>
      <c r="S337" s="41"/>
      <c r="T337" s="41"/>
      <c r="U337" s="41"/>
      <c r="V337" s="41"/>
      <c r="W337" s="41"/>
      <c r="X337" s="41"/>
      <c r="Y337" s="41"/>
      <c r="Z337" s="40"/>
      <c r="AA337" s="43"/>
      <c r="AB337" s="41"/>
      <c r="AC337" s="41"/>
      <c r="AD337" s="41"/>
      <c r="AE337" s="41"/>
      <c r="AF337" s="41"/>
    </row>
    <row r="338">
      <c r="A338" s="39">
        <v>2.0</v>
      </c>
      <c r="B338" s="39" t="s">
        <v>742</v>
      </c>
      <c r="C338" s="40">
        <v>207.0</v>
      </c>
      <c r="D338" s="40">
        <v>7.0</v>
      </c>
      <c r="E338" s="41"/>
      <c r="F338" s="42" t="str">
        <f>HYPERLINK("http://www.tribunnews.com/kesehatan/2019/03/27/keberadaannya-mulai-langka-ceplukan-ternyata-punya-segudang-manfaat-bagi-kesehatan ","sumber")</f>
        <v>sumber</v>
      </c>
      <c r="G338" s="40" t="s">
        <v>33</v>
      </c>
      <c r="H338" s="41"/>
      <c r="I338" s="41"/>
      <c r="J338" s="40">
        <v>3.0</v>
      </c>
      <c r="K338" s="41"/>
      <c r="L338" s="41"/>
      <c r="M338" s="41"/>
      <c r="N338" s="41"/>
      <c r="O338" s="41"/>
      <c r="P338" s="41"/>
      <c r="Q338" s="41"/>
      <c r="R338" s="41"/>
      <c r="S338" s="41"/>
      <c r="T338" s="41"/>
      <c r="U338" s="41"/>
      <c r="V338" s="41"/>
      <c r="W338" s="41"/>
      <c r="X338" s="41"/>
      <c r="Y338" s="41"/>
      <c r="Z338" s="40"/>
      <c r="AA338" s="43"/>
      <c r="AB338" s="41"/>
      <c r="AC338" s="41"/>
      <c r="AD338" s="41"/>
      <c r="AE338" s="41"/>
      <c r="AF338" s="41"/>
    </row>
    <row r="339">
      <c r="A339" s="24">
        <v>1.0</v>
      </c>
      <c r="B339" s="24" t="s">
        <v>743</v>
      </c>
      <c r="C339" s="25">
        <v>208.0</v>
      </c>
      <c r="D339" s="25">
        <v>1.0</v>
      </c>
      <c r="E339" s="25" t="s">
        <v>147</v>
      </c>
      <c r="F339" s="27" t="str">
        <f>HYPERLINK("https://news.detik.com/berita/d-4470178/ruu-p-ks-disebut-legalkan-zina-bamsoet-itu-ngawur-dan-omong-kosong ","sumber")</f>
        <v>sumber</v>
      </c>
      <c r="G339" s="25" t="s">
        <v>33</v>
      </c>
      <c r="H339" s="25">
        <v>430.0</v>
      </c>
      <c r="I339" s="25">
        <v>1.0</v>
      </c>
      <c r="J339" s="25">
        <v>4.0</v>
      </c>
      <c r="K339" s="25" t="s">
        <v>744</v>
      </c>
      <c r="L339" s="25">
        <v>0.0</v>
      </c>
      <c r="M339" s="25">
        <v>-1.0</v>
      </c>
      <c r="N339" s="38">
        <v>0.0</v>
      </c>
      <c r="O339" s="25">
        <v>0.0</v>
      </c>
      <c r="P339" s="25">
        <v>0.0</v>
      </c>
      <c r="Q339" s="25" t="s">
        <v>53</v>
      </c>
      <c r="R339" s="25" t="s">
        <v>663</v>
      </c>
      <c r="S339" s="25" t="s">
        <v>745</v>
      </c>
      <c r="T339" s="25">
        <v>1.0</v>
      </c>
      <c r="U339" s="25">
        <v>0.0</v>
      </c>
      <c r="V339" s="25">
        <v>0.0</v>
      </c>
      <c r="W339" s="29"/>
      <c r="X339" s="29"/>
      <c r="Y339" s="29"/>
      <c r="Z339" s="29"/>
      <c r="AA339" s="29"/>
      <c r="AB339" s="29"/>
      <c r="AC339" s="29"/>
      <c r="AD339" s="29"/>
      <c r="AE339" s="29"/>
      <c r="AF339" s="29"/>
    </row>
    <row r="340">
      <c r="A340" s="32">
        <v>1.0</v>
      </c>
      <c r="B340" s="32" t="s">
        <v>746</v>
      </c>
      <c r="C340" s="33">
        <v>209.0</v>
      </c>
      <c r="D340" s="33">
        <v>6.0</v>
      </c>
      <c r="E340" s="33" t="s">
        <v>164</v>
      </c>
      <c r="F340" s="35" t="str">
        <f>HYPERLINK("https://internasional.kompas.com/read/2019/03/30/08544461/george-clooney-serukan-pemboikotan-hotel-milik-sultan-brunei ","sumber")</f>
        <v>sumber</v>
      </c>
      <c r="G340" s="33" t="s">
        <v>33</v>
      </c>
      <c r="H340" s="36"/>
      <c r="I340" s="33">
        <v>1.0</v>
      </c>
      <c r="J340" s="33">
        <v>3.0</v>
      </c>
      <c r="K340" s="33" t="s">
        <v>747</v>
      </c>
      <c r="L340" s="33">
        <v>0.0</v>
      </c>
      <c r="M340" s="33">
        <v>1.0</v>
      </c>
      <c r="N340" s="37">
        <v>0.0</v>
      </c>
      <c r="O340" s="33">
        <v>0.0</v>
      </c>
      <c r="P340" s="33">
        <v>0.0</v>
      </c>
      <c r="Q340" s="33">
        <v>0.0</v>
      </c>
      <c r="R340" s="33">
        <v>1.0</v>
      </c>
      <c r="S340" s="33" t="s">
        <v>748</v>
      </c>
      <c r="T340" s="33">
        <v>1.0</v>
      </c>
      <c r="U340" s="33">
        <v>0.0</v>
      </c>
      <c r="V340" s="33">
        <v>0.0</v>
      </c>
      <c r="W340" s="36"/>
      <c r="X340" s="36"/>
      <c r="Y340" s="36"/>
      <c r="Z340" s="36"/>
      <c r="AA340" s="36"/>
      <c r="AB340" s="36"/>
      <c r="AC340" s="36"/>
      <c r="AD340" s="36"/>
      <c r="AE340" s="36"/>
      <c r="AF340" s="36"/>
    </row>
    <row r="341">
      <c r="A341" s="32">
        <v>1.0</v>
      </c>
      <c r="B341" s="32" t="s">
        <v>749</v>
      </c>
      <c r="C341" s="33">
        <v>210.0</v>
      </c>
      <c r="D341" s="33">
        <v>2.0</v>
      </c>
      <c r="E341" s="33" t="s">
        <v>171</v>
      </c>
      <c r="F341" s="35" t="str">
        <f>HYPERLINK("https://www.cnnindonesia.com/nasional/20190331160922-32-382291/rhoma-irama-sebut-ruu-pks-legalkan-zina-dan-lgbt ","sumber")</f>
        <v>sumber</v>
      </c>
      <c r="G341" s="33" t="s">
        <v>33</v>
      </c>
      <c r="H341" s="36"/>
      <c r="I341" s="33">
        <v>4.0</v>
      </c>
      <c r="J341" s="33">
        <v>3.0</v>
      </c>
      <c r="K341" s="33" t="s">
        <v>750</v>
      </c>
      <c r="L341" s="33">
        <v>0.0</v>
      </c>
      <c r="M341" s="33">
        <v>0.0</v>
      </c>
      <c r="N341" s="37">
        <v>0.0</v>
      </c>
      <c r="O341" s="33">
        <v>0.0</v>
      </c>
      <c r="P341" s="33">
        <v>0.0</v>
      </c>
      <c r="Q341" s="33" t="s">
        <v>61</v>
      </c>
      <c r="R341" s="33" t="s">
        <v>173</v>
      </c>
      <c r="S341" s="36"/>
      <c r="T341" s="33">
        <v>0.0</v>
      </c>
      <c r="U341" s="33">
        <v>0.0</v>
      </c>
      <c r="V341" s="33">
        <v>0.0</v>
      </c>
      <c r="W341" s="36"/>
      <c r="X341" s="36"/>
      <c r="Y341" s="36"/>
      <c r="Z341" s="36"/>
      <c r="AA341" s="36"/>
      <c r="AB341" s="36"/>
      <c r="AC341" s="36"/>
      <c r="AD341" s="36"/>
      <c r="AE341" s="36"/>
      <c r="AF341" s="36"/>
    </row>
    <row r="342">
      <c r="A342" s="32">
        <v>1.0</v>
      </c>
      <c r="B342" s="32" t="s">
        <v>751</v>
      </c>
      <c r="C342" s="33">
        <v>211.0</v>
      </c>
      <c r="D342" s="33">
        <v>2.0</v>
      </c>
      <c r="E342" s="34">
        <v>43528.0</v>
      </c>
      <c r="F342" s="35" t="str">
        <f>HYPERLINK("https://www.cnnindonesia.com/teknologi/20190403144236-192-383179/pro-dan-kontra-netizen-tanggapi-hukum-mati-lgbt-di-brunei ","sumber")</f>
        <v>sumber</v>
      </c>
      <c r="G342" s="33" t="s">
        <v>33</v>
      </c>
      <c r="H342" s="36"/>
      <c r="I342" s="33">
        <v>1.0</v>
      </c>
      <c r="J342" s="33">
        <v>3.0</v>
      </c>
      <c r="K342" s="33" t="s">
        <v>752</v>
      </c>
      <c r="L342" s="33">
        <v>0.0</v>
      </c>
      <c r="M342" s="33">
        <v>-1.0</v>
      </c>
      <c r="N342" s="37">
        <v>0.0</v>
      </c>
      <c r="O342" s="33">
        <v>0.0</v>
      </c>
      <c r="P342" s="33">
        <v>0.0</v>
      </c>
      <c r="Q342" s="69" t="s">
        <v>202</v>
      </c>
      <c r="R342" s="33" t="s">
        <v>753</v>
      </c>
      <c r="S342" s="33" t="s">
        <v>754</v>
      </c>
      <c r="T342" s="33">
        <v>1.0</v>
      </c>
      <c r="U342" s="33">
        <v>0.0</v>
      </c>
      <c r="V342" s="33">
        <v>0.0</v>
      </c>
      <c r="W342" s="36"/>
      <c r="X342" s="36"/>
      <c r="Y342" s="36"/>
      <c r="Z342" s="36"/>
      <c r="AA342" s="36"/>
      <c r="AB342" s="36"/>
      <c r="AC342" s="36"/>
      <c r="AD342" s="36"/>
      <c r="AE342" s="36"/>
      <c r="AF342" s="36"/>
    </row>
    <row r="343">
      <c r="A343" s="24">
        <v>1.0</v>
      </c>
      <c r="B343" s="24" t="s">
        <v>755</v>
      </c>
      <c r="C343" s="25">
        <v>212.0</v>
      </c>
      <c r="D343" s="25">
        <v>1.0</v>
      </c>
      <c r="E343" s="26">
        <v>43559.0</v>
      </c>
      <c r="F343" s="27" t="str">
        <f>HYPERLINK("https://news.detik.com/berita/d-4496433/hukum-mati-lgbt-brunei-pelajari-syariat-islam-di-aceh ","sumber")</f>
        <v>sumber</v>
      </c>
      <c r="G343" s="25" t="s">
        <v>33</v>
      </c>
      <c r="H343" s="25">
        <v>418.0</v>
      </c>
      <c r="I343" s="25">
        <v>4.0</v>
      </c>
      <c r="J343" s="25">
        <v>3.0</v>
      </c>
      <c r="K343" s="25" t="s">
        <v>756</v>
      </c>
      <c r="L343" s="25">
        <v>0.0</v>
      </c>
      <c r="M343" s="25">
        <v>0.0</v>
      </c>
      <c r="N343" s="38">
        <v>0.0</v>
      </c>
      <c r="O343" s="25">
        <v>0.0</v>
      </c>
      <c r="P343" s="25">
        <v>0.0</v>
      </c>
      <c r="Q343" s="25" t="s">
        <v>61</v>
      </c>
      <c r="R343" s="25" t="s">
        <v>85</v>
      </c>
      <c r="S343" s="25" t="s">
        <v>757</v>
      </c>
      <c r="T343" s="25">
        <v>1.0</v>
      </c>
      <c r="U343" s="25">
        <v>0.0</v>
      </c>
      <c r="V343" s="25">
        <v>1.0</v>
      </c>
      <c r="W343" s="29"/>
      <c r="X343" s="29"/>
      <c r="Y343" s="29"/>
      <c r="Z343" s="29"/>
      <c r="AA343" s="29"/>
      <c r="AB343" s="29"/>
      <c r="AC343" s="29"/>
      <c r="AD343" s="29"/>
      <c r="AE343" s="29"/>
      <c r="AF343" s="29"/>
    </row>
    <row r="344">
      <c r="A344" s="32">
        <v>1.0</v>
      </c>
      <c r="B344" s="32" t="s">
        <v>758</v>
      </c>
      <c r="C344" s="33">
        <v>213.0</v>
      </c>
      <c r="D344" s="33">
        <v>4.0</v>
      </c>
      <c r="E344" s="34">
        <v>43559.0</v>
      </c>
      <c r="F344" s="35" t="str">
        <f>HYPERLINK("https://www.liputan6.com/news/read/3933673/wakil-ketua-mpr-umat-islam-ikut-menyelamatkan-pancasila-dan-nkri ","sumber")</f>
        <v>sumber</v>
      </c>
      <c r="G344" s="33" t="s">
        <v>33</v>
      </c>
      <c r="H344" s="36"/>
      <c r="I344" s="33">
        <v>1.0</v>
      </c>
      <c r="J344" s="33">
        <v>3.0</v>
      </c>
      <c r="K344" s="33" t="s">
        <v>759</v>
      </c>
      <c r="L344" s="33">
        <v>0.0</v>
      </c>
      <c r="M344" s="33">
        <v>-1.0</v>
      </c>
      <c r="N344" s="37">
        <v>0.0</v>
      </c>
      <c r="O344" s="33">
        <v>0.0</v>
      </c>
      <c r="P344" s="33">
        <v>0.0</v>
      </c>
      <c r="Q344" s="33">
        <v>0.0</v>
      </c>
      <c r="R344" s="33">
        <v>-1.0</v>
      </c>
      <c r="S344" s="36"/>
      <c r="T344" s="33">
        <v>0.0</v>
      </c>
      <c r="U344" s="33">
        <v>0.0</v>
      </c>
      <c r="V344" s="33">
        <v>0.0</v>
      </c>
      <c r="W344" s="36"/>
      <c r="X344" s="36"/>
      <c r="Y344" s="36"/>
      <c r="Z344" s="36"/>
      <c r="AA344" s="36"/>
      <c r="AB344" s="36"/>
      <c r="AC344" s="36"/>
      <c r="AD344" s="36"/>
      <c r="AE344" s="36"/>
      <c r="AF344" s="36"/>
    </row>
    <row r="345">
      <c r="A345" s="39">
        <v>2.0</v>
      </c>
      <c r="B345" s="39" t="s">
        <v>760</v>
      </c>
      <c r="C345" s="40">
        <v>214.0</v>
      </c>
      <c r="D345" s="40">
        <v>2.0</v>
      </c>
      <c r="E345" s="41"/>
      <c r="F345" s="42" t="str">
        <f>HYPERLINK("https://www.cnnindonesia.com/nasional/20190407034828-12-383989/ditahan-polisi-penyebar-kebencian-98-sentimen-sama-prabowo ","sumber")</f>
        <v>sumber</v>
      </c>
      <c r="G345" s="40" t="s">
        <v>33</v>
      </c>
      <c r="H345" s="41"/>
      <c r="I345" s="41"/>
      <c r="J345" s="40">
        <v>3.0</v>
      </c>
      <c r="K345" s="41"/>
      <c r="L345" s="41"/>
      <c r="M345" s="41"/>
      <c r="N345" s="41"/>
      <c r="O345" s="41"/>
      <c r="P345" s="41"/>
      <c r="Q345" s="41"/>
      <c r="R345" s="41"/>
      <c r="S345" s="41"/>
      <c r="T345" s="41"/>
      <c r="U345" s="41"/>
      <c r="V345" s="41"/>
      <c r="W345" s="41"/>
      <c r="X345" s="41"/>
      <c r="Y345" s="41"/>
      <c r="Z345" s="40"/>
      <c r="AA345" s="43"/>
      <c r="AB345" s="41"/>
      <c r="AC345" s="41"/>
      <c r="AD345" s="41"/>
      <c r="AE345" s="41"/>
      <c r="AF345" s="41"/>
    </row>
    <row r="346">
      <c r="A346" s="24">
        <v>1.0</v>
      </c>
      <c r="B346" s="24" t="s">
        <v>761</v>
      </c>
      <c r="C346" s="25">
        <v>215.0</v>
      </c>
      <c r="D346" s="25">
        <v>6.0</v>
      </c>
      <c r="E346" s="26">
        <v>43589.0</v>
      </c>
      <c r="F346" s="27" t="str">
        <f>HYPERLINK("https://internasional.kompas.com/read/2019/04/05/08153541/brunei-berlakukan-hukum-rajam-sampai-mati-terhadap-pelaku-lgbt-dan-zina ","sumber")</f>
        <v>sumber</v>
      </c>
      <c r="G346" s="25" t="s">
        <v>33</v>
      </c>
      <c r="H346" s="25">
        <v>392.0</v>
      </c>
      <c r="I346" s="25">
        <v>4.0</v>
      </c>
      <c r="J346" s="25">
        <v>3.0</v>
      </c>
      <c r="K346" s="25" t="s">
        <v>762</v>
      </c>
      <c r="L346" s="25">
        <v>0.0</v>
      </c>
      <c r="M346" s="25">
        <v>0.0</v>
      </c>
      <c r="N346" s="38">
        <v>0.0</v>
      </c>
      <c r="O346" s="25">
        <v>0.0</v>
      </c>
      <c r="P346" s="25">
        <v>0.0</v>
      </c>
      <c r="Q346" s="25">
        <v>0.0</v>
      </c>
      <c r="R346" s="25">
        <v>0.0</v>
      </c>
      <c r="S346" s="25" t="s">
        <v>763</v>
      </c>
      <c r="T346" s="25">
        <v>1.0</v>
      </c>
      <c r="U346" s="25">
        <v>0.0</v>
      </c>
      <c r="V346" s="25">
        <v>1.0</v>
      </c>
      <c r="W346" s="29"/>
      <c r="X346" s="29"/>
      <c r="Y346" s="29"/>
      <c r="Z346" s="29"/>
      <c r="AA346" s="29"/>
      <c r="AB346" s="29"/>
      <c r="AC346" s="29"/>
      <c r="AD346" s="29"/>
      <c r="AE346" s="29"/>
      <c r="AF346" s="29"/>
    </row>
    <row r="347">
      <c r="A347" s="39">
        <v>2.0</v>
      </c>
      <c r="B347" s="39" t="s">
        <v>764</v>
      </c>
      <c r="C347" s="40">
        <v>216.0</v>
      </c>
      <c r="D347" s="40">
        <v>6.0</v>
      </c>
      <c r="E347" s="41"/>
      <c r="F347" s="42" t="str">
        <f>HYPERLINK("https://regional.kompas.com/read/2019/04/13/21232531/fakta-kampanye-jokowi-di-bogor-sabar-itu-ada-batasnya-hingga-target-menang ","sumber")</f>
        <v>sumber</v>
      </c>
      <c r="G347" s="40" t="s">
        <v>33</v>
      </c>
      <c r="H347" s="41"/>
      <c r="I347" s="41"/>
      <c r="J347" s="40">
        <v>3.0</v>
      </c>
      <c r="K347" s="41"/>
      <c r="L347" s="41"/>
      <c r="M347" s="41"/>
      <c r="N347" s="41"/>
      <c r="O347" s="41"/>
      <c r="P347" s="41"/>
      <c r="Q347" s="41"/>
      <c r="R347" s="41"/>
      <c r="S347" s="41"/>
      <c r="T347" s="41"/>
      <c r="U347" s="41"/>
      <c r="V347" s="41"/>
      <c r="W347" s="41"/>
      <c r="X347" s="41"/>
      <c r="Y347" s="41"/>
      <c r="Z347" s="40"/>
      <c r="AA347" s="43"/>
      <c r="AB347" s="41"/>
      <c r="AC347" s="41"/>
      <c r="AD347" s="41"/>
      <c r="AE347" s="41"/>
      <c r="AF347" s="41"/>
    </row>
    <row r="348">
      <c r="A348" s="24">
        <v>1.0</v>
      </c>
      <c r="B348" s="24" t="s">
        <v>765</v>
      </c>
      <c r="C348" s="25">
        <v>217.0</v>
      </c>
      <c r="D348" s="25">
        <v>8.0</v>
      </c>
      <c r="E348" s="25" t="s">
        <v>766</v>
      </c>
      <c r="F348" s="27" t="str">
        <f>HYPERLINK(" https://www.suara.com/news/2019/04/13/075754/dituding-melanggar-ham-brunei-ungkap-alasan-hukuman-mati-bagi-lgbt ","sumber")</f>
        <v>sumber</v>
      </c>
      <c r="G348" s="25" t="s">
        <v>33</v>
      </c>
      <c r="H348" s="25">
        <v>284.0</v>
      </c>
      <c r="I348" s="25">
        <v>4.0</v>
      </c>
      <c r="J348" s="25">
        <v>3.0</v>
      </c>
      <c r="K348" s="25" t="s">
        <v>767</v>
      </c>
      <c r="L348" s="25">
        <v>0.0</v>
      </c>
      <c r="M348" s="25">
        <v>0.0</v>
      </c>
      <c r="N348" s="38">
        <v>0.0</v>
      </c>
      <c r="O348" s="25">
        <v>0.0</v>
      </c>
      <c r="P348" s="25">
        <v>0.0</v>
      </c>
      <c r="Q348" s="25" t="s">
        <v>61</v>
      </c>
      <c r="R348" s="25" t="s">
        <v>173</v>
      </c>
      <c r="S348" s="25" t="s">
        <v>763</v>
      </c>
      <c r="T348" s="25">
        <v>1.0</v>
      </c>
      <c r="U348" s="25">
        <v>0.0</v>
      </c>
      <c r="V348" s="25">
        <v>1.0</v>
      </c>
      <c r="W348" s="29"/>
      <c r="X348" s="29"/>
      <c r="Y348" s="29"/>
      <c r="Z348" s="29"/>
      <c r="AA348" s="29"/>
      <c r="AB348" s="29"/>
      <c r="AC348" s="29"/>
      <c r="AD348" s="29"/>
      <c r="AE348" s="29"/>
      <c r="AF348" s="29"/>
    </row>
    <row r="349">
      <c r="A349" s="39">
        <v>2.0</v>
      </c>
      <c r="B349" s="39" t="s">
        <v>768</v>
      </c>
      <c r="C349" s="40">
        <v>218.0</v>
      </c>
      <c r="D349" s="40">
        <v>6.0</v>
      </c>
      <c r="E349" s="41"/>
      <c r="F349" s="42" t="str">
        <f>HYPERLINK("https://sains.kompas.com/read/2019/04/21/191300023/punya-gigi-unik-spesies-kera-purba-baru-ditemukan-di-indonesia ","sumber")</f>
        <v>sumber</v>
      </c>
      <c r="G349" s="40" t="s">
        <v>33</v>
      </c>
      <c r="H349" s="41"/>
      <c r="I349" s="41"/>
      <c r="J349" s="40">
        <v>3.0</v>
      </c>
      <c r="K349" s="41"/>
      <c r="L349" s="41"/>
      <c r="M349" s="41"/>
      <c r="N349" s="41"/>
      <c r="O349" s="41"/>
      <c r="P349" s="41"/>
      <c r="Q349" s="41"/>
      <c r="R349" s="41"/>
      <c r="S349" s="41"/>
      <c r="T349" s="41"/>
      <c r="U349" s="41"/>
      <c r="V349" s="41"/>
      <c r="W349" s="41"/>
      <c r="X349" s="41"/>
      <c r="Y349" s="41"/>
      <c r="Z349" s="40"/>
      <c r="AA349" s="43"/>
      <c r="AB349" s="41"/>
      <c r="AC349" s="41"/>
      <c r="AD349" s="41"/>
      <c r="AE349" s="41"/>
      <c r="AF349" s="41"/>
    </row>
    <row r="350">
      <c r="A350" s="32">
        <v>1.0</v>
      </c>
      <c r="B350" s="32" t="s">
        <v>769</v>
      </c>
      <c r="C350" s="33">
        <v>219.0</v>
      </c>
      <c r="D350" s="33">
        <v>1.0</v>
      </c>
      <c r="E350" s="33" t="s">
        <v>197</v>
      </c>
      <c r="F350" s="35" t="str">
        <f>HYPERLINK("https://news.detik.com/abc-australia/d-4522311/surati-parlemen-eropa-brunei-tegaskan-hukuman-mati-terhadap-lgbt ","sumber")</f>
        <v>sumber</v>
      </c>
      <c r="G350" s="33" t="s">
        <v>33</v>
      </c>
      <c r="H350" s="36"/>
      <c r="I350" s="33">
        <v>4.0</v>
      </c>
      <c r="J350" s="33">
        <v>3.0</v>
      </c>
      <c r="K350" s="33" t="s">
        <v>770</v>
      </c>
      <c r="L350" s="33">
        <v>0.0</v>
      </c>
      <c r="M350" s="33">
        <v>0.0</v>
      </c>
      <c r="N350" s="37">
        <v>0.0</v>
      </c>
      <c r="O350" s="33">
        <v>0.0</v>
      </c>
      <c r="P350" s="33">
        <v>0.0</v>
      </c>
      <c r="Q350" s="33" t="s">
        <v>53</v>
      </c>
      <c r="R350" s="33" t="s">
        <v>771</v>
      </c>
      <c r="S350" s="36"/>
      <c r="T350" s="33">
        <v>0.0</v>
      </c>
      <c r="U350" s="33">
        <v>0.0</v>
      </c>
      <c r="V350" s="33">
        <v>1.0</v>
      </c>
      <c r="W350" s="36"/>
      <c r="X350" s="36"/>
      <c r="Y350" s="36"/>
      <c r="Z350" s="36"/>
      <c r="AA350" s="36"/>
      <c r="AB350" s="36"/>
      <c r="AC350" s="36"/>
      <c r="AD350" s="36"/>
      <c r="AE350" s="36"/>
      <c r="AF350" s="36"/>
    </row>
    <row r="351">
      <c r="A351" s="24">
        <v>1.0</v>
      </c>
      <c r="B351" s="24" t="s">
        <v>772</v>
      </c>
      <c r="C351" s="25">
        <v>220.0</v>
      </c>
      <c r="D351" s="25">
        <v>5.0</v>
      </c>
      <c r="E351" s="26">
        <v>43742.0</v>
      </c>
      <c r="F351" s="27" t="str">
        <f>HYPERLINK("https://tirto.id/abdul-azim-pangeran-brunei-yang-mesra-dengan-tokoh-aktivis-lgbt-dlDM ","sumber")</f>
        <v>sumber</v>
      </c>
      <c r="G351" s="25" t="s">
        <v>33</v>
      </c>
      <c r="H351" s="25">
        <v>1403.0</v>
      </c>
      <c r="I351" s="25">
        <v>2.0</v>
      </c>
      <c r="J351" s="25">
        <v>3.0</v>
      </c>
      <c r="K351" s="25" t="s">
        <v>773</v>
      </c>
      <c r="L351" s="25">
        <v>0.0</v>
      </c>
      <c r="M351" s="25">
        <v>0.0</v>
      </c>
      <c r="N351" s="38">
        <v>0.0</v>
      </c>
      <c r="O351" s="25">
        <v>0.0</v>
      </c>
      <c r="P351" s="25">
        <v>0.0</v>
      </c>
      <c r="Q351" s="25" t="s">
        <v>774</v>
      </c>
      <c r="R351" s="25" t="s">
        <v>775</v>
      </c>
      <c r="S351" s="29"/>
      <c r="T351" s="25">
        <v>0.0</v>
      </c>
      <c r="U351" s="25">
        <v>0.0</v>
      </c>
      <c r="V351" s="25">
        <v>1.0</v>
      </c>
      <c r="W351" s="29"/>
      <c r="X351" s="29"/>
      <c r="Y351" s="29"/>
      <c r="Z351" s="29"/>
      <c r="AA351" s="29"/>
      <c r="AB351" s="29"/>
      <c r="AC351" s="29"/>
      <c r="AD351" s="29"/>
      <c r="AE351" s="29"/>
      <c r="AF351" s="29"/>
    </row>
    <row r="352">
      <c r="A352" s="32">
        <v>1.0</v>
      </c>
      <c r="B352" s="32" t="s">
        <v>776</v>
      </c>
      <c r="C352" s="33">
        <v>221.0</v>
      </c>
      <c r="D352" s="33">
        <v>7.0</v>
      </c>
      <c r="E352" s="34">
        <v>43586.0</v>
      </c>
      <c r="F352" s="35" t="str">
        <f>HYPERLINK("http://www.tribunnews.com/regional/2019/05/01/tanggapi-pembubaran-paksa-aksi-penari-di-pontianak-pengamat-singgung-purifikasi-dan-homophobia ","sumber")</f>
        <v>sumber</v>
      </c>
      <c r="G352" s="33" t="s">
        <v>33</v>
      </c>
      <c r="H352" s="36"/>
      <c r="I352" s="33">
        <v>1.0</v>
      </c>
      <c r="J352" s="33">
        <v>3.0</v>
      </c>
      <c r="K352" s="33" t="s">
        <v>777</v>
      </c>
      <c r="L352" s="33">
        <v>0.0</v>
      </c>
      <c r="M352" s="33">
        <v>-1.0</v>
      </c>
      <c r="N352" s="37">
        <v>0.0</v>
      </c>
      <c r="O352" s="33">
        <v>0.0</v>
      </c>
      <c r="P352" s="33">
        <v>0.0</v>
      </c>
      <c r="Q352" s="33">
        <v>0.0</v>
      </c>
      <c r="R352" s="33">
        <v>1.0</v>
      </c>
      <c r="S352" s="36"/>
      <c r="T352" s="33">
        <v>0.0</v>
      </c>
      <c r="U352" s="33">
        <v>0.0</v>
      </c>
      <c r="V352" s="33">
        <v>0.0</v>
      </c>
      <c r="W352" s="36"/>
      <c r="X352" s="36"/>
      <c r="Y352" s="36"/>
      <c r="Z352" s="36"/>
      <c r="AA352" s="36"/>
      <c r="AB352" s="36"/>
      <c r="AC352" s="36"/>
      <c r="AD352" s="36"/>
      <c r="AE352" s="36"/>
      <c r="AF352" s="36"/>
    </row>
    <row r="353">
      <c r="A353" s="24">
        <v>1.0</v>
      </c>
      <c r="B353" s="24" t="s">
        <v>778</v>
      </c>
      <c r="C353" s="25">
        <v>222.0</v>
      </c>
      <c r="D353" s="25">
        <v>3.0</v>
      </c>
      <c r="E353" s="25" t="s">
        <v>240</v>
      </c>
      <c r="F353" s="27" t="str">
        <f>HYPERLINK("https://news.okezone.com/read/2019/05/24/18/2059801/dikritik-soal-hukum-anti-lgbt-sultan-brunei-kembalikan-gelar-dari-oxford ","sumber")</f>
        <v>sumber</v>
      </c>
      <c r="G353" s="25" t="s">
        <v>33</v>
      </c>
      <c r="H353" s="25">
        <v>312.0</v>
      </c>
      <c r="I353" s="25">
        <v>4.0</v>
      </c>
      <c r="J353" s="25">
        <v>3.0</v>
      </c>
      <c r="K353" s="25" t="s">
        <v>779</v>
      </c>
      <c r="L353" s="25">
        <v>0.0</v>
      </c>
      <c r="M353" s="25">
        <v>0.0</v>
      </c>
      <c r="N353" s="38">
        <v>0.0</v>
      </c>
      <c r="O353" s="25">
        <v>0.0</v>
      </c>
      <c r="P353" s="25">
        <v>0.0</v>
      </c>
      <c r="Q353" s="25" t="s">
        <v>61</v>
      </c>
      <c r="R353" s="25" t="s">
        <v>780</v>
      </c>
      <c r="S353" s="29"/>
      <c r="T353" s="25">
        <v>0.0</v>
      </c>
      <c r="U353" s="25">
        <v>0.0</v>
      </c>
      <c r="V353" s="25">
        <v>1.0</v>
      </c>
      <c r="W353" s="29"/>
      <c r="X353" s="29"/>
      <c r="Y353" s="29"/>
      <c r="Z353" s="29"/>
      <c r="AA353" s="29"/>
      <c r="AB353" s="29"/>
      <c r="AC353" s="29"/>
      <c r="AD353" s="29"/>
      <c r="AE353" s="29"/>
      <c r="AF353" s="29"/>
    </row>
    <row r="354">
      <c r="A354" s="39">
        <v>2.0</v>
      </c>
      <c r="B354" s="39" t="s">
        <v>781</v>
      </c>
      <c r="C354" s="40">
        <v>223.0</v>
      </c>
      <c r="D354" s="40">
        <v>9.0</v>
      </c>
      <c r="E354" s="41"/>
      <c r="F354" s="42" t="str">
        <f>HYPERLINK("https://nasional.republika.co.id/berita/nasional/jabodetabek-nasional/pqxmbd330/dinsos-dki-tingkatkan-razia-pmks ","sumber")</f>
        <v>sumber</v>
      </c>
      <c r="G354" s="40" t="s">
        <v>33</v>
      </c>
      <c r="H354" s="41"/>
      <c r="I354" s="41"/>
      <c r="J354" s="40">
        <v>3.0</v>
      </c>
      <c r="K354" s="41"/>
      <c r="L354" s="41"/>
      <c r="M354" s="41"/>
      <c r="N354" s="41"/>
      <c r="O354" s="41"/>
      <c r="P354" s="41"/>
      <c r="Q354" s="41"/>
      <c r="R354" s="41"/>
      <c r="S354" s="41"/>
      <c r="T354" s="41"/>
      <c r="U354" s="41"/>
      <c r="V354" s="41"/>
      <c r="W354" s="41"/>
      <c r="X354" s="41"/>
      <c r="Y354" s="41"/>
      <c r="Z354" s="40"/>
      <c r="AA354" s="43"/>
      <c r="AB354" s="41"/>
      <c r="AC354" s="41"/>
      <c r="AD354" s="41"/>
      <c r="AE354" s="41"/>
      <c r="AF354" s="41"/>
    </row>
    <row r="355">
      <c r="A355" s="39">
        <v>2.0</v>
      </c>
      <c r="B355" s="39" t="s">
        <v>782</v>
      </c>
      <c r="C355" s="40">
        <v>224.0</v>
      </c>
      <c r="D355" s="40">
        <v>9.0</v>
      </c>
      <c r="E355" s="41"/>
      <c r="F355" s="42" t="str">
        <f>HYPERLINK("https://republika.co.id/berita/ekonomi/pertanian/pr0fm2383/operasi-pasar-bawang-putih-impor-dimulai-hari-ini ","sumber")</f>
        <v>sumber</v>
      </c>
      <c r="G355" s="40" t="s">
        <v>33</v>
      </c>
      <c r="H355" s="41"/>
      <c r="I355" s="41"/>
      <c r="J355" s="40">
        <v>3.0</v>
      </c>
      <c r="K355" s="41"/>
      <c r="L355" s="41"/>
      <c r="M355" s="41"/>
      <c r="N355" s="41"/>
      <c r="O355" s="41"/>
      <c r="P355" s="41"/>
      <c r="Q355" s="41"/>
      <c r="R355" s="41"/>
      <c r="S355" s="41"/>
      <c r="T355" s="41"/>
      <c r="U355" s="41"/>
      <c r="V355" s="41"/>
      <c r="W355" s="41"/>
      <c r="X355" s="41"/>
      <c r="Y355" s="41"/>
      <c r="Z355" s="40"/>
      <c r="AA355" s="43"/>
      <c r="AB355" s="41"/>
      <c r="AC355" s="41"/>
      <c r="AD355" s="41"/>
      <c r="AE355" s="41"/>
      <c r="AF355" s="41"/>
    </row>
    <row r="356">
      <c r="A356" s="32">
        <v>1.0</v>
      </c>
      <c r="B356" s="32" t="s">
        <v>783</v>
      </c>
      <c r="C356" s="33">
        <v>225.0</v>
      </c>
      <c r="D356" s="33">
        <v>4.0</v>
      </c>
      <c r="E356" s="34">
        <v>43621.0</v>
      </c>
      <c r="F356" s="35" t="str">
        <f>HYPERLINK("https://www.liputan6.com/global/read/3958091/brunei-tunda-penerapan-hukuman-rajam-sampai-mati-untuk-seks-gay ","sumber")</f>
        <v>sumber</v>
      </c>
      <c r="G356" s="33" t="s">
        <v>33</v>
      </c>
      <c r="H356" s="36"/>
      <c r="I356" s="33">
        <v>4.0</v>
      </c>
      <c r="J356" s="33">
        <v>3.0</v>
      </c>
      <c r="K356" s="33" t="s">
        <v>784</v>
      </c>
      <c r="L356" s="33">
        <v>0.0</v>
      </c>
      <c r="M356" s="33">
        <v>0.0</v>
      </c>
      <c r="N356" s="37">
        <v>0.0</v>
      </c>
      <c r="O356" s="33">
        <v>0.0</v>
      </c>
      <c r="P356" s="33">
        <v>0.0</v>
      </c>
      <c r="Q356" s="33">
        <v>0.0</v>
      </c>
      <c r="R356" s="33">
        <v>-1.0</v>
      </c>
      <c r="S356" s="36"/>
      <c r="T356" s="33">
        <v>0.0</v>
      </c>
      <c r="U356" s="33">
        <v>0.0</v>
      </c>
      <c r="V356" s="33">
        <v>1.0</v>
      </c>
      <c r="W356" s="36"/>
      <c r="X356" s="36"/>
      <c r="Y356" s="36"/>
      <c r="Z356" s="36"/>
      <c r="AA356" s="36"/>
      <c r="AB356" s="36"/>
      <c r="AC356" s="36"/>
      <c r="AD356" s="36"/>
      <c r="AE356" s="36"/>
      <c r="AF356" s="36"/>
    </row>
    <row r="357">
      <c r="A357" s="24">
        <v>1.0</v>
      </c>
      <c r="B357" s="24" t="s">
        <v>785</v>
      </c>
      <c r="C357" s="25">
        <v>226.0</v>
      </c>
      <c r="D357" s="25">
        <v>9.0</v>
      </c>
      <c r="E357" s="26">
        <v>43621.0</v>
      </c>
      <c r="F357" s="27" t="str">
        <f>HYPERLINK("https://internasional.republika.co.id/berita/internasional/asia/pr2lqf382/brunei-darussalam-tunda-hukuman-mati-untuk-homoseksual ","sumber")</f>
        <v>sumber</v>
      </c>
      <c r="G357" s="25" t="s">
        <v>33</v>
      </c>
      <c r="H357" s="25">
        <v>430.0</v>
      </c>
      <c r="I357" s="25">
        <v>4.0</v>
      </c>
      <c r="J357" s="25">
        <v>3.0</v>
      </c>
      <c r="K357" s="25" t="s">
        <v>786</v>
      </c>
      <c r="L357" s="25">
        <v>0.0</v>
      </c>
      <c r="M357" s="25">
        <v>0.0</v>
      </c>
      <c r="N357" s="38">
        <v>0.0</v>
      </c>
      <c r="O357" s="25">
        <v>0.0</v>
      </c>
      <c r="P357" s="25">
        <v>0.0</v>
      </c>
      <c r="Q357" s="25" t="s">
        <v>89</v>
      </c>
      <c r="R357" s="25" t="s">
        <v>787</v>
      </c>
      <c r="S357" s="29"/>
      <c r="T357" s="25">
        <v>0.0</v>
      </c>
      <c r="U357" s="25">
        <v>0.0</v>
      </c>
      <c r="V357" s="25">
        <v>1.0</v>
      </c>
      <c r="W357" s="29"/>
      <c r="X357" s="29"/>
      <c r="Y357" s="29"/>
      <c r="Z357" s="29"/>
      <c r="AA357" s="29"/>
      <c r="AB357" s="29"/>
      <c r="AC357" s="29"/>
      <c r="AD357" s="29"/>
      <c r="AE357" s="29"/>
      <c r="AF357" s="29"/>
    </row>
    <row r="358">
      <c r="A358" s="39">
        <v>2.0</v>
      </c>
      <c r="B358" s="39" t="s">
        <v>788</v>
      </c>
      <c r="C358" s="40">
        <v>227.0</v>
      </c>
      <c r="D358" s="40">
        <v>4.0</v>
      </c>
      <c r="E358" s="53">
        <v>43651.0</v>
      </c>
      <c r="F358" s="42" t="str">
        <f>HYPERLINK("https://www.liputan6.com/lifestyle/read/3959196/pilihan-busana-di-met-gala-2019-bikin-harry-styles-disebut-gay ","sumber")</f>
        <v>sumber</v>
      </c>
      <c r="G358" s="40" t="s">
        <v>33</v>
      </c>
      <c r="H358" s="41"/>
      <c r="I358" s="40"/>
      <c r="J358" s="40">
        <v>3.0</v>
      </c>
      <c r="K358" s="41"/>
      <c r="L358" s="41"/>
      <c r="M358" s="41"/>
      <c r="N358" s="41"/>
      <c r="O358" s="41"/>
      <c r="P358" s="41"/>
      <c r="Q358" s="41"/>
      <c r="R358" s="41"/>
      <c r="S358" s="41"/>
      <c r="T358" s="41"/>
      <c r="U358" s="41"/>
      <c r="V358" s="41"/>
      <c r="W358" s="41"/>
      <c r="X358" s="41"/>
      <c r="Y358" s="41"/>
      <c r="Z358" s="40"/>
      <c r="AA358" s="43"/>
      <c r="AB358" s="41"/>
      <c r="AC358" s="41"/>
      <c r="AD358" s="41"/>
      <c r="AE358" s="41"/>
      <c r="AF358" s="41"/>
    </row>
    <row r="359">
      <c r="A359" s="39">
        <v>2.0</v>
      </c>
      <c r="B359" s="39" t="s">
        <v>789</v>
      </c>
      <c r="C359" s="40">
        <v>228.0</v>
      </c>
      <c r="D359" s="40">
        <v>10.0</v>
      </c>
      <c r="E359" s="41"/>
      <c r="F359" s="42" t="str">
        <f>HYPERLINK("https://kolom.tempo.co/read/1202712/peran-kultural-nu-dan-muhammadiyah-dalam-pemilu ","sumber")</f>
        <v>sumber</v>
      </c>
      <c r="G359" s="40" t="s">
        <v>33</v>
      </c>
      <c r="H359" s="41"/>
      <c r="I359" s="41"/>
      <c r="J359" s="40">
        <v>3.0</v>
      </c>
      <c r="K359" s="41"/>
      <c r="L359" s="41"/>
      <c r="M359" s="41"/>
      <c r="N359" s="41"/>
      <c r="O359" s="41"/>
      <c r="P359" s="41"/>
      <c r="Q359" s="41"/>
      <c r="R359" s="41"/>
      <c r="S359" s="41"/>
      <c r="T359" s="41"/>
      <c r="U359" s="41"/>
      <c r="V359" s="41"/>
      <c r="W359" s="41"/>
      <c r="X359" s="41"/>
      <c r="Y359" s="41"/>
      <c r="Z359" s="40"/>
      <c r="AA359" s="43"/>
      <c r="AB359" s="41"/>
      <c r="AC359" s="41"/>
      <c r="AD359" s="41"/>
      <c r="AE359" s="41"/>
      <c r="AF359" s="41"/>
    </row>
    <row r="360">
      <c r="A360" s="39">
        <v>2.0</v>
      </c>
      <c r="B360" s="39" t="s">
        <v>790</v>
      </c>
      <c r="C360" s="40">
        <v>229.0</v>
      </c>
      <c r="D360" s="40">
        <v>1.0</v>
      </c>
      <c r="E360" s="41"/>
      <c r="F360" s="42" t="str">
        <f>HYPERLINK("https://news.detik.com/berita-jawa-timur/d-4541167/ini-tanggapan-fpi-surabaya-soal-petisi-tolak-perpanjangan-izin-ormas ","sumber")</f>
        <v>sumber</v>
      </c>
      <c r="G360" s="40" t="s">
        <v>33</v>
      </c>
      <c r="H360" s="41"/>
      <c r="I360" s="41"/>
      <c r="J360" s="40">
        <v>3.0</v>
      </c>
      <c r="K360" s="41"/>
      <c r="L360" s="41"/>
      <c r="M360" s="41"/>
      <c r="N360" s="41"/>
      <c r="O360" s="41"/>
      <c r="P360" s="41"/>
      <c r="Q360" s="41"/>
      <c r="R360" s="41"/>
      <c r="S360" s="41"/>
      <c r="T360" s="41"/>
      <c r="U360" s="41"/>
      <c r="V360" s="41"/>
      <c r="W360" s="41"/>
      <c r="X360" s="41"/>
      <c r="Y360" s="41"/>
      <c r="Z360" s="40"/>
      <c r="AA360" s="43"/>
      <c r="AB360" s="41"/>
      <c r="AC360" s="41"/>
      <c r="AD360" s="41"/>
      <c r="AE360" s="41"/>
      <c r="AF360" s="41"/>
    </row>
    <row r="361">
      <c r="A361" s="39">
        <v>2.0</v>
      </c>
      <c r="B361" s="39" t="s">
        <v>791</v>
      </c>
      <c r="C361" s="40">
        <v>230.0</v>
      </c>
      <c r="D361" s="40">
        <v>5.0</v>
      </c>
      <c r="E361" s="41"/>
      <c r="F361" s="42" t="str">
        <f>HYPERLINK("https://tirto.id/prediksi-valencia-vs-arsenal-tren-buruk-gunners-di-laga-tandang-duZ6 ","sumber")</f>
        <v>sumber</v>
      </c>
      <c r="G361" s="40" t="s">
        <v>33</v>
      </c>
      <c r="H361" s="41"/>
      <c r="I361" s="41"/>
      <c r="J361" s="40">
        <v>3.0</v>
      </c>
      <c r="K361" s="41"/>
      <c r="L361" s="41"/>
      <c r="M361" s="41"/>
      <c r="N361" s="41"/>
      <c r="O361" s="41"/>
      <c r="P361" s="41"/>
      <c r="Q361" s="41"/>
      <c r="R361" s="41"/>
      <c r="S361" s="41"/>
      <c r="T361" s="41"/>
      <c r="U361" s="41"/>
      <c r="V361" s="41"/>
      <c r="W361" s="41"/>
      <c r="X361" s="41"/>
      <c r="Y361" s="41"/>
      <c r="Z361" s="40"/>
      <c r="AA361" s="43"/>
      <c r="AB361" s="41"/>
      <c r="AC361" s="41"/>
      <c r="AD361" s="41"/>
      <c r="AE361" s="41"/>
      <c r="AF361" s="41"/>
    </row>
    <row r="362">
      <c r="A362" s="24">
        <v>1.0</v>
      </c>
      <c r="B362" s="24" t="s">
        <v>792</v>
      </c>
      <c r="C362" s="25">
        <v>231.0</v>
      </c>
      <c r="D362" s="25">
        <v>7.0</v>
      </c>
      <c r="E362" s="25" t="s">
        <v>793</v>
      </c>
      <c r="F362" s="27" t="str">
        <f>HYPERLINK("http://www.tribunnews.com/metropolitan/2019/05/17/empat-waria-terjaring-razia-satpol-pp-di-apartemen-modernland-tangerang ","sumber")</f>
        <v>sumber</v>
      </c>
      <c r="G362" s="25" t="s">
        <v>33</v>
      </c>
      <c r="H362" s="25">
        <v>20.0</v>
      </c>
      <c r="I362" s="25">
        <v>1.0</v>
      </c>
      <c r="J362" s="25">
        <v>3.0</v>
      </c>
      <c r="K362" s="25" t="s">
        <v>794</v>
      </c>
      <c r="L362" s="25">
        <v>0.0</v>
      </c>
      <c r="M362" s="25">
        <v>-1.0</v>
      </c>
      <c r="N362" s="38">
        <v>0.0</v>
      </c>
      <c r="O362" s="25">
        <v>0.0</v>
      </c>
      <c r="P362" s="25">
        <v>0.0</v>
      </c>
      <c r="Q362" s="25">
        <v>0.0</v>
      </c>
      <c r="R362" s="25">
        <v>0.0</v>
      </c>
      <c r="S362" s="25" t="s">
        <v>795</v>
      </c>
      <c r="T362" s="25">
        <v>2.0</v>
      </c>
      <c r="U362" s="25">
        <v>0.0</v>
      </c>
      <c r="V362" s="25">
        <v>0.0</v>
      </c>
      <c r="W362" s="29"/>
      <c r="X362" s="29"/>
      <c r="Y362" s="29"/>
      <c r="Z362" s="29"/>
      <c r="AA362" s="29"/>
      <c r="AB362" s="29"/>
      <c r="AC362" s="29"/>
      <c r="AD362" s="29"/>
      <c r="AE362" s="29"/>
      <c r="AF362" s="29"/>
    </row>
    <row r="363">
      <c r="A363" s="24">
        <v>1.0</v>
      </c>
      <c r="B363" s="24" t="s">
        <v>796</v>
      </c>
      <c r="C363" s="25">
        <v>232.0</v>
      </c>
      <c r="D363" s="25">
        <v>8.0</v>
      </c>
      <c r="E363" s="25" t="s">
        <v>237</v>
      </c>
      <c r="F363" s="27" t="str">
        <f>HYPERLINK("https://www.suara.com/entertainment/2019/05/21/170903/sosok-pacar-baru-lucinta-luna-terungkap-nama-aslinya-ester ","sumber")</f>
        <v>sumber</v>
      </c>
      <c r="G363" s="25" t="s">
        <v>33</v>
      </c>
      <c r="H363" s="25">
        <v>287.0</v>
      </c>
      <c r="I363" s="25">
        <v>2.0</v>
      </c>
      <c r="J363" s="25">
        <v>3.0</v>
      </c>
      <c r="K363" s="25" t="s">
        <v>797</v>
      </c>
      <c r="L363" s="25">
        <v>0.0</v>
      </c>
      <c r="M363" s="25">
        <v>0.0</v>
      </c>
      <c r="N363" s="38">
        <v>0.0</v>
      </c>
      <c r="O363" s="25">
        <v>0.0</v>
      </c>
      <c r="P363" s="25">
        <v>0.0</v>
      </c>
      <c r="Q363" s="25" t="s">
        <v>202</v>
      </c>
      <c r="R363" s="25" t="s">
        <v>798</v>
      </c>
      <c r="S363" s="25" t="s">
        <v>798</v>
      </c>
      <c r="T363" s="25">
        <v>5.0</v>
      </c>
      <c r="U363" s="25">
        <v>0.0</v>
      </c>
      <c r="V363" s="25">
        <v>0.0</v>
      </c>
      <c r="W363" s="29"/>
      <c r="X363" s="29"/>
      <c r="Y363" s="29"/>
      <c r="Z363" s="29"/>
      <c r="AA363" s="29"/>
      <c r="AB363" s="29"/>
      <c r="AC363" s="29"/>
      <c r="AD363" s="29"/>
      <c r="AE363" s="29"/>
      <c r="AF363" s="29"/>
    </row>
    <row r="364">
      <c r="A364" s="39">
        <v>2.0</v>
      </c>
      <c r="B364" s="39" t="s">
        <v>799</v>
      </c>
      <c r="C364" s="40">
        <v>233.0</v>
      </c>
      <c r="D364" s="40">
        <v>1.0</v>
      </c>
      <c r="E364" s="41"/>
      <c r="F364" s="42" t="str">
        <f>HYPERLINK("https://news.detik.com/berita/d-4554510/trio-pepes-diancam-6-tahun-bui-tkn-jokowi-ambil-hikmahnya ","sumber")</f>
        <v>sumber</v>
      </c>
      <c r="G364" s="40" t="s">
        <v>33</v>
      </c>
      <c r="H364" s="41"/>
      <c r="I364" s="41"/>
      <c r="J364" s="40">
        <v>3.0</v>
      </c>
      <c r="K364" s="41"/>
      <c r="L364" s="41"/>
      <c r="M364" s="41"/>
      <c r="N364" s="41"/>
      <c r="O364" s="41"/>
      <c r="P364" s="41"/>
      <c r="Q364" s="41"/>
      <c r="R364" s="41"/>
      <c r="S364" s="41"/>
      <c r="T364" s="41"/>
      <c r="U364" s="41"/>
      <c r="V364" s="41"/>
      <c r="W364" s="41"/>
      <c r="X364" s="41"/>
      <c r="Y364" s="41"/>
      <c r="Z364" s="40"/>
      <c r="AA364" s="43"/>
      <c r="AB364" s="41"/>
      <c r="AC364" s="41"/>
      <c r="AD364" s="41"/>
      <c r="AE364" s="41"/>
      <c r="AF364" s="41"/>
    </row>
    <row r="365">
      <c r="A365" s="58">
        <v>1.0</v>
      </c>
      <c r="B365" s="58" t="s">
        <v>800</v>
      </c>
      <c r="C365" s="59">
        <v>234.0</v>
      </c>
      <c r="D365" s="59">
        <v>1.0</v>
      </c>
      <c r="E365" s="59" t="s">
        <v>390</v>
      </c>
      <c r="F365" s="61" t="str">
        <f>HYPERLINK("https://news.detik.com/berita-jawa-tengah/d-4555373/kapolda-jateng-tegaskan-kasus-tt-karena-merusak-nama-baik-polri ","sumber")</f>
        <v>sumber</v>
      </c>
      <c r="G365" s="59" t="s">
        <v>33</v>
      </c>
      <c r="H365" s="62"/>
      <c r="I365" s="59">
        <v>1.0</v>
      </c>
      <c r="J365" s="59">
        <v>3.0</v>
      </c>
      <c r="K365" s="59" t="s">
        <v>801</v>
      </c>
      <c r="L365" s="59">
        <v>0.0</v>
      </c>
      <c r="M365" s="59">
        <v>-1.0</v>
      </c>
      <c r="N365" s="65">
        <v>0.0</v>
      </c>
      <c r="O365" s="59">
        <v>0.0</v>
      </c>
      <c r="P365" s="59">
        <v>0.0</v>
      </c>
      <c r="Q365" s="59">
        <v>0.0</v>
      </c>
      <c r="R365" s="59">
        <v>-1.0</v>
      </c>
      <c r="S365" s="59" t="s">
        <v>802</v>
      </c>
      <c r="T365" s="59">
        <v>1.0</v>
      </c>
      <c r="U365" s="59">
        <v>0.0</v>
      </c>
      <c r="V365" s="59">
        <v>0.0</v>
      </c>
      <c r="W365" s="62"/>
      <c r="X365" s="62"/>
      <c r="Y365" s="62"/>
      <c r="Z365" s="62"/>
      <c r="AA365" s="62"/>
      <c r="AB365" s="62"/>
      <c r="AC365" s="62"/>
      <c r="AD365" s="62"/>
      <c r="AE365" s="62"/>
      <c r="AF365" s="62"/>
    </row>
    <row r="366">
      <c r="A366" s="32">
        <v>1.0</v>
      </c>
      <c r="B366" s="32" t="s">
        <v>803</v>
      </c>
      <c r="C366" s="33">
        <v>235.0</v>
      </c>
      <c r="D366" s="33">
        <v>5.0</v>
      </c>
      <c r="E366" s="33" t="s">
        <v>244</v>
      </c>
      <c r="F366" s="35" t="str">
        <f>HYPERLINK("https://tirto.id/pengacara-polisi-gay-bantah-kliennya-lakukan-tindakan-indisipliner-dSkE ","sumber")</f>
        <v>sumber</v>
      </c>
      <c r="G366" s="33" t="s">
        <v>33</v>
      </c>
      <c r="H366" s="36"/>
      <c r="I366" s="33">
        <v>1.0</v>
      </c>
      <c r="J366" s="33">
        <v>3.0</v>
      </c>
      <c r="K366" s="33" t="s">
        <v>804</v>
      </c>
      <c r="L366" s="33">
        <v>0.0</v>
      </c>
      <c r="M366" s="33">
        <v>1.0</v>
      </c>
      <c r="N366" s="37">
        <v>0.0</v>
      </c>
      <c r="O366" s="33">
        <v>0.0</v>
      </c>
      <c r="P366" s="33">
        <v>0.0</v>
      </c>
      <c r="Q366" s="33">
        <v>0.0</v>
      </c>
      <c r="R366" s="33">
        <v>1.0</v>
      </c>
      <c r="S366" s="36"/>
      <c r="T366" s="33">
        <v>0.0</v>
      </c>
      <c r="U366" s="33">
        <v>0.0</v>
      </c>
      <c r="V366" s="33">
        <v>0.0</v>
      </c>
      <c r="W366" s="36"/>
      <c r="X366" s="36"/>
      <c r="Y366" s="36"/>
      <c r="Z366" s="36"/>
      <c r="AA366" s="36"/>
      <c r="AB366" s="36"/>
      <c r="AC366" s="36"/>
      <c r="AD366" s="36"/>
      <c r="AE366" s="36"/>
      <c r="AF366" s="36"/>
    </row>
    <row r="367">
      <c r="A367" s="32">
        <v>1.0</v>
      </c>
      <c r="B367" s="32" t="s">
        <v>805</v>
      </c>
      <c r="C367" s="33">
        <v>236.0</v>
      </c>
      <c r="D367" s="33">
        <v>4.0</v>
      </c>
      <c r="E367" s="33" t="s">
        <v>590</v>
      </c>
      <c r="F367" s="35" t="str">
        <f>HYPERLINK("https://www.liputan6.com/global/read/3973251/23-5-2015-perdana-irlandia-sahkan-pernikahan-sesama-jenis ","sumber")</f>
        <v>sumber</v>
      </c>
      <c r="G367" s="33" t="s">
        <v>33</v>
      </c>
      <c r="H367" s="36"/>
      <c r="I367" s="33">
        <v>4.0</v>
      </c>
      <c r="J367" s="33">
        <v>3.0</v>
      </c>
      <c r="K367" s="33" t="s">
        <v>806</v>
      </c>
      <c r="L367" s="33">
        <v>0.0</v>
      </c>
      <c r="M367" s="33">
        <v>0.0</v>
      </c>
      <c r="N367" s="37">
        <v>0.0</v>
      </c>
      <c r="O367" s="33">
        <v>0.0</v>
      </c>
      <c r="P367" s="33">
        <v>0.0</v>
      </c>
      <c r="Q367" s="33" t="s">
        <v>89</v>
      </c>
      <c r="R367" s="33" t="s">
        <v>807</v>
      </c>
      <c r="S367" s="36"/>
      <c r="T367" s="33">
        <v>0.0</v>
      </c>
      <c r="U367" s="33">
        <v>0.0</v>
      </c>
      <c r="V367" s="33">
        <v>1.0</v>
      </c>
      <c r="W367" s="36"/>
      <c r="X367" s="36"/>
      <c r="Y367" s="36"/>
      <c r="Z367" s="36"/>
      <c r="AA367" s="36"/>
      <c r="AB367" s="36"/>
      <c r="AC367" s="36"/>
      <c r="AD367" s="36"/>
      <c r="AE367" s="36"/>
      <c r="AF367" s="36"/>
    </row>
    <row r="368">
      <c r="A368" s="39">
        <v>2.0</v>
      </c>
      <c r="B368" s="39" t="s">
        <v>808</v>
      </c>
      <c r="C368" s="40">
        <v>237.0</v>
      </c>
      <c r="D368" s="40">
        <v>9.0</v>
      </c>
      <c r="E368" s="41"/>
      <c r="F368" s="42" t="str">
        <f>HYPERLINK("https://republika.co.id/berita/pendidikan/dunia-kampus/ps7u03320/bnpt-tak-ada-kampus-kebal-dari-radikalisme ","sumber")</f>
        <v>sumber</v>
      </c>
      <c r="G368" s="40" t="s">
        <v>33</v>
      </c>
      <c r="H368" s="41"/>
      <c r="I368" s="41"/>
      <c r="J368" s="40">
        <v>3.0</v>
      </c>
      <c r="K368" s="41"/>
      <c r="L368" s="41"/>
      <c r="M368" s="41"/>
      <c r="N368" s="41"/>
      <c r="O368" s="41"/>
      <c r="P368" s="41"/>
      <c r="Q368" s="41"/>
      <c r="R368" s="41"/>
      <c r="S368" s="41"/>
      <c r="T368" s="41"/>
      <c r="U368" s="41"/>
      <c r="V368" s="41"/>
      <c r="W368" s="41"/>
      <c r="X368" s="41"/>
      <c r="Y368" s="41"/>
      <c r="Z368" s="40"/>
      <c r="AA368" s="43"/>
      <c r="AB368" s="41"/>
      <c r="AC368" s="41"/>
      <c r="AD368" s="41"/>
      <c r="AE368" s="41"/>
      <c r="AF368" s="41"/>
    </row>
    <row r="369">
      <c r="A369" s="24">
        <v>1.0</v>
      </c>
      <c r="B369" s="24" t="s">
        <v>809</v>
      </c>
      <c r="C369" s="25">
        <v>238.0</v>
      </c>
      <c r="D369" s="25">
        <v>9.0</v>
      </c>
      <c r="E369" s="26">
        <v>43682.0</v>
      </c>
      <c r="F369" s="27" t="str">
        <f>HYPERLINK("https://senggang.republika.co.id/berita/senggang/film/pr6ngu459/ltemgtkucumbu-tubuh-indahkultemgt-dinilai-tak-sesuai-adat-basandi-syara ","sumber")</f>
        <v>sumber</v>
      </c>
      <c r="G369" s="25" t="s">
        <v>33</v>
      </c>
      <c r="H369" s="25">
        <v>334.0</v>
      </c>
      <c r="I369" s="25">
        <v>1.0</v>
      </c>
      <c r="J369" s="25">
        <v>3.0</v>
      </c>
      <c r="K369" s="25" t="s">
        <v>810</v>
      </c>
      <c r="L369" s="25">
        <v>0.0</v>
      </c>
      <c r="M369" s="25">
        <v>-1.0</v>
      </c>
      <c r="N369" s="38">
        <v>0.0</v>
      </c>
      <c r="O369" s="25">
        <v>0.0</v>
      </c>
      <c r="P369" s="25">
        <v>0.0</v>
      </c>
      <c r="Q369" s="25">
        <v>0.0</v>
      </c>
      <c r="R369" s="25">
        <v>-1.0</v>
      </c>
      <c r="S369" s="25" t="s">
        <v>811</v>
      </c>
      <c r="T369" s="25">
        <v>3.0</v>
      </c>
      <c r="U369" s="25">
        <v>0.0</v>
      </c>
      <c r="V369" s="25">
        <v>0.0</v>
      </c>
      <c r="W369" s="29"/>
      <c r="X369" s="29"/>
      <c r="Y369" s="29"/>
      <c r="Z369" s="29"/>
      <c r="AA369" s="29"/>
      <c r="AB369" s="29"/>
      <c r="AC369" s="29"/>
      <c r="AD369" s="29"/>
      <c r="AE369" s="29"/>
      <c r="AF369" s="29"/>
    </row>
    <row r="370">
      <c r="A370" s="32">
        <v>1.0</v>
      </c>
      <c r="B370" s="32" t="s">
        <v>812</v>
      </c>
      <c r="C370" s="33">
        <v>239.0</v>
      </c>
      <c r="D370" s="33">
        <v>7.0</v>
      </c>
      <c r="E370" s="34">
        <v>43561.0</v>
      </c>
      <c r="F370" s="35" t="str">
        <f>HYPERLINK("http://www.tribunnews.com/seleb/2019/06/04/posting-foto-diri-gendong-balita-yang-diklaim-anaknya-lucinta-luna-membayangkan-jadi-seorang-ibu ","sumber")</f>
        <v>sumber</v>
      </c>
      <c r="G370" s="33" t="s">
        <v>33</v>
      </c>
      <c r="H370" s="36"/>
      <c r="I370" s="33">
        <v>1.0</v>
      </c>
      <c r="J370" s="33">
        <v>3.0</v>
      </c>
      <c r="K370" s="33" t="s">
        <v>813</v>
      </c>
      <c r="L370" s="33">
        <v>0.0</v>
      </c>
      <c r="M370" s="33">
        <v>0.0</v>
      </c>
      <c r="N370" s="37">
        <v>0.0</v>
      </c>
      <c r="O370" s="33">
        <v>0.0</v>
      </c>
      <c r="P370" s="33">
        <v>0.0</v>
      </c>
      <c r="Q370" s="33" t="s">
        <v>814</v>
      </c>
      <c r="R370" s="33" t="s">
        <v>815</v>
      </c>
      <c r="S370" s="36"/>
      <c r="T370" s="33">
        <v>0.0</v>
      </c>
      <c r="U370" s="33">
        <v>0.0</v>
      </c>
      <c r="V370" s="33">
        <v>0.0</v>
      </c>
      <c r="W370" s="36"/>
      <c r="X370" s="36"/>
      <c r="Y370" s="36"/>
      <c r="Z370" s="36"/>
      <c r="AA370" s="36"/>
      <c r="AB370" s="36"/>
      <c r="AC370" s="36"/>
      <c r="AD370" s="36"/>
      <c r="AE370" s="36"/>
      <c r="AF370" s="36"/>
    </row>
    <row r="371">
      <c r="A371" s="32">
        <v>1.0</v>
      </c>
      <c r="B371" s="32" t="s">
        <v>816</v>
      </c>
      <c r="C371" s="33">
        <v>240.0</v>
      </c>
      <c r="D371" s="33">
        <v>4.0</v>
      </c>
      <c r="E371" s="34">
        <v>43622.0</v>
      </c>
      <c r="F371" s="35" t="str">
        <f>HYPERLINK("https://www.liputan6.com/showbiz/read/3983916/disangka-mengaku-sebagai-lgbt-sunmi-beri-klarifikasi ","sumber")</f>
        <v>sumber</v>
      </c>
      <c r="G371" s="33" t="s">
        <v>33</v>
      </c>
      <c r="H371" s="36"/>
      <c r="I371" s="33">
        <v>2.0</v>
      </c>
      <c r="J371" s="33">
        <v>3.0</v>
      </c>
      <c r="K371" s="33" t="s">
        <v>817</v>
      </c>
      <c r="L371" s="33">
        <v>0.0</v>
      </c>
      <c r="M371" s="33">
        <v>0.0</v>
      </c>
      <c r="N371" s="37">
        <v>0.0</v>
      </c>
      <c r="O371" s="33">
        <v>0.0</v>
      </c>
      <c r="P371" s="33">
        <v>0.0</v>
      </c>
      <c r="Q371" s="33" t="s">
        <v>61</v>
      </c>
      <c r="R371" s="33" t="s">
        <v>61</v>
      </c>
      <c r="S371" s="36"/>
      <c r="T371" s="33">
        <v>0.0</v>
      </c>
      <c r="U371" s="33">
        <v>0.0</v>
      </c>
      <c r="V371" s="33">
        <v>0.0</v>
      </c>
      <c r="W371" s="36"/>
      <c r="X371" s="36"/>
      <c r="Y371" s="36"/>
      <c r="Z371" s="36"/>
      <c r="AA371" s="36"/>
      <c r="AB371" s="36"/>
      <c r="AC371" s="36"/>
      <c r="AD371" s="36"/>
      <c r="AE371" s="36"/>
      <c r="AF371" s="36"/>
    </row>
    <row r="372">
      <c r="A372" s="58">
        <v>1.0</v>
      </c>
      <c r="B372" s="58" t="s">
        <v>818</v>
      </c>
      <c r="C372" s="59">
        <v>241.0</v>
      </c>
      <c r="D372" s="59">
        <v>8.0</v>
      </c>
      <c r="E372" s="60">
        <v>43683.0</v>
      </c>
      <c r="F372" s="61" t="str">
        <f>HYPERLINK("https://www.suara.com/entertainment/2019/06/08/113930/pasang-bendera-pelangi-nikita-mirzani-dukung-lgbt ","sumber")</f>
        <v>sumber</v>
      </c>
      <c r="G372" s="59" t="s">
        <v>33</v>
      </c>
      <c r="H372" s="62"/>
      <c r="I372" s="59">
        <v>2.0</v>
      </c>
      <c r="J372" s="59">
        <v>3.0</v>
      </c>
      <c r="K372" s="59" t="s">
        <v>819</v>
      </c>
      <c r="L372" s="59">
        <v>0.0</v>
      </c>
      <c r="M372" s="59">
        <v>0.0</v>
      </c>
      <c r="N372" s="65">
        <v>0.0</v>
      </c>
      <c r="O372" s="59">
        <v>0.0</v>
      </c>
      <c r="P372" s="59">
        <v>0.0</v>
      </c>
      <c r="Q372" s="59" t="s">
        <v>820</v>
      </c>
      <c r="R372" s="59" t="s">
        <v>821</v>
      </c>
      <c r="S372" s="62"/>
      <c r="T372" s="59">
        <v>0.0</v>
      </c>
      <c r="U372" s="59">
        <v>0.0</v>
      </c>
      <c r="V372" s="59">
        <v>0.0</v>
      </c>
      <c r="W372" s="62"/>
      <c r="X372" s="62"/>
      <c r="Y372" s="62"/>
      <c r="Z372" s="62"/>
      <c r="AA372" s="62"/>
      <c r="AB372" s="62"/>
      <c r="AC372" s="62"/>
      <c r="AD372" s="62"/>
      <c r="AE372" s="62"/>
      <c r="AF372" s="62"/>
    </row>
    <row r="373">
      <c r="A373" s="24">
        <v>1.0</v>
      </c>
      <c r="B373" s="24" t="s">
        <v>822</v>
      </c>
      <c r="C373" s="25">
        <v>242.0</v>
      </c>
      <c r="D373" s="25">
        <v>5.0</v>
      </c>
      <c r="E373" s="26">
        <v>43591.0</v>
      </c>
      <c r="F373" s="27" t="str">
        <f>HYPERLINK("https://tirto.id/suka-duka-para-waria-belajar-agama-di-pesantren-al-fatah-yogyakarta-d9uV ","sumber")</f>
        <v>sumber</v>
      </c>
      <c r="G373" s="25" t="s">
        <v>33</v>
      </c>
      <c r="H373" s="25">
        <v>1216.0</v>
      </c>
      <c r="I373" s="25">
        <v>2.0</v>
      </c>
      <c r="J373" s="25">
        <v>3.0</v>
      </c>
      <c r="K373" s="25" t="s">
        <v>823</v>
      </c>
      <c r="L373" s="25">
        <v>0.0</v>
      </c>
      <c r="M373" s="25">
        <v>0.0</v>
      </c>
      <c r="N373" s="38">
        <v>0.0</v>
      </c>
      <c r="O373" s="25">
        <v>0.0</v>
      </c>
      <c r="P373" s="25">
        <v>0.0</v>
      </c>
      <c r="Q373" s="25" t="s">
        <v>824</v>
      </c>
      <c r="R373" s="25" t="s">
        <v>392</v>
      </c>
      <c r="S373" s="29"/>
      <c r="T373" s="25">
        <v>0.0</v>
      </c>
      <c r="U373" s="25">
        <v>0.0</v>
      </c>
      <c r="V373" s="25">
        <v>0.0</v>
      </c>
      <c r="W373" s="29"/>
      <c r="X373" s="29"/>
      <c r="Y373" s="29"/>
      <c r="Z373" s="29"/>
      <c r="AA373" s="29"/>
      <c r="AB373" s="29"/>
      <c r="AC373" s="29"/>
      <c r="AD373" s="29"/>
      <c r="AE373" s="29"/>
      <c r="AF373" s="29"/>
    </row>
    <row r="374">
      <c r="A374" s="32">
        <v>1.0</v>
      </c>
      <c r="B374" s="32" t="s">
        <v>825</v>
      </c>
      <c r="C374" s="33">
        <v>243.0</v>
      </c>
      <c r="D374" s="33">
        <v>9.0</v>
      </c>
      <c r="E374" s="33" t="s">
        <v>259</v>
      </c>
      <c r="F374" s="35" t="str">
        <f>HYPERLINK("https://gayahidup.republika.co.id/berita/gaya-hidup/parenting/pt4y74368/penyebab-perilaku-menyimpang-pada-anak ","sumber")</f>
        <v>sumber</v>
      </c>
      <c r="G374" s="33" t="s">
        <v>33</v>
      </c>
      <c r="H374" s="36"/>
      <c r="I374" s="33">
        <v>2.0</v>
      </c>
      <c r="J374" s="33">
        <v>3.0</v>
      </c>
      <c r="K374" s="33" t="s">
        <v>826</v>
      </c>
      <c r="L374" s="33">
        <v>0.0</v>
      </c>
      <c r="M374" s="33">
        <v>0.0</v>
      </c>
      <c r="N374" s="37">
        <v>0.0</v>
      </c>
      <c r="O374" s="33">
        <v>0.0</v>
      </c>
      <c r="P374" s="33">
        <v>0.0</v>
      </c>
      <c r="Q374" s="33">
        <v>0.0</v>
      </c>
      <c r="R374" s="33">
        <v>-1.0</v>
      </c>
      <c r="S374" s="33" t="s">
        <v>827</v>
      </c>
      <c r="T374" s="33">
        <v>1.0</v>
      </c>
      <c r="U374" s="33">
        <v>0.0</v>
      </c>
      <c r="V374" s="33">
        <v>0.0</v>
      </c>
      <c r="W374" s="36"/>
      <c r="X374" s="36"/>
      <c r="Y374" s="36"/>
      <c r="Z374" s="36"/>
      <c r="AA374" s="36"/>
      <c r="AB374" s="36"/>
      <c r="AC374" s="36"/>
      <c r="AD374" s="36"/>
      <c r="AE374" s="36"/>
      <c r="AF374" s="36"/>
    </row>
    <row r="375">
      <c r="A375" s="32">
        <v>1.0</v>
      </c>
      <c r="B375" s="32" t="s">
        <v>828</v>
      </c>
      <c r="C375" s="33">
        <v>244.0</v>
      </c>
      <c r="D375" s="33">
        <v>10.0</v>
      </c>
      <c r="E375" s="33" t="s">
        <v>259</v>
      </c>
      <c r="F375" s="35" t="str">
        <f>HYPERLINK("https://gaya.tempo.co/read/1214966/perilaku-menyimpang-pada-anak-karena-kurang-penghargaan ","sumber")</f>
        <v>sumber</v>
      </c>
      <c r="G375" s="33" t="s">
        <v>33</v>
      </c>
      <c r="H375" s="36"/>
      <c r="I375" s="33">
        <v>2.0</v>
      </c>
      <c r="J375" s="33">
        <v>3.0</v>
      </c>
      <c r="K375" s="33" t="s">
        <v>826</v>
      </c>
      <c r="L375" s="33">
        <v>0.0</v>
      </c>
      <c r="M375" s="33">
        <v>0.0</v>
      </c>
      <c r="N375" s="37">
        <v>0.0</v>
      </c>
      <c r="O375" s="33">
        <v>0.0</v>
      </c>
      <c r="P375" s="33">
        <v>0.0</v>
      </c>
      <c r="Q375" s="33">
        <v>0.0</v>
      </c>
      <c r="R375" s="33">
        <v>-1.0</v>
      </c>
      <c r="S375" s="33" t="s">
        <v>827</v>
      </c>
      <c r="T375" s="33">
        <v>1.0</v>
      </c>
      <c r="U375" s="33">
        <v>0.0</v>
      </c>
      <c r="V375" s="33">
        <v>0.0</v>
      </c>
      <c r="W375" s="36"/>
      <c r="X375" s="36"/>
      <c r="Y375" s="36"/>
      <c r="Z375" s="36"/>
      <c r="AA375" s="36"/>
      <c r="AB375" s="36"/>
      <c r="AC375" s="36"/>
      <c r="AD375" s="36"/>
      <c r="AE375" s="36"/>
      <c r="AF375" s="36"/>
    </row>
    <row r="376">
      <c r="A376" s="32">
        <v>1.0</v>
      </c>
      <c r="B376" s="32" t="s">
        <v>829</v>
      </c>
      <c r="C376" s="33">
        <v>245.0</v>
      </c>
      <c r="D376" s="33">
        <v>4.0</v>
      </c>
      <c r="E376" s="33" t="s">
        <v>607</v>
      </c>
      <c r="F376" s="35" t="str">
        <f>HYPERLINK("https://www.liputan6.com/news/read/3993099/menolak-saat-dipaksa-berhubungan-badan-pria-di-klaten-tikam-waria ","sumber")</f>
        <v>sumber</v>
      </c>
      <c r="G376" s="33" t="s">
        <v>33</v>
      </c>
      <c r="H376" s="36"/>
      <c r="I376" s="33">
        <v>1.0</v>
      </c>
      <c r="J376" s="33">
        <v>3.0</v>
      </c>
      <c r="K376" s="33"/>
      <c r="L376" s="33">
        <v>0.0</v>
      </c>
      <c r="M376" s="33">
        <v>-1.0</v>
      </c>
      <c r="N376" s="37">
        <v>0.0</v>
      </c>
      <c r="O376" s="33">
        <v>0.0</v>
      </c>
      <c r="P376" s="33">
        <v>0.0</v>
      </c>
      <c r="Q376" s="33"/>
      <c r="R376" s="33"/>
      <c r="S376" s="36"/>
      <c r="T376" s="33">
        <v>0.0</v>
      </c>
      <c r="U376" s="33">
        <v>0.0</v>
      </c>
      <c r="V376" s="33">
        <v>0.0</v>
      </c>
      <c r="W376" s="36"/>
      <c r="X376" s="36"/>
      <c r="Y376" s="36"/>
      <c r="Z376" s="36"/>
      <c r="AA376" s="36"/>
      <c r="AB376" s="36"/>
      <c r="AC376" s="36"/>
      <c r="AD376" s="36"/>
      <c r="AE376" s="36"/>
      <c r="AF376" s="36"/>
    </row>
    <row r="377">
      <c r="A377" s="32">
        <v>1.0</v>
      </c>
      <c r="B377" s="32" t="s">
        <v>830</v>
      </c>
      <c r="C377" s="33">
        <v>246.0</v>
      </c>
      <c r="D377" s="33">
        <v>1.0</v>
      </c>
      <c r="E377" s="33" t="s">
        <v>831</v>
      </c>
      <c r="F377" s="35" t="str">
        <f>HYPERLINK("https://hot.detik.com/celeb/d-4593712/youtuber-ini-beli-kota-neraka-buat-kibarkan-bendera-pelangi ","sumber")</f>
        <v>sumber</v>
      </c>
      <c r="G377" s="33" t="s">
        <v>33</v>
      </c>
      <c r="H377" s="36"/>
      <c r="I377" s="33">
        <v>2.0</v>
      </c>
      <c r="J377" s="33">
        <v>3.0</v>
      </c>
      <c r="K377" s="33"/>
      <c r="L377" s="33">
        <v>0.0</v>
      </c>
      <c r="M377" s="33">
        <v>0.0</v>
      </c>
      <c r="N377" s="37">
        <v>0.0</v>
      </c>
      <c r="O377" s="33">
        <v>0.0</v>
      </c>
      <c r="P377" s="33">
        <v>0.0</v>
      </c>
      <c r="Q377" s="33"/>
      <c r="R377" s="33"/>
      <c r="S377" s="36"/>
      <c r="T377" s="33">
        <v>0.0</v>
      </c>
      <c r="U377" s="33">
        <v>0.0</v>
      </c>
      <c r="V377" s="33">
        <v>0.0</v>
      </c>
      <c r="W377" s="36"/>
      <c r="X377" s="36"/>
      <c r="Y377" s="36"/>
      <c r="Z377" s="36"/>
      <c r="AA377" s="36"/>
      <c r="AB377" s="36"/>
      <c r="AC377" s="36"/>
      <c r="AD377" s="36"/>
      <c r="AE377" s="36"/>
      <c r="AF377" s="36"/>
    </row>
    <row r="378">
      <c r="A378" s="24">
        <v>1.0</v>
      </c>
      <c r="B378" s="24" t="s">
        <v>832</v>
      </c>
      <c r="C378" s="25">
        <v>247.0</v>
      </c>
      <c r="D378" s="25">
        <v>1.0</v>
      </c>
      <c r="E378" s="25" t="s">
        <v>414</v>
      </c>
      <c r="F378" s="27" t="str">
        <f>HYPERLINK(" https://hot.detik.com/music/d-4590715/ada-lgbt-di-balik-alasan-damai-taylor-swift-dan-katy-perry ","sumber")</f>
        <v>sumber</v>
      </c>
      <c r="G378" s="25" t="s">
        <v>33</v>
      </c>
      <c r="H378" s="25">
        <v>1818.0</v>
      </c>
      <c r="I378" s="25">
        <v>3.0</v>
      </c>
      <c r="J378" s="25">
        <v>3.0</v>
      </c>
      <c r="K378" s="25" t="s">
        <v>833</v>
      </c>
      <c r="L378" s="25">
        <v>0.0</v>
      </c>
      <c r="M378" s="25">
        <v>0.0</v>
      </c>
      <c r="N378" s="38">
        <v>0.0</v>
      </c>
      <c r="O378" s="25">
        <v>0.0</v>
      </c>
      <c r="P378" s="25">
        <v>-1.0</v>
      </c>
      <c r="Q378" s="25">
        <v>0.0</v>
      </c>
      <c r="R378" s="25">
        <v>0.0</v>
      </c>
      <c r="S378" s="29"/>
      <c r="T378" s="25">
        <v>0.0</v>
      </c>
      <c r="U378" s="25">
        <v>0.0</v>
      </c>
      <c r="V378" s="25">
        <v>0.0</v>
      </c>
      <c r="W378" s="29"/>
      <c r="X378" s="29"/>
      <c r="Y378" s="29"/>
      <c r="Z378" s="29"/>
      <c r="AA378" s="29"/>
      <c r="AB378" s="29"/>
      <c r="AC378" s="29"/>
      <c r="AD378" s="29"/>
      <c r="AE378" s="29"/>
      <c r="AF378" s="29"/>
    </row>
    <row r="379">
      <c r="A379" s="24">
        <v>1.0</v>
      </c>
      <c r="B379" s="24" t="s">
        <v>834</v>
      </c>
      <c r="C379" s="25">
        <v>248.0</v>
      </c>
      <c r="D379" s="25">
        <v>6.0</v>
      </c>
      <c r="E379" s="25" t="s">
        <v>607</v>
      </c>
      <c r="F379" s="27" t="str">
        <f>HYPERLINK(" https://internasional.kompas.com/read/2019/06/19/06100011/youtuber-ini-beli-sebuah-kota-kecil-di-as-untuk-diubah-namanya ","sumber")</f>
        <v>sumber</v>
      </c>
      <c r="G379" s="25" t="s">
        <v>33</v>
      </c>
      <c r="H379" s="25">
        <v>435.0</v>
      </c>
      <c r="I379" s="25">
        <v>2.0</v>
      </c>
      <c r="J379" s="25">
        <v>3.0</v>
      </c>
      <c r="K379" s="25" t="s">
        <v>835</v>
      </c>
      <c r="L379" s="25">
        <v>0.0</v>
      </c>
      <c r="M379" s="25">
        <v>0.0</v>
      </c>
      <c r="N379" s="38">
        <v>0.0</v>
      </c>
      <c r="O379" s="25">
        <v>0.0</v>
      </c>
      <c r="P379" s="25">
        <v>0.0</v>
      </c>
      <c r="Q379" s="25">
        <v>0.0</v>
      </c>
      <c r="R379" s="25">
        <v>1.0</v>
      </c>
      <c r="S379" s="29"/>
      <c r="T379" s="25">
        <v>0.0</v>
      </c>
      <c r="U379" s="25">
        <v>0.0</v>
      </c>
      <c r="V379" s="25">
        <v>0.0</v>
      </c>
      <c r="W379" s="29"/>
      <c r="X379" s="29"/>
      <c r="Y379" s="29"/>
      <c r="Z379" s="29"/>
      <c r="AA379" s="29"/>
      <c r="AB379" s="29"/>
      <c r="AC379" s="29"/>
      <c r="AD379" s="29"/>
      <c r="AE379" s="29"/>
      <c r="AF379" s="29"/>
    </row>
    <row r="380">
      <c r="A380" s="39">
        <v>2.0</v>
      </c>
      <c r="B380" s="39" t="s">
        <v>836</v>
      </c>
      <c r="C380" s="40">
        <v>249.0</v>
      </c>
      <c r="D380" s="40">
        <v>10.0</v>
      </c>
      <c r="E380" s="41"/>
      <c r="F380" s="42" t="str">
        <f>HYPERLINK("https://gaya.tempo.co/read/1218526/7-mitos-dan-fakta-tentang-hiv-dan-aids-yang-sering-menyesatkan ","sumber")</f>
        <v>sumber</v>
      </c>
      <c r="G380" s="40" t="s">
        <v>33</v>
      </c>
      <c r="H380" s="41"/>
      <c r="I380" s="41"/>
      <c r="J380" s="40">
        <v>3.0</v>
      </c>
      <c r="K380" s="41"/>
      <c r="L380" s="41"/>
      <c r="M380" s="40"/>
      <c r="N380" s="41"/>
      <c r="O380" s="41"/>
      <c r="P380" s="41"/>
      <c r="Q380" s="41"/>
      <c r="R380" s="41"/>
      <c r="S380" s="41"/>
      <c r="T380" s="41"/>
      <c r="U380" s="41"/>
      <c r="V380" s="41"/>
      <c r="W380" s="41"/>
      <c r="X380" s="41"/>
      <c r="Y380" s="41"/>
      <c r="Z380" s="40"/>
      <c r="AA380" s="43"/>
      <c r="AB380" s="41"/>
      <c r="AC380" s="41"/>
      <c r="AD380" s="41"/>
      <c r="AE380" s="41"/>
      <c r="AF380" s="41"/>
    </row>
    <row r="381">
      <c r="A381" s="24">
        <v>1.0</v>
      </c>
      <c r="B381" s="24" t="s">
        <v>837</v>
      </c>
      <c r="C381" s="25">
        <v>250.0</v>
      </c>
      <c r="D381" s="25">
        <v>3.0</v>
      </c>
      <c r="E381" s="25" t="s">
        <v>273</v>
      </c>
      <c r="F381" s="27" t="str">
        <f>HYPERLINK(" https://celebrity.okezone.com/read/2019/06/28/206/2072073/elsa-jadi-lesbian-dalam-frozen-2-ini-penjelasan-penulis-skenario ","sumber")</f>
        <v>sumber</v>
      </c>
      <c r="G381" s="25" t="s">
        <v>33</v>
      </c>
      <c r="H381" s="25">
        <v>320.0</v>
      </c>
      <c r="I381" s="25">
        <v>1.0</v>
      </c>
      <c r="J381" s="25">
        <v>3.0</v>
      </c>
      <c r="K381" s="25" t="s">
        <v>838</v>
      </c>
      <c r="L381" s="25">
        <v>0.0</v>
      </c>
      <c r="M381" s="25">
        <v>-1.0</v>
      </c>
      <c r="N381" s="38">
        <v>0.0</v>
      </c>
      <c r="O381" s="25">
        <v>0.0</v>
      </c>
      <c r="P381" s="25">
        <v>0.0</v>
      </c>
      <c r="Q381" s="25" t="s">
        <v>61</v>
      </c>
      <c r="R381" s="25" t="s">
        <v>61</v>
      </c>
      <c r="S381" s="25" t="s">
        <v>839</v>
      </c>
      <c r="T381" s="25">
        <v>1.0</v>
      </c>
      <c r="U381" s="25">
        <v>0.0</v>
      </c>
      <c r="V381" s="25">
        <v>0.0</v>
      </c>
      <c r="W381" s="29"/>
      <c r="X381" s="29"/>
      <c r="Y381" s="29"/>
      <c r="Z381" s="29"/>
      <c r="AA381" s="29"/>
      <c r="AB381" s="29"/>
      <c r="AC381" s="29"/>
      <c r="AD381" s="29"/>
      <c r="AE381" s="29"/>
      <c r="AF381" s="29"/>
    </row>
    <row r="382">
      <c r="A382" s="32">
        <v>1.0</v>
      </c>
      <c r="B382" s="32" t="s">
        <v>840</v>
      </c>
      <c r="C382" s="33">
        <v>251.0</v>
      </c>
      <c r="D382" s="33">
        <v>3.0</v>
      </c>
      <c r="E382" s="33" t="s">
        <v>841</v>
      </c>
      <c r="F382" s="35" t="str">
        <f>HYPERLINK("https://news.okezone.com/read/2019/06/29/340/2072547/polisi-tangkap-puluhan-gay-saat-sedang-asyik-pesta-miras ","sumber")</f>
        <v>sumber</v>
      </c>
      <c r="G382" s="33" t="s">
        <v>33</v>
      </c>
      <c r="H382" s="36"/>
      <c r="I382" s="33">
        <v>1.0</v>
      </c>
      <c r="J382" s="33">
        <v>3.0</v>
      </c>
      <c r="K382" s="33" t="s">
        <v>842</v>
      </c>
      <c r="L382" s="33">
        <v>0.0</v>
      </c>
      <c r="M382" s="33">
        <v>-1.0</v>
      </c>
      <c r="N382" s="37">
        <v>0.0</v>
      </c>
      <c r="O382" s="33">
        <v>0.0</v>
      </c>
      <c r="P382" s="33">
        <v>0.0</v>
      </c>
      <c r="Q382" s="33">
        <v>0.0</v>
      </c>
      <c r="R382" s="33">
        <v>0.0</v>
      </c>
      <c r="S382" s="36"/>
      <c r="T382" s="33">
        <v>0.0</v>
      </c>
      <c r="U382" s="33">
        <v>0.0</v>
      </c>
      <c r="V382" s="33">
        <v>0.0</v>
      </c>
      <c r="W382" s="36"/>
      <c r="X382" s="36"/>
      <c r="Y382" s="36"/>
      <c r="Z382" s="36"/>
      <c r="AA382" s="36"/>
      <c r="AB382" s="36"/>
      <c r="AC382" s="36"/>
      <c r="AD382" s="36"/>
      <c r="AE382" s="36"/>
      <c r="AF382" s="36"/>
    </row>
    <row r="383">
      <c r="A383" s="24">
        <v>1.0</v>
      </c>
      <c r="B383" s="24" t="s">
        <v>843</v>
      </c>
      <c r="C383" s="25">
        <v>252.0</v>
      </c>
      <c r="D383" s="25">
        <v>7.0</v>
      </c>
      <c r="E383" s="26">
        <v>43503.0</v>
      </c>
      <c r="F383" s="27" t="str">
        <f>HYPERLINK("http://www.tribunnews.com/regional/2019/07/02/anto-curi-obat-hiv-senilai-rp-75-juta-milik-pasangannya-sesama-jenis ","sumber")</f>
        <v>sumber</v>
      </c>
      <c r="G383" s="25" t="s">
        <v>33</v>
      </c>
      <c r="H383" s="25">
        <v>193.0</v>
      </c>
      <c r="I383" s="25">
        <v>1.0</v>
      </c>
      <c r="J383" s="25">
        <v>3.0</v>
      </c>
      <c r="K383" s="25" t="s">
        <v>844</v>
      </c>
      <c r="L383" s="25">
        <v>0.0</v>
      </c>
      <c r="M383" s="25">
        <v>0.0</v>
      </c>
      <c r="N383" s="38">
        <v>0.0</v>
      </c>
      <c r="O383" s="25">
        <v>0.0</v>
      </c>
      <c r="P383" s="25">
        <v>0.0</v>
      </c>
      <c r="Q383" s="25" t="s">
        <v>61</v>
      </c>
      <c r="R383" s="25" t="s">
        <v>61</v>
      </c>
      <c r="S383" s="29"/>
      <c r="T383" s="25">
        <v>0.0</v>
      </c>
      <c r="U383" s="25">
        <v>-1.0</v>
      </c>
      <c r="V383" s="25">
        <v>0.0</v>
      </c>
      <c r="W383" s="29"/>
      <c r="X383" s="29"/>
      <c r="Y383" s="29"/>
      <c r="Z383" s="29"/>
      <c r="AA383" s="29"/>
      <c r="AB383" s="29"/>
      <c r="AC383" s="29"/>
      <c r="AD383" s="29"/>
      <c r="AE383" s="29"/>
      <c r="AF383" s="29"/>
    </row>
    <row r="384">
      <c r="A384" s="24">
        <v>1.0</v>
      </c>
      <c r="B384" s="24" t="s">
        <v>845</v>
      </c>
      <c r="C384" s="25">
        <v>253.0</v>
      </c>
      <c r="D384" s="25">
        <v>10.0</v>
      </c>
      <c r="E384" s="25" t="s">
        <v>431</v>
      </c>
      <c r="F384" s="27" t="str">
        <f>HYPERLINK("https://metro.tempo.co/read/1227856/anggota-dprd-kota-depok-ini-ungkap-bahaya-usulan-perda-anti-lgbt ","sumber")</f>
        <v>sumber</v>
      </c>
      <c r="G384" s="25" t="s">
        <v>33</v>
      </c>
      <c r="H384" s="25">
        <v>80.0</v>
      </c>
      <c r="I384" s="25">
        <v>4.0</v>
      </c>
      <c r="J384" s="25">
        <v>3.0</v>
      </c>
      <c r="K384" s="25" t="s">
        <v>846</v>
      </c>
      <c r="L384" s="25">
        <v>0.0</v>
      </c>
      <c r="M384" s="25">
        <v>0.0</v>
      </c>
      <c r="N384" s="38">
        <v>0.0</v>
      </c>
      <c r="O384" s="25">
        <v>0.0</v>
      </c>
      <c r="P384" s="25">
        <v>0.0</v>
      </c>
      <c r="Q384" s="25" t="s">
        <v>53</v>
      </c>
      <c r="R384" s="25" t="s">
        <v>53</v>
      </c>
      <c r="S384" s="29"/>
      <c r="T384" s="25">
        <v>0.0</v>
      </c>
      <c r="U384" s="25">
        <v>0.0</v>
      </c>
      <c r="V384" s="25">
        <v>1.0</v>
      </c>
      <c r="W384" s="29"/>
      <c r="X384" s="29"/>
      <c r="Y384" s="29"/>
      <c r="Z384" s="29"/>
      <c r="AA384" s="29"/>
      <c r="AB384" s="29"/>
      <c r="AC384" s="29"/>
      <c r="AD384" s="29"/>
      <c r="AE384" s="29"/>
      <c r="AF384" s="29"/>
    </row>
    <row r="385">
      <c r="A385" s="24">
        <v>1.0</v>
      </c>
      <c r="B385" s="24" t="s">
        <v>847</v>
      </c>
      <c r="C385" s="25">
        <v>254.0</v>
      </c>
      <c r="D385" s="25">
        <v>5.0</v>
      </c>
      <c r="E385" s="25" t="s">
        <v>848</v>
      </c>
      <c r="F385" s="27" t="str">
        <f>HYPERLINK("https://tirto.id/perda-larangan-lgbt-di-depok-justru-bisa-perparah-penyebaran-hiv-efnW ","sumber")</f>
        <v>sumber</v>
      </c>
      <c r="G385" s="25" t="s">
        <v>33</v>
      </c>
      <c r="H385" s="25">
        <v>206.0</v>
      </c>
      <c r="I385" s="25">
        <v>4.0</v>
      </c>
      <c r="J385" s="25">
        <v>3.0</v>
      </c>
      <c r="K385" s="25" t="s">
        <v>849</v>
      </c>
      <c r="L385" s="25">
        <v>0.0</v>
      </c>
      <c r="M385" s="25">
        <v>0.0</v>
      </c>
      <c r="N385" s="38">
        <v>0.0</v>
      </c>
      <c r="O385" s="25">
        <v>0.0</v>
      </c>
      <c r="P385" s="25">
        <v>0.0</v>
      </c>
      <c r="Q385" s="25" t="s">
        <v>202</v>
      </c>
      <c r="R385" s="25" t="s">
        <v>850</v>
      </c>
      <c r="S385" s="29"/>
      <c r="T385" s="25">
        <v>0.0</v>
      </c>
      <c r="U385" s="25">
        <v>0.0</v>
      </c>
      <c r="V385" s="25">
        <v>1.0</v>
      </c>
      <c r="W385" s="29"/>
      <c r="X385" s="29"/>
      <c r="Y385" s="29"/>
      <c r="Z385" s="29"/>
      <c r="AA385" s="29"/>
      <c r="AB385" s="29"/>
      <c r="AC385" s="29"/>
      <c r="AD385" s="29"/>
      <c r="AE385" s="29"/>
      <c r="AF385" s="29"/>
    </row>
    <row r="386">
      <c r="A386" s="32">
        <v>1.0</v>
      </c>
      <c r="B386" s="32" t="s">
        <v>851</v>
      </c>
      <c r="C386" s="33">
        <v>255.0</v>
      </c>
      <c r="D386" s="33">
        <v>7.0</v>
      </c>
      <c r="E386" s="34">
        <v>43776.0</v>
      </c>
      <c r="F386" s="35" t="str">
        <f>HYPERLINK("https://www.tribunnews.com/seleb/2019/07/11/millen-cyrus-terjun-ke-dunia-akting-dan-beradegan-mesra-ingin-ikuti-jejak-ashanty-jadi-artis ","sumber")</f>
        <v>sumber</v>
      </c>
      <c r="G386" s="33" t="s">
        <v>33</v>
      </c>
      <c r="H386" s="36"/>
      <c r="I386" s="33">
        <v>1.0</v>
      </c>
      <c r="J386" s="33">
        <v>3.0</v>
      </c>
      <c r="K386" s="33" t="s">
        <v>852</v>
      </c>
      <c r="L386" s="33">
        <v>0.0</v>
      </c>
      <c r="M386" s="33">
        <v>0.0</v>
      </c>
      <c r="N386" s="37">
        <v>0.0</v>
      </c>
      <c r="O386" s="33">
        <v>0.0</v>
      </c>
      <c r="P386" s="33">
        <v>0.0</v>
      </c>
      <c r="Q386" s="33" t="s">
        <v>210</v>
      </c>
      <c r="R386" s="33" t="s">
        <v>780</v>
      </c>
      <c r="S386" s="36"/>
      <c r="T386" s="33">
        <v>0.0</v>
      </c>
      <c r="U386" s="33">
        <v>0.0</v>
      </c>
      <c r="V386" s="33">
        <v>0.0</v>
      </c>
      <c r="W386" s="36"/>
      <c r="X386" s="36"/>
      <c r="Y386" s="36"/>
      <c r="Z386" s="36"/>
      <c r="AA386" s="36"/>
      <c r="AB386" s="36"/>
      <c r="AC386" s="36"/>
      <c r="AD386" s="36"/>
      <c r="AE386" s="36"/>
      <c r="AF386" s="36"/>
    </row>
    <row r="387">
      <c r="A387" s="32">
        <v>1.0</v>
      </c>
      <c r="B387" s="32" t="s">
        <v>853</v>
      </c>
      <c r="C387" s="33">
        <v>256.0</v>
      </c>
      <c r="D387" s="33">
        <v>8.0</v>
      </c>
      <c r="E387" s="34">
        <v>43806.0</v>
      </c>
      <c r="F387" s="35" t="str">
        <f>HYPERLINK("https://www.suara.com/news/2019/07/12/164539/soal-disorientasi-seksual-di-lapas-kemenkumham-pertimbangkan-bilik-asmara ","sumber")</f>
        <v>sumber</v>
      </c>
      <c r="G387" s="33" t="s">
        <v>33</v>
      </c>
      <c r="H387" s="36"/>
      <c r="I387" s="33">
        <v>4.0</v>
      </c>
      <c r="J387" s="33">
        <v>3.0</v>
      </c>
      <c r="K387" s="33" t="s">
        <v>854</v>
      </c>
      <c r="L387" s="33">
        <v>0.0</v>
      </c>
      <c r="M387" s="33">
        <v>0.0</v>
      </c>
      <c r="N387" s="37">
        <v>0.0</v>
      </c>
      <c r="O387" s="33">
        <v>0.0</v>
      </c>
      <c r="P387" s="33">
        <v>0.0</v>
      </c>
      <c r="Q387" s="33" t="s">
        <v>214</v>
      </c>
      <c r="R387" s="33" t="s">
        <v>61</v>
      </c>
      <c r="S387" s="33" t="s">
        <v>855</v>
      </c>
      <c r="T387" s="33">
        <v>3.0</v>
      </c>
      <c r="U387" s="33">
        <v>0.0</v>
      </c>
      <c r="V387" s="33">
        <v>1.0</v>
      </c>
      <c r="W387" s="36"/>
      <c r="X387" s="36"/>
      <c r="Y387" s="36"/>
      <c r="Z387" s="36"/>
      <c r="AA387" s="36"/>
      <c r="AB387" s="36"/>
      <c r="AC387" s="36"/>
      <c r="AD387" s="36"/>
      <c r="AE387" s="36"/>
      <c r="AF387" s="36"/>
    </row>
    <row r="388">
      <c r="A388" s="32">
        <v>1.0</v>
      </c>
      <c r="B388" s="32" t="s">
        <v>856</v>
      </c>
      <c r="C388" s="33">
        <v>257.0</v>
      </c>
      <c r="D388" s="33">
        <v>5.0</v>
      </c>
      <c r="E388" s="34">
        <v>43806.0</v>
      </c>
      <c r="F388" s="35" t="str">
        <f>HYPERLINK("https://tirto.id/memisahkan-napi-lgbt-itu-diskriminatif-dan-tak-masuk-akal-ed6i ","sumber")</f>
        <v>sumber</v>
      </c>
      <c r="G388" s="33" t="s">
        <v>33</v>
      </c>
      <c r="H388" s="36"/>
      <c r="I388" s="33">
        <v>1.0</v>
      </c>
      <c r="J388" s="33">
        <v>3.0</v>
      </c>
      <c r="K388" s="33" t="s">
        <v>857</v>
      </c>
      <c r="L388" s="33">
        <v>0.0</v>
      </c>
      <c r="M388" s="33">
        <v>1.0</v>
      </c>
      <c r="N388" s="37">
        <v>0.0</v>
      </c>
      <c r="O388" s="33">
        <v>0.0</v>
      </c>
      <c r="P388" s="33">
        <v>0.0</v>
      </c>
      <c r="Q388" s="33" t="s">
        <v>89</v>
      </c>
      <c r="R388" s="33" t="s">
        <v>858</v>
      </c>
      <c r="S388" s="36"/>
      <c r="T388" s="33">
        <v>0.0</v>
      </c>
      <c r="U388" s="33">
        <v>0.0</v>
      </c>
      <c r="V388" s="33">
        <v>1.0</v>
      </c>
      <c r="W388" s="36"/>
      <c r="X388" s="36"/>
      <c r="Y388" s="36"/>
      <c r="Z388" s="36"/>
      <c r="AA388" s="36"/>
      <c r="AB388" s="36"/>
      <c r="AC388" s="36"/>
      <c r="AD388" s="36"/>
      <c r="AE388" s="36"/>
      <c r="AF388" s="36"/>
    </row>
    <row r="389">
      <c r="A389" s="32">
        <v>1.0</v>
      </c>
      <c r="B389" s="32" t="s">
        <v>859</v>
      </c>
      <c r="C389" s="33">
        <v>258.0</v>
      </c>
      <c r="D389" s="33">
        <v>3.0</v>
      </c>
      <c r="E389" s="33" t="s">
        <v>860</v>
      </c>
      <c r="F389" s="35" t="str">
        <f>HYPERLINK("https://news.okezone.com/read/2019/07/14/18/2078704/menteri-pendidikan-israel-dikecam-karena-dukung-terapi-penyembuhan-gay ","sumber")</f>
        <v>sumber</v>
      </c>
      <c r="G389" s="33" t="s">
        <v>33</v>
      </c>
      <c r="H389" s="36"/>
      <c r="I389" s="33">
        <v>1.0</v>
      </c>
      <c r="J389" s="33">
        <v>3.0</v>
      </c>
      <c r="K389" s="33" t="s">
        <v>861</v>
      </c>
      <c r="L389" s="33">
        <v>0.0</v>
      </c>
      <c r="M389" s="33">
        <v>-1.0</v>
      </c>
      <c r="N389" s="37">
        <v>0.0</v>
      </c>
      <c r="O389" s="33">
        <v>0.0</v>
      </c>
      <c r="P389" s="33">
        <v>0.0</v>
      </c>
      <c r="Q389" s="33" t="s">
        <v>53</v>
      </c>
      <c r="R389" s="33" t="s">
        <v>862</v>
      </c>
      <c r="S389" s="36"/>
      <c r="T389" s="33">
        <v>0.0</v>
      </c>
      <c r="U389" s="33">
        <v>0.0</v>
      </c>
      <c r="V389" s="33">
        <v>0.0</v>
      </c>
      <c r="W389" s="36"/>
      <c r="X389" s="36"/>
      <c r="Y389" s="36"/>
      <c r="Z389" s="36"/>
      <c r="AA389" s="36"/>
      <c r="AB389" s="36"/>
      <c r="AC389" s="36"/>
      <c r="AD389" s="36"/>
      <c r="AE389" s="36"/>
      <c r="AF389" s="36"/>
    </row>
    <row r="390">
      <c r="A390" s="39">
        <v>2.0</v>
      </c>
      <c r="B390" s="39" t="s">
        <v>863</v>
      </c>
      <c r="C390" s="40">
        <v>259.0</v>
      </c>
      <c r="D390" s="40">
        <v>1.0</v>
      </c>
      <c r="E390" s="41"/>
      <c r="F390" s="42" t="str">
        <f>HYPERLINK("https://news.detik.com/bbc-world/d-4633372/vatikan-selidiki-misteri-perempuan-muda-hilang-di-roma-36-tahun-lalu ","sumber")</f>
        <v>sumber</v>
      </c>
      <c r="G390" s="40" t="s">
        <v>33</v>
      </c>
      <c r="H390" s="41"/>
      <c r="I390" s="41"/>
      <c r="J390" s="40">
        <v>3.0</v>
      </c>
      <c r="K390" s="41"/>
      <c r="L390" s="41"/>
      <c r="M390" s="41"/>
      <c r="N390" s="41"/>
      <c r="O390" s="41"/>
      <c r="P390" s="41"/>
      <c r="Q390" s="41"/>
      <c r="R390" s="41"/>
      <c r="S390" s="41"/>
      <c r="T390" s="41"/>
      <c r="U390" s="41"/>
      <c r="V390" s="41"/>
      <c r="W390" s="41"/>
      <c r="X390" s="41"/>
      <c r="Y390" s="41"/>
      <c r="Z390" s="40"/>
      <c r="AA390" s="43"/>
      <c r="AB390" s="41"/>
      <c r="AC390" s="41"/>
      <c r="AD390" s="41"/>
      <c r="AE390" s="41"/>
      <c r="AF390" s="41"/>
    </row>
    <row r="391">
      <c r="A391" s="58">
        <v>1.0</v>
      </c>
      <c r="B391" s="58" t="s">
        <v>864</v>
      </c>
      <c r="C391" s="59">
        <v>260.0</v>
      </c>
      <c r="D391" s="59">
        <v>5.0</v>
      </c>
      <c r="E391" s="59" t="s">
        <v>865</v>
      </c>
      <c r="F391" s="61" t="str">
        <f>HYPERLINK("https://tirto.id/mounir-baatour-capres-gay-pertama-di-tunisia-dan-dunia-arab-eeDs ","sumber")</f>
        <v>sumber</v>
      </c>
      <c r="G391" s="59" t="s">
        <v>33</v>
      </c>
      <c r="H391" s="62"/>
      <c r="I391" s="59">
        <v>1.0</v>
      </c>
      <c r="J391" s="59">
        <v>3.0</v>
      </c>
      <c r="K391" s="59" t="s">
        <v>866</v>
      </c>
      <c r="L391" s="59">
        <v>0.0</v>
      </c>
      <c r="M391" s="59">
        <v>1.0</v>
      </c>
      <c r="N391" s="59">
        <v>0.0</v>
      </c>
      <c r="O391" s="59">
        <v>0.0</v>
      </c>
      <c r="P391" s="59">
        <v>0.0</v>
      </c>
      <c r="Q391" s="59" t="s">
        <v>210</v>
      </c>
      <c r="R391" s="59" t="s">
        <v>192</v>
      </c>
      <c r="S391" s="62"/>
      <c r="T391" s="59">
        <v>0.0</v>
      </c>
      <c r="U391" s="59">
        <v>0.0</v>
      </c>
      <c r="V391" s="59">
        <v>0.0</v>
      </c>
      <c r="W391" s="62"/>
      <c r="X391" s="62"/>
      <c r="Y391" s="62"/>
      <c r="Z391" s="62"/>
      <c r="AA391" s="62"/>
      <c r="AB391" s="62"/>
      <c r="AC391" s="62"/>
      <c r="AD391" s="62"/>
      <c r="AE391" s="62"/>
      <c r="AF391" s="62"/>
    </row>
    <row r="392">
      <c r="A392" s="24">
        <v>1.0</v>
      </c>
      <c r="B392" s="24" t="s">
        <v>867</v>
      </c>
      <c r="C392" s="25">
        <v>261.0</v>
      </c>
      <c r="D392" s="25">
        <v>8.0</v>
      </c>
      <c r="E392" s="26">
        <v>43472.0</v>
      </c>
      <c r="F392" s="27" t="str">
        <f>HYPERLINK("https://www.suara.com/news/2019/07/01/110534/detik-detik-polisi-bubarkan-pawai-lgbt-dengan-gas-air-mata ","sumber")</f>
        <v>sumber</v>
      </c>
      <c r="G392" s="25" t="s">
        <v>33</v>
      </c>
      <c r="H392" s="25">
        <v>174.0</v>
      </c>
      <c r="I392" s="25">
        <v>1.0</v>
      </c>
      <c r="J392" s="25">
        <v>3.0</v>
      </c>
      <c r="K392" s="25" t="s">
        <v>868</v>
      </c>
      <c r="L392" s="25">
        <v>0.0</v>
      </c>
      <c r="M392" s="25">
        <v>-1.0</v>
      </c>
      <c r="N392" s="38">
        <v>0.0</v>
      </c>
      <c r="O392" s="25">
        <v>0.0</v>
      </c>
      <c r="P392" s="25">
        <v>0.0</v>
      </c>
      <c r="Q392" s="25" t="s">
        <v>242</v>
      </c>
      <c r="R392" s="25" t="s">
        <v>869</v>
      </c>
      <c r="S392" s="29"/>
      <c r="T392" s="25">
        <v>0.0</v>
      </c>
      <c r="U392" s="25">
        <v>0.0</v>
      </c>
      <c r="V392" s="25">
        <v>0.0</v>
      </c>
      <c r="W392" s="29"/>
      <c r="X392" s="29"/>
      <c r="Y392" s="29"/>
      <c r="Z392" s="29"/>
      <c r="AA392" s="29"/>
      <c r="AB392" s="29"/>
      <c r="AC392" s="29"/>
      <c r="AD392" s="29"/>
      <c r="AE392" s="29"/>
      <c r="AF392" s="29"/>
    </row>
    <row r="393">
      <c r="A393" s="32">
        <v>1.0</v>
      </c>
      <c r="B393" s="32" t="s">
        <v>870</v>
      </c>
      <c r="C393" s="33">
        <v>262.0</v>
      </c>
      <c r="D393" s="33">
        <v>2.0</v>
      </c>
      <c r="E393" s="33" t="s">
        <v>871</v>
      </c>
      <c r="F393" s="35" t="str">
        <f>HYPERLINK("https://www.cnnindonesia.com/hiburan/20190724212636-220-415247/chris-pratt-tak-sabar-lihat-mahershala-ali-jadi-blade ","sumber")</f>
        <v>sumber</v>
      </c>
      <c r="G393" s="33" t="s">
        <v>33</v>
      </c>
      <c r="H393" s="36"/>
      <c r="I393" s="33">
        <v>2.0</v>
      </c>
      <c r="J393" s="33">
        <v>3.0</v>
      </c>
      <c r="K393" s="33" t="s">
        <v>872</v>
      </c>
      <c r="L393" s="33">
        <v>0.0</v>
      </c>
      <c r="M393" s="33">
        <v>0.0</v>
      </c>
      <c r="N393" s="37">
        <v>0.0</v>
      </c>
      <c r="O393" s="33">
        <v>0.0</v>
      </c>
      <c r="P393" s="33">
        <v>0.0</v>
      </c>
      <c r="Q393" s="33">
        <v>0.0</v>
      </c>
      <c r="R393" s="33">
        <v>0.0</v>
      </c>
      <c r="S393" s="36"/>
      <c r="T393" s="33">
        <v>0.0</v>
      </c>
      <c r="U393" s="33">
        <v>0.0</v>
      </c>
      <c r="V393" s="33">
        <v>0.0</v>
      </c>
      <c r="W393" s="36"/>
      <c r="X393" s="36"/>
      <c r="Y393" s="36"/>
      <c r="Z393" s="36"/>
      <c r="AA393" s="36"/>
      <c r="AB393" s="36"/>
      <c r="AC393" s="36"/>
      <c r="AD393" s="36"/>
      <c r="AE393" s="36"/>
      <c r="AF393" s="36"/>
    </row>
    <row r="394">
      <c r="A394" s="24">
        <v>1.0</v>
      </c>
      <c r="B394" s="24" t="s">
        <v>873</v>
      </c>
      <c r="C394" s="25">
        <v>263.0</v>
      </c>
      <c r="D394" s="25">
        <v>3.0</v>
      </c>
      <c r="E394" s="26">
        <v>43684.0</v>
      </c>
      <c r="F394" s="27" t="str">
        <f>HYPERLINK("https://news.okezone.com/read/2019/07/08/525/2076072/over-kapasitas-rutan-lapas-berdampak-napi-jadi-suka-sejenis ","sumber")</f>
        <v>sumber</v>
      </c>
      <c r="G394" s="25" t="s">
        <v>33</v>
      </c>
      <c r="H394" s="25">
        <v>181.0</v>
      </c>
      <c r="I394" s="25">
        <v>4.0</v>
      </c>
      <c r="J394" s="25">
        <v>3.0</v>
      </c>
      <c r="K394" s="25" t="s">
        <v>874</v>
      </c>
      <c r="L394" s="25">
        <v>0.0</v>
      </c>
      <c r="M394" s="25">
        <v>0.0</v>
      </c>
      <c r="N394" s="38">
        <v>0.0</v>
      </c>
      <c r="O394" s="25">
        <v>0.0</v>
      </c>
      <c r="P394" s="25">
        <v>0.0</v>
      </c>
      <c r="Q394" s="25">
        <v>0.0</v>
      </c>
      <c r="R394" s="25">
        <v>-1.0</v>
      </c>
      <c r="S394" s="25" t="s">
        <v>875</v>
      </c>
      <c r="T394" s="25">
        <v>1.0</v>
      </c>
      <c r="U394" s="25">
        <v>0.0</v>
      </c>
      <c r="V394" s="25">
        <v>1.0</v>
      </c>
      <c r="W394" s="29"/>
      <c r="X394" s="29"/>
      <c r="Y394" s="29"/>
      <c r="Z394" s="29"/>
      <c r="AA394" s="29"/>
      <c r="AB394" s="29"/>
      <c r="AC394" s="29"/>
      <c r="AD394" s="29"/>
      <c r="AE394" s="29"/>
      <c r="AF394" s="29"/>
    </row>
    <row r="395">
      <c r="A395" s="39">
        <v>2.0</v>
      </c>
      <c r="B395" s="39" t="s">
        <v>876</v>
      </c>
      <c r="C395" s="40">
        <v>391.0</v>
      </c>
      <c r="D395" s="40">
        <v>10.0</v>
      </c>
      <c r="E395" s="41"/>
      <c r="F395" s="42" t="str">
        <f>HYPERLINK("https://nasional.tempo.co/read/1253553/ppi-belanda-dukung-mahasiswa-indonesia-ajukan-12-tuntutan ","sumber")</f>
        <v>sumber</v>
      </c>
      <c r="G395" s="40" t="s">
        <v>33</v>
      </c>
      <c r="H395" s="41"/>
      <c r="I395" s="41"/>
      <c r="J395" s="40">
        <v>1.0</v>
      </c>
      <c r="K395" s="41"/>
      <c r="L395" s="41"/>
      <c r="M395" s="41"/>
      <c r="N395" s="41"/>
      <c r="O395" s="41"/>
      <c r="P395" s="41"/>
      <c r="Q395" s="41"/>
      <c r="R395" s="41"/>
      <c r="S395" s="41"/>
      <c r="T395" s="41"/>
      <c r="U395" s="41"/>
      <c r="V395" s="41"/>
      <c r="W395" s="41"/>
      <c r="X395" s="41"/>
      <c r="Y395" s="41"/>
      <c r="Z395" s="47"/>
      <c r="AA395" s="43"/>
      <c r="AB395" s="48"/>
      <c r="AC395" s="48"/>
      <c r="AD395" s="48"/>
      <c r="AE395" s="48"/>
      <c r="AF395" s="48"/>
    </row>
    <row r="396">
      <c r="A396" s="39">
        <v>2.0</v>
      </c>
      <c r="B396" s="70" t="s">
        <v>877</v>
      </c>
      <c r="C396" s="40">
        <v>392.0</v>
      </c>
      <c r="D396" s="40">
        <v>1.0</v>
      </c>
      <c r="E396" s="53">
        <v>43534.0</v>
      </c>
      <c r="F396" s="42" t="str">
        <f>HYPERLINK("https://news.detik.com/kolom/d-4732384/setahun-kematian-khashoggi ","sumber")</f>
        <v>sumber</v>
      </c>
      <c r="G396" s="40" t="s">
        <v>33</v>
      </c>
      <c r="H396" s="71">
        <v>907.0</v>
      </c>
      <c r="I396" s="40"/>
      <c r="J396" s="40">
        <v>4.0</v>
      </c>
      <c r="K396" s="41"/>
      <c r="L396" s="41"/>
      <c r="M396" s="41"/>
      <c r="N396" s="41"/>
      <c r="O396" s="41"/>
      <c r="P396" s="41"/>
      <c r="Q396" s="41"/>
      <c r="R396" s="41"/>
      <c r="S396" s="41"/>
      <c r="T396" s="41"/>
      <c r="U396" s="41"/>
      <c r="V396" s="41"/>
      <c r="W396" s="41"/>
      <c r="X396" s="41"/>
      <c r="Y396" s="41"/>
      <c r="Z396" s="47"/>
      <c r="AA396" s="43"/>
      <c r="AB396" s="48"/>
      <c r="AC396" s="48"/>
      <c r="AD396" s="48"/>
      <c r="AE396" s="48"/>
      <c r="AF396" s="48"/>
    </row>
    <row r="397">
      <c r="A397" s="39">
        <v>2.0</v>
      </c>
      <c r="B397" s="70" t="s">
        <v>878</v>
      </c>
      <c r="C397" s="40">
        <v>393.0</v>
      </c>
      <c r="D397" s="40">
        <v>2.0</v>
      </c>
      <c r="E397" s="53">
        <v>43565.0</v>
      </c>
      <c r="F397" s="42" t="str">
        <f>HYPERLINK("https://www.cnnindonesia.com/internasional/20191004042454-120-436627/aksi-protes-di-irak-menewaskan-28-orang-ribuan-terluka ","sumber")</f>
        <v>sumber</v>
      </c>
      <c r="G397" s="40" t="s">
        <v>33</v>
      </c>
      <c r="H397" s="71">
        <v>337.0</v>
      </c>
      <c r="I397" s="40"/>
      <c r="J397" s="40">
        <v>4.0</v>
      </c>
      <c r="K397" s="41"/>
      <c r="L397" s="41"/>
      <c r="M397" s="41"/>
      <c r="N397" s="41"/>
      <c r="O397" s="41"/>
      <c r="P397" s="41"/>
      <c r="Q397" s="41"/>
      <c r="R397" s="41"/>
      <c r="S397" s="41"/>
      <c r="T397" s="41"/>
      <c r="U397" s="41"/>
      <c r="V397" s="41"/>
      <c r="W397" s="41"/>
      <c r="X397" s="41"/>
      <c r="Y397" s="41"/>
      <c r="Z397" s="47"/>
      <c r="AA397" s="43"/>
      <c r="AB397" s="48"/>
      <c r="AC397" s="48"/>
      <c r="AD397" s="48"/>
      <c r="AE397" s="48"/>
      <c r="AF397" s="48"/>
    </row>
    <row r="398">
      <c r="A398" s="39">
        <v>2.0</v>
      </c>
      <c r="B398" s="70" t="s">
        <v>879</v>
      </c>
      <c r="C398" s="40">
        <v>394.0</v>
      </c>
      <c r="D398" s="40">
        <v>3.0</v>
      </c>
      <c r="E398" s="53">
        <v>43565.0</v>
      </c>
      <c r="F398" s="42" t="str">
        <f>HYPERLINK("https://news.okezone.com/read/2019/10/04/18/2112748/demonstrasi-berdarah-irak-masuki-hari-ketiga-27-orang-dilaporkan-tewas ","sumber")</f>
        <v>sumber</v>
      </c>
      <c r="G398" s="40" t="s">
        <v>33</v>
      </c>
      <c r="H398" s="71">
        <v>590.0</v>
      </c>
      <c r="I398" s="40"/>
      <c r="J398" s="40">
        <v>4.0</v>
      </c>
      <c r="K398" s="41"/>
      <c r="L398" s="41"/>
      <c r="M398" s="41"/>
      <c r="N398" s="41"/>
      <c r="O398" s="41"/>
      <c r="P398" s="41"/>
      <c r="Q398" s="41"/>
      <c r="R398" s="41"/>
      <c r="S398" s="41"/>
      <c r="T398" s="41"/>
      <c r="U398" s="41"/>
      <c r="V398" s="41"/>
      <c r="W398" s="41"/>
      <c r="X398" s="41"/>
      <c r="Y398" s="41"/>
      <c r="Z398" s="47"/>
      <c r="AA398" s="43"/>
      <c r="AB398" s="48"/>
      <c r="AC398" s="48"/>
      <c r="AD398" s="48"/>
      <c r="AE398" s="48"/>
      <c r="AF398" s="48"/>
    </row>
    <row r="399">
      <c r="A399" s="39">
        <v>2.0</v>
      </c>
      <c r="B399" s="70" t="s">
        <v>880</v>
      </c>
      <c r="C399" s="40">
        <v>395.0</v>
      </c>
      <c r="D399" s="40">
        <v>8.0</v>
      </c>
      <c r="E399" s="53">
        <v>43656.0</v>
      </c>
      <c r="F399" s="42" t="str">
        <f>HYPERLINK("https://www.suara.com/news/2019/10/07/103102/korban-tewas-aksi-demonstrasi-di-irak-tembus-100-orang ","sumber")</f>
        <v>sumber</v>
      </c>
      <c r="G399" s="40" t="s">
        <v>33</v>
      </c>
      <c r="H399" s="71">
        <v>286.0</v>
      </c>
      <c r="I399" s="41"/>
      <c r="J399" s="40">
        <v>4.0</v>
      </c>
      <c r="K399" s="41"/>
      <c r="L399" s="41"/>
      <c r="M399" s="41"/>
      <c r="N399" s="41"/>
      <c r="O399" s="41"/>
      <c r="P399" s="41"/>
      <c r="Q399" s="41"/>
      <c r="R399" s="41"/>
      <c r="S399" s="41"/>
      <c r="T399" s="41"/>
      <c r="U399" s="41"/>
      <c r="V399" s="41"/>
      <c r="W399" s="41"/>
      <c r="X399" s="41"/>
      <c r="Y399" s="41"/>
      <c r="Z399" s="47"/>
      <c r="AA399" s="43"/>
      <c r="AB399" s="48"/>
      <c r="AC399" s="48"/>
      <c r="AD399" s="48"/>
      <c r="AE399" s="48"/>
      <c r="AF399" s="48"/>
    </row>
    <row r="400">
      <c r="A400" s="39">
        <v>2.0</v>
      </c>
      <c r="B400" s="70" t="s">
        <v>881</v>
      </c>
      <c r="C400" s="40">
        <v>396.0</v>
      </c>
      <c r="D400" s="40">
        <v>3.0</v>
      </c>
      <c r="E400" s="40" t="s">
        <v>882</v>
      </c>
      <c r="F400" s="42" t="str">
        <f>HYPERLINK("https://news.okezone.com/read/2019/11/20/65/2132084/hasil-penelitian-2016-2018-ini-daftar-10-perguruan-tinggi-dengan-kinerja-tertinggi ","sumber")</f>
        <v>sumber</v>
      </c>
      <c r="G400" s="40" t="s">
        <v>33</v>
      </c>
      <c r="H400" s="71">
        <v>512.0</v>
      </c>
      <c r="I400" s="41"/>
      <c r="J400" s="40">
        <v>4.0</v>
      </c>
      <c r="K400" s="41"/>
      <c r="L400" s="41"/>
      <c r="M400" s="41"/>
      <c r="N400" s="41"/>
      <c r="O400" s="41"/>
      <c r="P400" s="41"/>
      <c r="Q400" s="41"/>
      <c r="R400" s="41"/>
      <c r="S400" s="41"/>
      <c r="T400" s="41"/>
      <c r="U400" s="41"/>
      <c r="V400" s="41"/>
      <c r="W400" s="41"/>
      <c r="X400" s="41"/>
      <c r="Y400" s="41"/>
      <c r="Z400" s="47"/>
      <c r="AA400" s="43"/>
      <c r="AB400" s="48"/>
      <c r="AC400" s="48"/>
      <c r="AD400" s="48"/>
      <c r="AE400" s="48"/>
      <c r="AF400" s="48"/>
    </row>
    <row r="401">
      <c r="A401" s="39">
        <v>2.0</v>
      </c>
      <c r="B401" s="70" t="s">
        <v>883</v>
      </c>
      <c r="C401" s="40">
        <v>397.0</v>
      </c>
      <c r="D401" s="40">
        <v>3.0</v>
      </c>
      <c r="E401" s="40" t="s">
        <v>884</v>
      </c>
      <c r="F401" s="42" t="str">
        <f>HYPERLINK("https://index.okezone.com/read/2019/11/22/614/2133045/ma-ruf-amin-di-maulid-akbar-nabi-muhammad-itu-ibarat-berlian ","sumber")</f>
        <v>sumber</v>
      </c>
      <c r="G401" s="40" t="s">
        <v>33</v>
      </c>
      <c r="H401" s="71">
        <v>391.0</v>
      </c>
      <c r="I401" s="41"/>
      <c r="J401" s="40">
        <v>4.0</v>
      </c>
      <c r="K401" s="41"/>
      <c r="L401" s="41"/>
      <c r="M401" s="41"/>
      <c r="N401" s="41"/>
      <c r="O401" s="41"/>
      <c r="P401" s="41"/>
      <c r="Q401" s="41"/>
      <c r="R401" s="41"/>
      <c r="S401" s="41"/>
      <c r="T401" s="41"/>
      <c r="U401" s="41"/>
      <c r="V401" s="41"/>
      <c r="W401" s="41"/>
      <c r="X401" s="41"/>
      <c r="Y401" s="41"/>
      <c r="Z401" s="47"/>
      <c r="AA401" s="43"/>
      <c r="AB401" s="48"/>
      <c r="AC401" s="48"/>
      <c r="AD401" s="48"/>
      <c r="AE401" s="48"/>
      <c r="AF401" s="48"/>
    </row>
    <row r="402">
      <c r="A402" s="72">
        <v>1.0</v>
      </c>
      <c r="B402" s="73" t="s">
        <v>885</v>
      </c>
      <c r="C402" s="59">
        <v>398.0</v>
      </c>
      <c r="D402" s="59">
        <v>3.0</v>
      </c>
      <c r="E402" s="74">
        <v>43811.0</v>
      </c>
      <c r="F402" s="61" t="str">
        <f>HYPERLINK("https://news.okezone.com/read/2019/12/12/18/2141053/india-permudah-status-kewarganegaraan-bagi-imigran-dengan-syarat-bukan-muslim ","sumber")</f>
        <v>sumber</v>
      </c>
      <c r="G402" s="59" t="s">
        <v>33</v>
      </c>
      <c r="H402" s="75">
        <v>773.0</v>
      </c>
      <c r="I402" s="59">
        <v>4.0</v>
      </c>
      <c r="J402" s="59">
        <v>4.0</v>
      </c>
      <c r="K402" s="59" t="s">
        <v>886</v>
      </c>
      <c r="L402" s="59">
        <v>0.0</v>
      </c>
      <c r="M402" s="59">
        <v>0.0</v>
      </c>
      <c r="N402" s="65">
        <v>0.0</v>
      </c>
      <c r="O402" s="59">
        <v>0.0</v>
      </c>
      <c r="P402" s="59">
        <v>0.0</v>
      </c>
      <c r="Q402" s="59" t="s">
        <v>887</v>
      </c>
      <c r="R402" s="59" t="s">
        <v>888</v>
      </c>
      <c r="S402" s="62"/>
      <c r="T402" s="59">
        <v>0.0</v>
      </c>
      <c r="U402" s="59">
        <v>0.0</v>
      </c>
      <c r="V402" s="59">
        <v>1.0</v>
      </c>
      <c r="W402" s="62"/>
      <c r="X402" s="62"/>
      <c r="Y402" s="62"/>
      <c r="Z402" s="63"/>
      <c r="AA402" s="63"/>
      <c r="AB402" s="63"/>
      <c r="AC402" s="63"/>
      <c r="AD402" s="63"/>
      <c r="AE402" s="63"/>
      <c r="AF402" s="63"/>
    </row>
    <row r="403">
      <c r="A403" s="39">
        <v>2.0</v>
      </c>
      <c r="B403" s="70" t="s">
        <v>889</v>
      </c>
      <c r="C403" s="40">
        <v>399.0</v>
      </c>
      <c r="D403" s="40">
        <v>4.0</v>
      </c>
      <c r="E403" s="41"/>
      <c r="F403" s="42" t="str">
        <f>HYPERLINK("https://www.liputan6.com/global/read/4133507/pencak-silat-hingga-naik-gunung-ini-daftar-baru-warisan-dunia-tak-benda-unesco ","sumber")</f>
        <v>sumber</v>
      </c>
      <c r="G403" s="40" t="s">
        <v>33</v>
      </c>
      <c r="H403" s="71">
        <v>556.0</v>
      </c>
      <c r="I403" s="41"/>
      <c r="J403" s="40">
        <v>4.0</v>
      </c>
      <c r="K403" s="41"/>
      <c r="L403" s="41"/>
      <c r="M403" s="41"/>
      <c r="N403" s="41"/>
      <c r="O403" s="41"/>
      <c r="P403" s="41"/>
      <c r="Q403" s="41"/>
      <c r="R403" s="41"/>
      <c r="S403" s="41"/>
      <c r="T403" s="41"/>
      <c r="U403" s="41"/>
      <c r="V403" s="41"/>
      <c r="W403" s="41"/>
      <c r="X403" s="41"/>
      <c r="Y403" s="41"/>
      <c r="Z403" s="47"/>
      <c r="AA403" s="43"/>
      <c r="AB403" s="48"/>
      <c r="AC403" s="48"/>
      <c r="AD403" s="48"/>
      <c r="AE403" s="48"/>
      <c r="AF403" s="48"/>
    </row>
    <row r="404">
      <c r="A404" s="39">
        <v>2.0</v>
      </c>
      <c r="B404" s="70" t="s">
        <v>890</v>
      </c>
      <c r="C404" s="40">
        <v>400.0</v>
      </c>
      <c r="D404" s="40">
        <v>4.0</v>
      </c>
      <c r="E404" s="41"/>
      <c r="F404" s="42" t="str">
        <f>HYPERLINK("https://www.liputan6.com/global/read/4134316/video-india-akan-beri-imigran-warga-negara-kecuali-muslim ","sumber")</f>
        <v>sumber</v>
      </c>
      <c r="G404" s="40" t="s">
        <v>33</v>
      </c>
      <c r="H404" s="71">
        <v>18.0</v>
      </c>
      <c r="I404" s="41"/>
      <c r="J404" s="40">
        <v>4.0</v>
      </c>
      <c r="K404" s="41"/>
      <c r="L404" s="41"/>
      <c r="M404" s="41"/>
      <c r="N404" s="41"/>
      <c r="O404" s="41"/>
      <c r="P404" s="41"/>
      <c r="Q404" s="41"/>
      <c r="R404" s="41"/>
      <c r="S404" s="41"/>
      <c r="T404" s="41"/>
      <c r="U404" s="41"/>
      <c r="V404" s="41"/>
      <c r="W404" s="41"/>
      <c r="X404" s="41"/>
      <c r="Y404" s="41"/>
      <c r="Z404" s="47"/>
      <c r="AA404" s="43"/>
      <c r="AB404" s="48"/>
      <c r="AC404" s="48"/>
      <c r="AD404" s="48"/>
      <c r="AE404" s="48"/>
      <c r="AF404" s="48"/>
    </row>
    <row r="405">
      <c r="A405" s="39">
        <v>2.0</v>
      </c>
      <c r="B405" s="70" t="s">
        <v>891</v>
      </c>
      <c r="C405" s="40">
        <v>401.0</v>
      </c>
      <c r="D405" s="40">
        <v>7.0</v>
      </c>
      <c r="E405" s="41"/>
      <c r="F405" s="42" t="str">
        <f>HYPERLINK("https://www.tribunnews.com/regional/2019/12/15/tim-sar-evakuasi-tiga-nelayan-dari-boat-yang-mati-mesin-di-perairan-alue-naga ","sumber")</f>
        <v>sumber</v>
      </c>
      <c r="G405" s="40" t="s">
        <v>33</v>
      </c>
      <c r="H405" s="71">
        <v>358.0</v>
      </c>
      <c r="I405" s="41"/>
      <c r="J405" s="40">
        <v>4.0</v>
      </c>
      <c r="K405" s="41"/>
      <c r="L405" s="41"/>
      <c r="M405" s="41"/>
      <c r="N405" s="41"/>
      <c r="O405" s="41"/>
      <c r="P405" s="41"/>
      <c r="Q405" s="41"/>
      <c r="R405" s="41"/>
      <c r="S405" s="41"/>
      <c r="T405" s="41"/>
      <c r="U405" s="41"/>
      <c r="V405" s="41"/>
      <c r="W405" s="41"/>
      <c r="X405" s="41"/>
      <c r="Y405" s="41"/>
      <c r="Z405" s="47"/>
      <c r="AA405" s="43"/>
      <c r="AB405" s="48"/>
      <c r="AC405" s="48"/>
      <c r="AD405" s="48"/>
      <c r="AE405" s="48"/>
      <c r="AF405" s="48"/>
    </row>
    <row r="406">
      <c r="A406" s="72">
        <v>1.0</v>
      </c>
      <c r="B406" s="73" t="s">
        <v>892</v>
      </c>
      <c r="C406" s="59">
        <v>402.0</v>
      </c>
      <c r="D406" s="59">
        <v>10.0</v>
      </c>
      <c r="E406" s="59" t="s">
        <v>893</v>
      </c>
      <c r="F406" s="61" t="str">
        <f>HYPERLINK("https://dunia.tempo.co/read/1285283/mahkamah-agung-india-putuskan-tetap-menerapkan-uu-kewarganegaraan ","sumber")</f>
        <v>sumber</v>
      </c>
      <c r="G406" s="59" t="s">
        <v>33</v>
      </c>
      <c r="H406" s="76">
        <v>212.0</v>
      </c>
      <c r="I406" s="59">
        <v>4.0</v>
      </c>
      <c r="J406" s="59">
        <v>4.0</v>
      </c>
      <c r="K406" s="59" t="s">
        <v>894</v>
      </c>
      <c r="L406" s="59">
        <v>0.0</v>
      </c>
      <c r="M406" s="59">
        <v>0.0</v>
      </c>
      <c r="N406" s="65">
        <v>0.0</v>
      </c>
      <c r="O406" s="59">
        <v>0.0</v>
      </c>
      <c r="P406" s="59">
        <v>0.0</v>
      </c>
      <c r="Q406" s="59">
        <v>0.0</v>
      </c>
      <c r="R406" s="59">
        <v>0.0</v>
      </c>
      <c r="S406" s="62"/>
      <c r="T406" s="59">
        <v>0.0</v>
      </c>
      <c r="U406" s="59">
        <v>0.0</v>
      </c>
      <c r="V406" s="59">
        <v>1.0</v>
      </c>
      <c r="W406" s="62"/>
      <c r="X406" s="62"/>
      <c r="Y406" s="62"/>
      <c r="Z406" s="63"/>
      <c r="AA406" s="63"/>
      <c r="AB406" s="63"/>
      <c r="AC406" s="63"/>
      <c r="AD406" s="63"/>
      <c r="AE406" s="63"/>
      <c r="AF406" s="63"/>
    </row>
    <row r="407">
      <c r="A407" s="72">
        <v>1.0</v>
      </c>
      <c r="B407" s="73" t="s">
        <v>895</v>
      </c>
      <c r="C407" s="59">
        <v>403.0</v>
      </c>
      <c r="D407" s="59">
        <v>1.0</v>
      </c>
      <c r="E407" s="59" t="s">
        <v>896</v>
      </c>
      <c r="F407" s="61" t="str">
        <f>HYPERLINK("https://hot.detik.com/celeb/d-4830824/haddad-alwi-jawab-tudingan-pengikut-syiah ","sumber")</f>
        <v>sumber</v>
      </c>
      <c r="G407" s="59" t="s">
        <v>33</v>
      </c>
      <c r="H407" s="76">
        <v>251.0</v>
      </c>
      <c r="I407" s="59">
        <v>1.0</v>
      </c>
      <c r="J407" s="59">
        <v>4.0</v>
      </c>
      <c r="K407" s="59" t="s">
        <v>897</v>
      </c>
      <c r="L407" s="59">
        <v>0.0</v>
      </c>
      <c r="M407" s="59">
        <v>1.0</v>
      </c>
      <c r="N407" s="65">
        <v>0.0</v>
      </c>
      <c r="O407" s="59">
        <v>0.0</v>
      </c>
      <c r="P407" s="59">
        <v>0.0</v>
      </c>
      <c r="Q407" s="59">
        <v>2.0</v>
      </c>
      <c r="R407" s="59">
        <v>1.0</v>
      </c>
      <c r="S407" s="62"/>
      <c r="T407" s="59">
        <v>0.0</v>
      </c>
      <c r="U407" s="59">
        <v>0.0</v>
      </c>
      <c r="V407" s="59">
        <v>0.0</v>
      </c>
      <c r="W407" s="62"/>
      <c r="X407" s="62"/>
      <c r="Y407" s="62"/>
      <c r="Z407" s="63"/>
      <c r="AA407" s="63"/>
      <c r="AB407" s="63"/>
      <c r="AC407" s="63"/>
      <c r="AD407" s="63"/>
      <c r="AE407" s="63"/>
      <c r="AF407" s="63"/>
    </row>
    <row r="408">
      <c r="A408" s="72">
        <v>1.0</v>
      </c>
      <c r="B408" s="73" t="s">
        <v>898</v>
      </c>
      <c r="C408" s="59">
        <v>404.0</v>
      </c>
      <c r="D408" s="59">
        <v>1.0</v>
      </c>
      <c r="E408" s="59" t="s">
        <v>899</v>
      </c>
      <c r="F408" s="61" t="str">
        <f>HYPERLINK("https://hot.detik.com/celeb/d-4831136/haddad-alwi-dituduh-syiah-lalu-dipersekusi-ini-kata-ustaz-solmed ","sumber")</f>
        <v>sumber</v>
      </c>
      <c r="G408" s="59" t="s">
        <v>33</v>
      </c>
      <c r="H408" s="76">
        <v>225.0</v>
      </c>
      <c r="I408" s="59">
        <v>1.0</v>
      </c>
      <c r="J408" s="59">
        <v>4.0</v>
      </c>
      <c r="K408" s="59" t="s">
        <v>900</v>
      </c>
      <c r="L408" s="59">
        <v>0.0</v>
      </c>
      <c r="M408" s="59">
        <v>-1.0</v>
      </c>
      <c r="N408" s="65">
        <v>0.0</v>
      </c>
      <c r="O408" s="59">
        <v>0.0</v>
      </c>
      <c r="P408" s="59">
        <v>0.0</v>
      </c>
      <c r="Q408" s="59">
        <v>0.0</v>
      </c>
      <c r="R408" s="59">
        <v>1.0</v>
      </c>
      <c r="S408" s="62"/>
      <c r="T408" s="59">
        <v>0.0</v>
      </c>
      <c r="U408" s="59">
        <v>0.0</v>
      </c>
      <c r="V408" s="59">
        <v>0.0</v>
      </c>
      <c r="W408" s="62"/>
      <c r="X408" s="62"/>
      <c r="Y408" s="62"/>
      <c r="Z408" s="63"/>
      <c r="AA408" s="63"/>
      <c r="AB408" s="63"/>
      <c r="AC408" s="63"/>
      <c r="AD408" s="63"/>
      <c r="AE408" s="63"/>
      <c r="AF408" s="63"/>
    </row>
    <row r="409">
      <c r="A409" s="72">
        <v>1.0</v>
      </c>
      <c r="B409" s="73" t="s">
        <v>901</v>
      </c>
      <c r="C409" s="59">
        <v>405.0</v>
      </c>
      <c r="D409" s="59">
        <v>10.0</v>
      </c>
      <c r="E409" s="59" t="s">
        <v>902</v>
      </c>
      <c r="F409" s="61" t="str">
        <f>HYPERLINK("https://nasional.tempo.co/read/1286593/haddad-alwi-vs-basim-laskah-fpi-ikut-bersalawat ","sumber")</f>
        <v>sumber</v>
      </c>
      <c r="G409" s="59" t="s">
        <v>33</v>
      </c>
      <c r="H409" s="76">
        <v>267.0</v>
      </c>
      <c r="I409" s="59">
        <v>1.0</v>
      </c>
      <c r="J409" s="59">
        <v>4.0</v>
      </c>
      <c r="K409" s="59" t="s">
        <v>903</v>
      </c>
      <c r="L409" s="59">
        <v>0.0</v>
      </c>
      <c r="M409" s="59">
        <v>1.0</v>
      </c>
      <c r="N409" s="65">
        <v>0.0</v>
      </c>
      <c r="O409" s="59">
        <v>0.0</v>
      </c>
      <c r="P409" s="59">
        <v>0.0</v>
      </c>
      <c r="Q409" s="59" t="s">
        <v>119</v>
      </c>
      <c r="R409" s="59" t="s">
        <v>62</v>
      </c>
      <c r="S409" s="62"/>
      <c r="T409" s="59">
        <v>0.0</v>
      </c>
      <c r="U409" s="59">
        <v>0.0</v>
      </c>
      <c r="V409" s="59">
        <v>0.0</v>
      </c>
      <c r="W409" s="62"/>
      <c r="X409" s="62"/>
      <c r="Y409" s="62"/>
      <c r="Z409" s="63"/>
      <c r="AA409" s="63"/>
      <c r="AB409" s="63"/>
      <c r="AC409" s="63"/>
      <c r="AD409" s="63"/>
      <c r="AE409" s="63"/>
      <c r="AF409" s="63"/>
    </row>
    <row r="410">
      <c r="A410" s="39">
        <v>2.0</v>
      </c>
      <c r="B410" s="70" t="s">
        <v>904</v>
      </c>
      <c r="C410" s="40">
        <v>406.0</v>
      </c>
      <c r="D410" s="40">
        <v>10.0</v>
      </c>
      <c r="E410" s="40" t="s">
        <v>905</v>
      </c>
      <c r="F410" s="42" t="str">
        <f>HYPERLINK("https://dunia.tempo.co/read/1287201/polisi-india-selamat-karena-peluru-terhalang-dompet ","sumber")</f>
        <v>sumber</v>
      </c>
      <c r="G410" s="40" t="s">
        <v>33</v>
      </c>
      <c r="H410" s="71">
        <v>275.0</v>
      </c>
      <c r="I410" s="41"/>
      <c r="J410" s="40">
        <v>4.0</v>
      </c>
      <c r="K410" s="41"/>
      <c r="L410" s="41"/>
      <c r="M410" s="41"/>
      <c r="N410" s="41"/>
      <c r="O410" s="41"/>
      <c r="P410" s="41"/>
      <c r="Q410" s="41"/>
      <c r="R410" s="41"/>
      <c r="S410" s="41"/>
      <c r="T410" s="41"/>
      <c r="U410" s="41"/>
      <c r="V410" s="41"/>
      <c r="W410" s="41"/>
      <c r="X410" s="41"/>
      <c r="Y410" s="41"/>
      <c r="Z410" s="47"/>
      <c r="AA410" s="43"/>
      <c r="AB410" s="48"/>
      <c r="AC410" s="48"/>
      <c r="AD410" s="48"/>
      <c r="AE410" s="48"/>
      <c r="AF410" s="48"/>
    </row>
    <row r="411">
      <c r="A411" s="67">
        <v>1.0</v>
      </c>
      <c r="B411" s="77" t="s">
        <v>906</v>
      </c>
      <c r="C411" s="25">
        <v>407.0</v>
      </c>
      <c r="D411" s="25">
        <v>4.0</v>
      </c>
      <c r="E411" s="25" t="s">
        <v>907</v>
      </c>
      <c r="F411" s="27" t="str">
        <f>HYPERLINK("https://www.liputan6.com/news/read/4135862/nu-dan-ahmadiyah-sepakat-kerja-sama-sosial-kemanusiaan","sumber")</f>
        <v>sumber</v>
      </c>
      <c r="G411" s="25" t="s">
        <v>33</v>
      </c>
      <c r="H411" s="78">
        <v>291.0</v>
      </c>
      <c r="I411" s="25">
        <v>3.0</v>
      </c>
      <c r="J411" s="25">
        <v>4.0</v>
      </c>
      <c r="K411" s="25" t="s">
        <v>908</v>
      </c>
      <c r="L411" s="25">
        <v>0.0</v>
      </c>
      <c r="M411" s="25">
        <v>0.0</v>
      </c>
      <c r="N411" s="38">
        <v>0.0</v>
      </c>
      <c r="O411" s="25">
        <v>0.0</v>
      </c>
      <c r="P411" s="25">
        <v>0.0</v>
      </c>
      <c r="Q411" s="25" t="s">
        <v>119</v>
      </c>
      <c r="R411" s="25" t="s">
        <v>192</v>
      </c>
      <c r="S411" s="29"/>
      <c r="T411" s="25">
        <v>0.0</v>
      </c>
      <c r="U411" s="25">
        <v>0.0</v>
      </c>
      <c r="V411" s="25">
        <v>0.0</v>
      </c>
      <c r="W411" s="29"/>
      <c r="X411" s="29"/>
      <c r="Y411" s="29"/>
      <c r="Z411" s="46"/>
      <c r="AA411" s="46"/>
      <c r="AB411" s="46"/>
      <c r="AC411" s="46"/>
      <c r="AD411" s="46"/>
      <c r="AE411" s="46"/>
      <c r="AF411" s="46"/>
    </row>
    <row r="412">
      <c r="A412" s="39">
        <v>2.0</v>
      </c>
      <c r="B412" s="70" t="s">
        <v>909</v>
      </c>
      <c r="C412" s="40">
        <v>408.0</v>
      </c>
      <c r="D412" s="40">
        <v>7.0</v>
      </c>
      <c r="E412" s="53">
        <v>43534.0</v>
      </c>
      <c r="F412" s="42" t="str">
        <f>HYPERLINK("https://www.tribunnews.com/nasional/2019/10/03/setelah-disepakati-jadi-ketua-mpr-bamsoet-jabat-tangan-dengan-airlangga-hartarto ","sumber")</f>
        <v>sumber</v>
      </c>
      <c r="G412" s="40" t="s">
        <v>33</v>
      </c>
      <c r="H412" s="71">
        <v>223.0</v>
      </c>
      <c r="I412" s="41"/>
      <c r="J412" s="40">
        <v>2.0</v>
      </c>
      <c r="K412" s="41"/>
      <c r="L412" s="41"/>
      <c r="M412" s="41"/>
      <c r="N412" s="41"/>
      <c r="O412" s="41"/>
      <c r="P412" s="41"/>
      <c r="Q412" s="41"/>
      <c r="R412" s="41"/>
      <c r="S412" s="41"/>
      <c r="T412" s="41"/>
      <c r="U412" s="41"/>
      <c r="V412" s="41"/>
      <c r="W412" s="41"/>
      <c r="X412" s="41"/>
      <c r="Y412" s="41"/>
      <c r="Z412" s="47"/>
      <c r="AA412" s="43"/>
      <c r="AB412" s="48"/>
      <c r="AC412" s="48"/>
      <c r="AD412" s="48"/>
      <c r="AE412" s="48"/>
      <c r="AF412" s="48"/>
    </row>
    <row r="413">
      <c r="A413" s="72">
        <v>1.0</v>
      </c>
      <c r="B413" s="73" t="s">
        <v>910</v>
      </c>
      <c r="C413" s="59">
        <v>409.0</v>
      </c>
      <c r="D413" s="59">
        <v>6.0</v>
      </c>
      <c r="E413" s="60">
        <v>43565.0</v>
      </c>
      <c r="F413" s="61" t="str">
        <f>HYPERLINK("https://regional.kompas.com/read/2019/10/04/20422641/sebelum-dikurung-di-bekas-kandang-ayam-bocah-12-tahun-ini-sempat-dikubur ","sumber")</f>
        <v>sumber</v>
      </c>
      <c r="G413" s="59" t="s">
        <v>33</v>
      </c>
      <c r="H413" s="76">
        <v>240.0</v>
      </c>
      <c r="I413" s="59">
        <v>1.0</v>
      </c>
      <c r="J413" s="59">
        <v>2.0</v>
      </c>
      <c r="K413" s="59" t="s">
        <v>911</v>
      </c>
      <c r="L413" s="59">
        <v>0.0</v>
      </c>
      <c r="M413" s="59">
        <v>-1.0</v>
      </c>
      <c r="N413" s="65">
        <v>0.0</v>
      </c>
      <c r="O413" s="59">
        <v>0.0</v>
      </c>
      <c r="P413" s="59">
        <v>0.0</v>
      </c>
      <c r="Q413" s="59" t="s">
        <v>61</v>
      </c>
      <c r="R413" s="59" t="s">
        <v>61</v>
      </c>
      <c r="S413" s="62"/>
      <c r="T413" s="59">
        <v>0.0</v>
      </c>
      <c r="U413" s="59">
        <v>0.0</v>
      </c>
      <c r="V413" s="59">
        <v>0.0</v>
      </c>
      <c r="W413" s="62"/>
      <c r="X413" s="62"/>
      <c r="Y413" s="62"/>
      <c r="Z413" s="63"/>
      <c r="AA413" s="63"/>
      <c r="AB413" s="63"/>
      <c r="AC413" s="63"/>
      <c r="AD413" s="63"/>
      <c r="AE413" s="63"/>
      <c r="AF413" s="63"/>
    </row>
    <row r="414">
      <c r="A414" s="39">
        <v>2.0</v>
      </c>
      <c r="B414" s="70" t="s">
        <v>912</v>
      </c>
      <c r="C414" s="40">
        <v>410.0</v>
      </c>
      <c r="D414" s="40">
        <v>8.0</v>
      </c>
      <c r="E414" s="53">
        <v>43565.0</v>
      </c>
      <c r="F414" s="42" t="str">
        <f>HYPERLINK("https://www.suara.com/health/2019/10/04/171500/alami-kdrt-wanita-ini-cedera-parah-sampai-butuh-transplantasi-wajah ","sumber")</f>
        <v>sumber</v>
      </c>
      <c r="G414" s="40" t="s">
        <v>33</v>
      </c>
      <c r="H414" s="71">
        <v>244.0</v>
      </c>
      <c r="I414" s="41"/>
      <c r="J414" s="40">
        <v>2.0</v>
      </c>
      <c r="K414" s="41"/>
      <c r="L414" s="41"/>
      <c r="M414" s="41"/>
      <c r="N414" s="41"/>
      <c r="O414" s="41"/>
      <c r="P414" s="41"/>
      <c r="Q414" s="41"/>
      <c r="R414" s="41"/>
      <c r="S414" s="41"/>
      <c r="T414" s="41"/>
      <c r="U414" s="41"/>
      <c r="V414" s="41"/>
      <c r="W414" s="41"/>
      <c r="X414" s="41"/>
      <c r="Y414" s="41"/>
      <c r="Z414" s="47"/>
      <c r="AA414" s="43"/>
      <c r="AB414" s="48"/>
      <c r="AC414" s="48"/>
      <c r="AD414" s="48"/>
      <c r="AE414" s="48"/>
      <c r="AF414" s="48"/>
    </row>
    <row r="415">
      <c r="A415" s="39">
        <v>2.0</v>
      </c>
      <c r="B415" s="70" t="s">
        <v>913</v>
      </c>
      <c r="C415" s="40">
        <v>411.0</v>
      </c>
      <c r="D415" s="40">
        <v>5.0</v>
      </c>
      <c r="E415" s="53">
        <v>43565.0</v>
      </c>
      <c r="F415" s="42" t="str">
        <f>HYPERLINK("https://tirto.id/kenali-gejala-stroke-ringan-penyebab-dan-pencegahannya-ejcw ","sumber")</f>
        <v>sumber</v>
      </c>
      <c r="G415" s="40" t="s">
        <v>33</v>
      </c>
      <c r="H415" s="71">
        <v>578.0</v>
      </c>
      <c r="I415" s="41"/>
      <c r="J415" s="40">
        <v>2.0</v>
      </c>
      <c r="K415" s="41"/>
      <c r="L415" s="41"/>
      <c r="M415" s="41"/>
      <c r="N415" s="41"/>
      <c r="O415" s="41"/>
      <c r="P415" s="41"/>
      <c r="Q415" s="41"/>
      <c r="R415" s="41"/>
      <c r="S415" s="41"/>
      <c r="T415" s="41"/>
      <c r="U415" s="41"/>
      <c r="V415" s="41"/>
      <c r="W415" s="41"/>
      <c r="X415" s="41"/>
      <c r="Y415" s="41"/>
      <c r="Z415" s="47"/>
      <c r="AA415" s="43"/>
      <c r="AB415" s="48"/>
      <c r="AC415" s="48"/>
      <c r="AD415" s="48"/>
      <c r="AE415" s="48"/>
      <c r="AF415" s="48"/>
    </row>
    <row r="416">
      <c r="A416" s="72">
        <v>1.0</v>
      </c>
      <c r="B416" s="73" t="s">
        <v>914</v>
      </c>
      <c r="C416" s="59">
        <v>412.0</v>
      </c>
      <c r="D416" s="59">
        <v>7.0</v>
      </c>
      <c r="E416" s="60">
        <v>43565.0</v>
      </c>
      <c r="F416" s="61" t="str">
        <f>HYPERLINK("https://www.tribunnews.com/regional/2019/10/04/viral-pria-difabel-banting-tulang-hidupi-anak-istri-jual-lem-naik-agkot-ke-pasar-penuh-kendala ","sumber")</f>
        <v>sumber</v>
      </c>
      <c r="G416" s="59" t="s">
        <v>33</v>
      </c>
      <c r="H416" s="76">
        <v>155.0</v>
      </c>
      <c r="I416" s="59">
        <v>2.0</v>
      </c>
      <c r="J416" s="59">
        <v>2.0</v>
      </c>
      <c r="K416" s="59" t="s">
        <v>915</v>
      </c>
      <c r="L416" s="59">
        <v>0.0</v>
      </c>
      <c r="M416" s="59">
        <v>0.0</v>
      </c>
      <c r="N416" s="65">
        <v>0.0</v>
      </c>
      <c r="O416" s="59">
        <v>0.0</v>
      </c>
      <c r="P416" s="59">
        <v>-1.0</v>
      </c>
      <c r="Q416" s="59" t="s">
        <v>104</v>
      </c>
      <c r="R416" s="59" t="s">
        <v>916</v>
      </c>
      <c r="S416" s="62"/>
      <c r="T416" s="59">
        <v>0.0</v>
      </c>
      <c r="U416" s="59">
        <v>0.0</v>
      </c>
      <c r="V416" s="59">
        <v>0.0</v>
      </c>
      <c r="W416" s="62"/>
      <c r="X416" s="62"/>
      <c r="Y416" s="62"/>
      <c r="Z416" s="63"/>
      <c r="AA416" s="63"/>
      <c r="AB416" s="63"/>
      <c r="AC416" s="63"/>
      <c r="AD416" s="63"/>
      <c r="AE416" s="63"/>
      <c r="AF416" s="63"/>
    </row>
    <row r="417">
      <c r="A417" s="72">
        <v>1.0</v>
      </c>
      <c r="B417" s="73" t="s">
        <v>917</v>
      </c>
      <c r="C417" s="59">
        <v>413.0</v>
      </c>
      <c r="D417" s="59">
        <v>3.0</v>
      </c>
      <c r="E417" s="60">
        <v>43595.0</v>
      </c>
      <c r="F417" s="61" t="str">
        <f>HYPERLINK("https://celebrity.okezone.com/read/2019/10/04/33/2113075/tindakan-ekstrem-penggemar-demi-dapat-perhatian-idola-termasuk-gangguan-kejiwaan ","sumber")</f>
        <v>sumber</v>
      </c>
      <c r="G417" s="59" t="s">
        <v>33</v>
      </c>
      <c r="H417" s="76">
        <v>495.0</v>
      </c>
      <c r="I417" s="59">
        <v>1.0</v>
      </c>
      <c r="J417" s="59">
        <v>2.0</v>
      </c>
      <c r="K417" s="59" t="s">
        <v>918</v>
      </c>
      <c r="L417" s="59">
        <v>0.0</v>
      </c>
      <c r="M417" s="33">
        <v>0.0</v>
      </c>
      <c r="N417" s="65">
        <v>0.0</v>
      </c>
      <c r="O417" s="59">
        <v>0.0</v>
      </c>
      <c r="P417" s="59">
        <v>0.0</v>
      </c>
      <c r="Q417" s="59" t="s">
        <v>53</v>
      </c>
      <c r="R417" s="59" t="s">
        <v>53</v>
      </c>
      <c r="S417" s="62"/>
      <c r="T417" s="59">
        <v>0.0</v>
      </c>
      <c r="U417" s="59">
        <v>0.0</v>
      </c>
      <c r="V417" s="59">
        <v>0.0</v>
      </c>
      <c r="W417" s="62"/>
      <c r="X417" s="62"/>
      <c r="Y417" s="62"/>
      <c r="Z417" s="63"/>
      <c r="AA417" s="63"/>
      <c r="AB417" s="63"/>
      <c r="AC417" s="63"/>
      <c r="AD417" s="63"/>
      <c r="AE417" s="63"/>
      <c r="AF417" s="63"/>
    </row>
    <row r="418">
      <c r="A418" s="67">
        <v>1.0</v>
      </c>
      <c r="B418" s="77" t="s">
        <v>919</v>
      </c>
      <c r="C418" s="25">
        <v>414.0</v>
      </c>
      <c r="D418" s="25">
        <v>1.0</v>
      </c>
      <c r="E418" s="26">
        <v>43595.0</v>
      </c>
      <c r="F418" s="27" t="str">
        <f>HYPERLINK("https://inet.detik.com/cyberlife/d-4734521/panji-dan-anji-peringatkan-netizen-soal-joker","sumber")</f>
        <v>sumber</v>
      </c>
      <c r="G418" s="25" t="s">
        <v>33</v>
      </c>
      <c r="H418" s="78">
        <v>380.0</v>
      </c>
      <c r="I418" s="25">
        <v>2.0</v>
      </c>
      <c r="J418" s="25">
        <v>2.0</v>
      </c>
      <c r="K418" s="25" t="s">
        <v>920</v>
      </c>
      <c r="L418" s="25">
        <v>0.0</v>
      </c>
      <c r="M418" s="25">
        <v>0.0</v>
      </c>
      <c r="N418" s="38">
        <v>0.0</v>
      </c>
      <c r="O418" s="25">
        <v>0.0</v>
      </c>
      <c r="P418" s="25">
        <v>0.0</v>
      </c>
      <c r="Q418" s="25" t="s">
        <v>61</v>
      </c>
      <c r="R418" s="25" t="s">
        <v>62</v>
      </c>
      <c r="S418" s="25" t="s">
        <v>921</v>
      </c>
      <c r="T418" s="25">
        <v>1.0</v>
      </c>
      <c r="U418" s="25">
        <v>0.0</v>
      </c>
      <c r="V418" s="25">
        <v>0.0</v>
      </c>
      <c r="W418" s="29"/>
      <c r="X418" s="29"/>
      <c r="Y418" s="29"/>
      <c r="Z418" s="46"/>
      <c r="AA418" s="46"/>
      <c r="AB418" s="46"/>
      <c r="AC418" s="46"/>
      <c r="AD418" s="46"/>
      <c r="AE418" s="46"/>
      <c r="AF418" s="46"/>
    </row>
    <row r="419">
      <c r="A419" s="67">
        <v>1.0</v>
      </c>
      <c r="B419" s="77" t="s">
        <v>922</v>
      </c>
      <c r="C419" s="25">
        <v>415.0</v>
      </c>
      <c r="D419" s="25">
        <v>5.0</v>
      </c>
      <c r="E419" s="26">
        <v>43656.0</v>
      </c>
      <c r="F419" s="27" t="str">
        <f>HYPERLINK("https://tirto.id/kemenkes-usul-istilah-rumah-sakit-jiwa-diganti-untuk-hapus-stigma-ejmP","sumber")</f>
        <v>sumber</v>
      </c>
      <c r="G419" s="25" t="s">
        <v>33</v>
      </c>
      <c r="H419" s="78">
        <v>474.0</v>
      </c>
      <c r="I419" s="25">
        <v>4.0</v>
      </c>
      <c r="J419" s="25">
        <v>2.0</v>
      </c>
      <c r="K419" s="25" t="s">
        <v>923</v>
      </c>
      <c r="L419" s="25">
        <v>0.0</v>
      </c>
      <c r="M419" s="25">
        <v>0.0</v>
      </c>
      <c r="N419" s="38">
        <v>0.0</v>
      </c>
      <c r="O419" s="25">
        <v>0.0</v>
      </c>
      <c r="P419" s="25">
        <v>0.0</v>
      </c>
      <c r="Q419" s="25">
        <v>0.0</v>
      </c>
      <c r="R419" s="25">
        <v>1.0</v>
      </c>
      <c r="S419" s="29"/>
      <c r="T419" s="25">
        <v>0.0</v>
      </c>
      <c r="U419" s="25">
        <v>0.0</v>
      </c>
      <c r="V419" s="25">
        <v>1.0</v>
      </c>
      <c r="W419" s="29"/>
      <c r="X419" s="29"/>
      <c r="Y419" s="29"/>
      <c r="Z419" s="46"/>
      <c r="AA419" s="46"/>
      <c r="AB419" s="46"/>
      <c r="AC419" s="46"/>
      <c r="AD419" s="46"/>
      <c r="AE419" s="46"/>
      <c r="AF419" s="46"/>
    </row>
    <row r="420">
      <c r="A420" s="67">
        <v>1.0</v>
      </c>
      <c r="B420" s="77" t="s">
        <v>924</v>
      </c>
      <c r="C420" s="25">
        <v>416.0</v>
      </c>
      <c r="D420" s="25">
        <v>8.0</v>
      </c>
      <c r="E420" s="26">
        <v>43687.0</v>
      </c>
      <c r="F420" s="27" t="str">
        <f>HYPERLINK("https://jatim.suara.com/read/2019/10/08/152022/pukul-ayah-pakai-linggis-alasan-imron-dipasung-di-kandang-kambing","sumber")</f>
        <v>sumber</v>
      </c>
      <c r="G420" s="25" t="s">
        <v>33</v>
      </c>
      <c r="H420" s="78">
        <v>397.0</v>
      </c>
      <c r="I420" s="25">
        <v>1.0</v>
      </c>
      <c r="J420" s="25">
        <v>2.0</v>
      </c>
      <c r="K420" s="25" t="s">
        <v>925</v>
      </c>
      <c r="L420" s="25">
        <v>0.0</v>
      </c>
      <c r="M420" s="25">
        <v>-1.0</v>
      </c>
      <c r="N420" s="38">
        <v>0.0</v>
      </c>
      <c r="O420" s="25">
        <v>0.0</v>
      </c>
      <c r="P420" s="25">
        <v>0.0</v>
      </c>
      <c r="Q420" s="25" t="s">
        <v>119</v>
      </c>
      <c r="R420" s="25" t="s">
        <v>61</v>
      </c>
      <c r="S420" s="29"/>
      <c r="T420" s="25">
        <v>0.0</v>
      </c>
      <c r="U420" s="25">
        <v>0.0</v>
      </c>
      <c r="V420" s="25">
        <v>0.0</v>
      </c>
      <c r="W420" s="29"/>
      <c r="X420" s="29"/>
      <c r="Y420" s="29"/>
      <c r="Z420" s="46"/>
      <c r="AA420" s="46"/>
      <c r="AB420" s="46"/>
      <c r="AC420" s="46"/>
      <c r="AD420" s="46"/>
      <c r="AE420" s="46"/>
      <c r="AF420" s="46"/>
    </row>
    <row r="421">
      <c r="A421" s="67">
        <v>1.0</v>
      </c>
      <c r="B421" s="77" t="s">
        <v>926</v>
      </c>
      <c r="C421" s="25">
        <v>417.0</v>
      </c>
      <c r="D421" s="25">
        <v>1.0</v>
      </c>
      <c r="E421" s="26">
        <v>43718.0</v>
      </c>
      <c r="F421" s="27" t="str">
        <f>HYPERLINK("https://news.detik.com/berita-jawa-barat/d-4740049/jadi-tersangka-penculik-bocah-paud-di-tasik-mengaku-mau-merawat-korban","sumber")</f>
        <v>sumber</v>
      </c>
      <c r="G421" s="25" t="s">
        <v>33</v>
      </c>
      <c r="H421" s="78">
        <v>250.0</v>
      </c>
      <c r="I421" s="25">
        <v>1.0</v>
      </c>
      <c r="J421" s="25">
        <v>2.0</v>
      </c>
      <c r="K421" s="25" t="s">
        <v>927</v>
      </c>
      <c r="L421" s="25">
        <v>0.0</v>
      </c>
      <c r="M421" s="25">
        <v>0.0</v>
      </c>
      <c r="N421" s="38">
        <v>0.0</v>
      </c>
      <c r="O421" s="25">
        <v>0.0</v>
      </c>
      <c r="P421" s="25">
        <v>0.0</v>
      </c>
      <c r="Q421" s="25" t="s">
        <v>53</v>
      </c>
      <c r="R421" s="25" t="s">
        <v>53</v>
      </c>
      <c r="S421" s="25" t="s">
        <v>500</v>
      </c>
      <c r="T421" s="25">
        <v>1.0</v>
      </c>
      <c r="U421" s="25">
        <v>0.0</v>
      </c>
      <c r="V421" s="25">
        <v>0.0</v>
      </c>
      <c r="W421" s="29"/>
      <c r="X421" s="29"/>
      <c r="Y421" s="29"/>
      <c r="Z421" s="46"/>
      <c r="AA421" s="46"/>
      <c r="AB421" s="46"/>
      <c r="AC421" s="46"/>
      <c r="AD421" s="46"/>
      <c r="AE421" s="46"/>
      <c r="AF421" s="46"/>
    </row>
    <row r="422">
      <c r="A422" s="72">
        <v>1.0</v>
      </c>
      <c r="B422" s="73" t="s">
        <v>928</v>
      </c>
      <c r="C422" s="59">
        <v>418.0</v>
      </c>
      <c r="D422" s="59">
        <v>9.0</v>
      </c>
      <c r="E422" s="60">
        <v>43718.0</v>
      </c>
      <c r="F422" s="61" t="str">
        <f>HYPERLINK("https://nasional.republika.co.id/berita/pz2b5r409/81-persen-kasus-kebutaan-di-indonesia-terjadi-akibat-katarak ","sumber")</f>
        <v>sumber</v>
      </c>
      <c r="G422" s="59" t="s">
        <v>33</v>
      </c>
      <c r="H422" s="76">
        <v>333.0</v>
      </c>
      <c r="I422" s="59">
        <v>5.0</v>
      </c>
      <c r="J422" s="59">
        <v>2.0</v>
      </c>
      <c r="K422" s="59" t="s">
        <v>929</v>
      </c>
      <c r="L422" s="59">
        <v>0.0</v>
      </c>
      <c r="M422" s="59">
        <v>0.0</v>
      </c>
      <c r="N422" s="65">
        <v>0.0</v>
      </c>
      <c r="O422" s="59">
        <v>0.0</v>
      </c>
      <c r="P422" s="59">
        <v>0.0</v>
      </c>
      <c r="Q422" s="59">
        <v>0.0</v>
      </c>
      <c r="R422" s="59">
        <v>0.0</v>
      </c>
      <c r="S422" s="62"/>
      <c r="T422" s="59">
        <v>0.0</v>
      </c>
      <c r="U422" s="59">
        <v>0.0</v>
      </c>
      <c r="V422" s="59">
        <v>0.0</v>
      </c>
      <c r="W422" s="62"/>
      <c r="X422" s="62"/>
      <c r="Y422" s="62"/>
      <c r="Z422" s="63"/>
      <c r="AA422" s="63"/>
      <c r="AB422" s="63"/>
      <c r="AC422" s="63"/>
      <c r="AD422" s="63"/>
      <c r="AE422" s="63"/>
      <c r="AF422" s="63"/>
    </row>
    <row r="423">
      <c r="A423" s="72">
        <v>1.0</v>
      </c>
      <c r="B423" s="73" t="s">
        <v>930</v>
      </c>
      <c r="C423" s="59">
        <v>419.0</v>
      </c>
      <c r="D423" s="59">
        <v>5.0</v>
      </c>
      <c r="E423" s="60">
        <v>43718.0</v>
      </c>
      <c r="F423" s="61" t="str">
        <f>HYPERLINK("https://tirto.id/jakarta-fashion-week-2020-akan-digelar-19-25-oktober-mendatang-ejug ","sumber")</f>
        <v>sumber</v>
      </c>
      <c r="G423" s="59" t="s">
        <v>33</v>
      </c>
      <c r="H423" s="76">
        <v>439.0</v>
      </c>
      <c r="I423" s="59">
        <v>3.0</v>
      </c>
      <c r="J423" s="59">
        <v>2.0</v>
      </c>
      <c r="K423" s="59"/>
      <c r="L423" s="59">
        <v>0.0</v>
      </c>
      <c r="M423" s="59">
        <v>0.0</v>
      </c>
      <c r="N423" s="65">
        <v>0.0</v>
      </c>
      <c r="O423" s="59">
        <v>0.0</v>
      </c>
      <c r="P423" s="59">
        <v>0.0</v>
      </c>
      <c r="Q423" s="59"/>
      <c r="R423" s="59"/>
      <c r="S423" s="62"/>
      <c r="T423" s="59">
        <v>0.0</v>
      </c>
      <c r="U423" s="59">
        <v>0.0</v>
      </c>
      <c r="V423" s="59">
        <v>0.0</v>
      </c>
      <c r="W423" s="62"/>
      <c r="X423" s="62"/>
      <c r="Y423" s="62"/>
      <c r="Z423" s="63"/>
      <c r="AA423" s="63"/>
      <c r="AB423" s="63"/>
      <c r="AC423" s="63"/>
      <c r="AD423" s="63"/>
      <c r="AE423" s="63"/>
      <c r="AF423" s="63"/>
    </row>
    <row r="424">
      <c r="A424" s="72">
        <v>1.0</v>
      </c>
      <c r="B424" s="73" t="s">
        <v>931</v>
      </c>
      <c r="C424" s="59">
        <v>420.0</v>
      </c>
      <c r="D424" s="59">
        <v>1.0</v>
      </c>
      <c r="E424" s="59" t="s">
        <v>932</v>
      </c>
      <c r="F424" s="61" t="str">
        <f>HYPERLINK("https://news.detik.com/berita-jawa-tengah/d-4789150/cerita-warga-soal-temuan-mayat-remaja-terkubur-di-pekarangan-rumah ","sumber")</f>
        <v>sumber</v>
      </c>
      <c r="G424" s="59" t="s">
        <v>33</v>
      </c>
      <c r="H424" s="76">
        <v>220.0</v>
      </c>
      <c r="I424" s="59">
        <v>1.0</v>
      </c>
      <c r="J424" s="59">
        <v>2.0</v>
      </c>
      <c r="K424" s="59" t="s">
        <v>933</v>
      </c>
      <c r="L424" s="59">
        <v>0.0</v>
      </c>
      <c r="M424" s="33">
        <v>0.0</v>
      </c>
      <c r="N424" s="65">
        <v>0.0</v>
      </c>
      <c r="O424" s="59">
        <v>0.0</v>
      </c>
      <c r="P424" s="59">
        <v>0.0</v>
      </c>
      <c r="Q424" s="59">
        <v>0.0</v>
      </c>
      <c r="R424" s="59">
        <v>0.0</v>
      </c>
      <c r="S424" s="62"/>
      <c r="T424" s="59">
        <v>0.0</v>
      </c>
      <c r="U424" s="59">
        <v>0.0</v>
      </c>
      <c r="V424" s="59">
        <v>0.0</v>
      </c>
      <c r="W424" s="62"/>
      <c r="X424" s="62"/>
      <c r="Y424" s="62"/>
      <c r="Z424" s="63"/>
      <c r="AA424" s="63"/>
      <c r="AB424" s="63"/>
      <c r="AC424" s="63"/>
      <c r="AD424" s="63"/>
      <c r="AE424" s="63"/>
      <c r="AF424" s="63"/>
    </row>
    <row r="425">
      <c r="A425" s="39">
        <v>2.0</v>
      </c>
      <c r="B425" s="70" t="s">
        <v>934</v>
      </c>
      <c r="C425" s="40">
        <v>421.0</v>
      </c>
      <c r="D425" s="40">
        <v>9.0</v>
      </c>
      <c r="E425" s="40" t="s">
        <v>932</v>
      </c>
      <c r="F425" s="42" t="str">
        <f>HYPERLINK("https://republika.co.id/berita/q1699h5017000/pengguna-samsung-lg-dan-motorola-hpmu-dalam-bahaya ","sumber")</f>
        <v>sumber</v>
      </c>
      <c r="G425" s="40" t="s">
        <v>33</v>
      </c>
      <c r="H425" s="71">
        <v>287.0</v>
      </c>
      <c r="I425" s="41"/>
      <c r="J425" s="40">
        <v>2.0</v>
      </c>
      <c r="K425" s="41"/>
      <c r="L425" s="41"/>
      <c r="M425" s="41"/>
      <c r="N425" s="41"/>
      <c r="O425" s="41"/>
      <c r="P425" s="41"/>
      <c r="Q425" s="41"/>
      <c r="R425" s="41"/>
      <c r="S425" s="41"/>
      <c r="T425" s="41"/>
      <c r="U425" s="41"/>
      <c r="V425" s="41"/>
      <c r="W425" s="41"/>
      <c r="X425" s="41"/>
      <c r="Y425" s="41"/>
      <c r="Z425" s="47"/>
      <c r="AA425" s="43"/>
      <c r="AB425" s="48"/>
      <c r="AC425" s="48"/>
      <c r="AD425" s="48"/>
      <c r="AE425" s="48"/>
      <c r="AF425" s="48"/>
    </row>
    <row r="426">
      <c r="A426" s="39">
        <v>2.0</v>
      </c>
      <c r="B426" s="70" t="s">
        <v>935</v>
      </c>
      <c r="C426" s="40">
        <v>422.0</v>
      </c>
      <c r="D426" s="40">
        <v>2.0</v>
      </c>
      <c r="E426" s="40" t="s">
        <v>936</v>
      </c>
      <c r="F426" s="42" t="str">
        <f>HYPERLINK("https://www.cnnindonesia.com/nasional/20191119150202-12-449682/usai-sidang-orang-tua-siswa-gonzaga-buka-peluang-berdamai ","sumber")</f>
        <v>sumber</v>
      </c>
      <c r="G426" s="40" t="s">
        <v>33</v>
      </c>
      <c r="H426" s="71">
        <v>325.0</v>
      </c>
      <c r="I426" s="41"/>
      <c r="J426" s="40">
        <v>2.0</v>
      </c>
      <c r="K426" s="41"/>
      <c r="L426" s="41"/>
      <c r="M426" s="41"/>
      <c r="N426" s="41"/>
      <c r="O426" s="41"/>
      <c r="P426" s="41"/>
      <c r="Q426" s="41"/>
      <c r="R426" s="41"/>
      <c r="S426" s="41"/>
      <c r="T426" s="41"/>
      <c r="U426" s="41"/>
      <c r="V426" s="41"/>
      <c r="W426" s="41"/>
      <c r="X426" s="41"/>
      <c r="Y426" s="41"/>
      <c r="Z426" s="47"/>
      <c r="AA426" s="43"/>
      <c r="AB426" s="48"/>
      <c r="AC426" s="48"/>
      <c r="AD426" s="48"/>
      <c r="AE426" s="48"/>
      <c r="AF426" s="48"/>
    </row>
    <row r="427">
      <c r="A427" s="39">
        <v>2.0</v>
      </c>
      <c r="B427" s="70" t="s">
        <v>937</v>
      </c>
      <c r="C427" s="40">
        <v>423.0</v>
      </c>
      <c r="D427" s="40">
        <v>1.0</v>
      </c>
      <c r="E427" s="40" t="s">
        <v>882</v>
      </c>
      <c r="F427" s="42" t="str">
        <f>HYPERLINK("https://sport.detik.com/sepakbola/liga-jerman/d-4792507/lewandowski-masih-bisa-lebih-gila-lagi ","sumber")</f>
        <v>sumber</v>
      </c>
      <c r="G427" s="40" t="s">
        <v>33</v>
      </c>
      <c r="H427" s="71">
        <v>266.0</v>
      </c>
      <c r="I427" s="41"/>
      <c r="J427" s="40">
        <v>2.0</v>
      </c>
      <c r="K427" s="41"/>
      <c r="L427" s="41"/>
      <c r="M427" s="41"/>
      <c r="N427" s="41"/>
      <c r="O427" s="41"/>
      <c r="P427" s="41"/>
      <c r="Q427" s="41"/>
      <c r="R427" s="41"/>
      <c r="S427" s="41"/>
      <c r="T427" s="41"/>
      <c r="U427" s="41"/>
      <c r="V427" s="41"/>
      <c r="W427" s="41"/>
      <c r="X427" s="41"/>
      <c r="Y427" s="41"/>
      <c r="Z427" s="47"/>
      <c r="AA427" s="43"/>
      <c r="AB427" s="48"/>
      <c r="AC427" s="48"/>
      <c r="AD427" s="48"/>
      <c r="AE427" s="48"/>
      <c r="AF427" s="48"/>
    </row>
    <row r="428">
      <c r="A428" s="72">
        <v>1.0</v>
      </c>
      <c r="B428" s="73" t="s">
        <v>938</v>
      </c>
      <c r="C428" s="59">
        <v>424.0</v>
      </c>
      <c r="D428" s="59">
        <v>9.0</v>
      </c>
      <c r="E428" s="59" t="s">
        <v>882</v>
      </c>
      <c r="F428" s="61" t="str">
        <f>HYPERLINK("https://republika.co.id/berita/q1989n335/uns-jalin-kerjasama-dengan-npc-indonesia ","sumber")</f>
        <v>sumber</v>
      </c>
      <c r="G428" s="59" t="s">
        <v>33</v>
      </c>
      <c r="H428" s="76">
        <v>297.0</v>
      </c>
      <c r="I428" s="59">
        <v>3.0</v>
      </c>
      <c r="J428" s="59">
        <v>2.0</v>
      </c>
      <c r="K428" s="59" t="s">
        <v>939</v>
      </c>
      <c r="L428" s="59">
        <v>0.0</v>
      </c>
      <c r="M428" s="59">
        <v>0.0</v>
      </c>
      <c r="N428" s="65">
        <v>0.0</v>
      </c>
      <c r="O428" s="59">
        <v>0.0</v>
      </c>
      <c r="P428" s="59">
        <v>0.0</v>
      </c>
      <c r="Q428" s="59" t="s">
        <v>61</v>
      </c>
      <c r="R428" s="59" t="s">
        <v>61</v>
      </c>
      <c r="S428" s="62"/>
      <c r="T428" s="59">
        <v>0.0</v>
      </c>
      <c r="U428" s="59">
        <v>0.0</v>
      </c>
      <c r="V428" s="59">
        <v>0.0</v>
      </c>
      <c r="W428" s="62"/>
      <c r="X428" s="62"/>
      <c r="Y428" s="62"/>
      <c r="Z428" s="79"/>
      <c r="AA428" s="63"/>
      <c r="AB428" s="63"/>
      <c r="AC428" s="63"/>
      <c r="AD428" s="63"/>
      <c r="AE428" s="63"/>
      <c r="AF428" s="63"/>
    </row>
    <row r="429">
      <c r="A429" s="39">
        <v>2.0</v>
      </c>
      <c r="B429" s="70" t="s">
        <v>940</v>
      </c>
      <c r="C429" s="40">
        <v>425.0</v>
      </c>
      <c r="D429" s="40">
        <v>8.0</v>
      </c>
      <c r="E429" s="40" t="s">
        <v>882</v>
      </c>
      <c r="F429" s="42" t="str">
        <f>HYPERLINK("https://www.suara.com/lifestyle/2019/11/20/203500/5-berita-lifestyle-menarik-hari-ikan-nasional-zodiak-tri-rismaharini ","sumber")</f>
        <v>sumber</v>
      </c>
      <c r="G429" s="40" t="s">
        <v>33</v>
      </c>
      <c r="H429" s="71">
        <v>314.0</v>
      </c>
      <c r="I429" s="41"/>
      <c r="J429" s="40">
        <v>2.0</v>
      </c>
      <c r="K429" s="41"/>
      <c r="L429" s="41"/>
      <c r="M429" s="41"/>
      <c r="N429" s="41"/>
      <c r="O429" s="41"/>
      <c r="P429" s="41"/>
      <c r="Q429" s="41"/>
      <c r="R429" s="41"/>
      <c r="S429" s="41"/>
      <c r="T429" s="41"/>
      <c r="U429" s="41"/>
      <c r="V429" s="41"/>
      <c r="W429" s="41"/>
      <c r="X429" s="41"/>
      <c r="Y429" s="41"/>
      <c r="Z429" s="47"/>
      <c r="AA429" s="43"/>
      <c r="AB429" s="48"/>
      <c r="AC429" s="48"/>
      <c r="AD429" s="48"/>
      <c r="AE429" s="48"/>
      <c r="AF429" s="48"/>
    </row>
    <row r="430">
      <c r="A430" s="72">
        <v>1.0</v>
      </c>
      <c r="B430" s="73" t="s">
        <v>941</v>
      </c>
      <c r="C430" s="59">
        <v>426.0</v>
      </c>
      <c r="D430" s="59">
        <v>10.0</v>
      </c>
      <c r="E430" s="59" t="s">
        <v>882</v>
      </c>
      <c r="F430" s="61" t="str">
        <f>HYPERLINK("https://cantik.tempo.co/read/1274660/dian-sastrowardoyo-dampingi-putranya-yang-autisme-terapi-gambar ","sumber")</f>
        <v>sumber</v>
      </c>
      <c r="G430" s="59" t="s">
        <v>33</v>
      </c>
      <c r="H430" s="76">
        <v>395.0</v>
      </c>
      <c r="I430" s="59">
        <v>3.0</v>
      </c>
      <c r="J430" s="59">
        <v>2.0</v>
      </c>
      <c r="K430" s="59" t="s">
        <v>942</v>
      </c>
      <c r="L430" s="59">
        <v>0.0</v>
      </c>
      <c r="M430" s="59">
        <v>0.0</v>
      </c>
      <c r="N430" s="65">
        <v>0.0</v>
      </c>
      <c r="O430" s="59">
        <v>0.0</v>
      </c>
      <c r="P430" s="59">
        <v>0.0</v>
      </c>
      <c r="Q430" s="59">
        <v>1.0</v>
      </c>
      <c r="R430" s="59">
        <v>1.0</v>
      </c>
      <c r="S430" s="62"/>
      <c r="T430" s="59">
        <v>0.0</v>
      </c>
      <c r="U430" s="59">
        <v>0.0</v>
      </c>
      <c r="V430" s="59">
        <v>0.0</v>
      </c>
      <c r="W430" s="62"/>
      <c r="X430" s="62"/>
      <c r="Y430" s="62"/>
      <c r="Z430" s="63"/>
      <c r="AA430" s="63"/>
      <c r="AB430" s="63"/>
      <c r="AC430" s="63"/>
      <c r="AD430" s="63"/>
      <c r="AE430" s="63"/>
      <c r="AF430" s="63"/>
    </row>
    <row r="431">
      <c r="A431" s="39">
        <v>2.0</v>
      </c>
      <c r="B431" s="70" t="s">
        <v>943</v>
      </c>
      <c r="C431" s="40">
        <v>427.0</v>
      </c>
      <c r="D431" s="40">
        <v>8.0</v>
      </c>
      <c r="E431" s="40" t="s">
        <v>944</v>
      </c>
      <c r="F431" s="42" t="str">
        <f>HYPERLINK("https://www.suara.com/entertainment/2019/11/21/174627/sejarah-baru-raisa-jadi-penyanyi-perempuan-pertama-gelar-konser-di-sugbk ","sumber")</f>
        <v>sumber</v>
      </c>
      <c r="G431" s="40" t="s">
        <v>33</v>
      </c>
      <c r="H431" s="71">
        <v>281.0</v>
      </c>
      <c r="I431" s="41"/>
      <c r="J431" s="40">
        <v>2.0</v>
      </c>
      <c r="K431" s="41"/>
      <c r="L431" s="41"/>
      <c r="M431" s="41"/>
      <c r="N431" s="41"/>
      <c r="O431" s="41"/>
      <c r="P431" s="41"/>
      <c r="Q431" s="41"/>
      <c r="R431" s="41"/>
      <c r="S431" s="41"/>
      <c r="T431" s="41"/>
      <c r="U431" s="41"/>
      <c r="V431" s="41"/>
      <c r="W431" s="41"/>
      <c r="X431" s="41"/>
      <c r="Y431" s="41"/>
      <c r="Z431" s="47"/>
      <c r="AA431" s="43"/>
      <c r="AB431" s="48"/>
      <c r="AC431" s="48"/>
      <c r="AD431" s="48"/>
      <c r="AE431" s="48"/>
      <c r="AF431" s="48"/>
    </row>
    <row r="432">
      <c r="A432" s="67">
        <v>1.0</v>
      </c>
      <c r="B432" s="77" t="s">
        <v>945</v>
      </c>
      <c r="C432" s="25">
        <v>428.0</v>
      </c>
      <c r="D432" s="25">
        <v>7.0</v>
      </c>
      <c r="E432" s="25" t="s">
        <v>944</v>
      </c>
      <c r="F432" s="27" t="str">
        <f>HYPERLINK("https://www.tribunnews.com/nasional/2019/11/21/angkie-yudistia-perempuan-tunarungu-yang-ditunjuk-jokowi-jadi-staf-khusus-presiden","sumber")</f>
        <v>sumber</v>
      </c>
      <c r="G432" s="25" t="s">
        <v>33</v>
      </c>
      <c r="H432" s="78">
        <v>152.0</v>
      </c>
      <c r="I432" s="25">
        <v>2.0</v>
      </c>
      <c r="J432" s="25">
        <v>2.0</v>
      </c>
      <c r="K432" s="25" t="s">
        <v>946</v>
      </c>
      <c r="L432" s="25">
        <v>0.0</v>
      </c>
      <c r="M432" s="25">
        <v>0.0</v>
      </c>
      <c r="N432" s="38">
        <v>0.0</v>
      </c>
      <c r="O432" s="25">
        <v>0.0</v>
      </c>
      <c r="P432" s="25">
        <v>0.0</v>
      </c>
      <c r="Q432" s="25">
        <v>2.0</v>
      </c>
      <c r="R432" s="25">
        <v>1.0</v>
      </c>
      <c r="S432" s="29"/>
      <c r="T432" s="25">
        <v>0.0</v>
      </c>
      <c r="U432" s="25">
        <v>0.0</v>
      </c>
      <c r="V432" s="25">
        <v>0.0</v>
      </c>
      <c r="W432" s="29"/>
      <c r="X432" s="29"/>
      <c r="Y432" s="29"/>
      <c r="Z432" s="55"/>
      <c r="AA432" s="46"/>
      <c r="AB432" s="46"/>
      <c r="AC432" s="46"/>
      <c r="AD432" s="46"/>
      <c r="AE432" s="46"/>
      <c r="AF432" s="46"/>
    </row>
    <row r="433">
      <c r="A433" s="39">
        <v>2.0</v>
      </c>
      <c r="B433" s="70" t="s">
        <v>947</v>
      </c>
      <c r="C433" s="40">
        <v>429.0</v>
      </c>
      <c r="D433" s="40">
        <v>8.0</v>
      </c>
      <c r="E433" s="40" t="s">
        <v>884</v>
      </c>
      <c r="F433" s="42" t="str">
        <f>HYPERLINK("https://www.suara.com/sport/2019/11/22/060500/uas-haramkan-catur-percasi-angkat-bicara ","sumber")</f>
        <v>sumber</v>
      </c>
      <c r="G433" s="40" t="s">
        <v>33</v>
      </c>
      <c r="H433" s="71">
        <v>591.0</v>
      </c>
      <c r="I433" s="41"/>
      <c r="J433" s="40">
        <v>2.0</v>
      </c>
      <c r="K433" s="41"/>
      <c r="L433" s="41"/>
      <c r="M433" s="41"/>
      <c r="N433" s="41"/>
      <c r="O433" s="41"/>
      <c r="P433" s="41"/>
      <c r="Q433" s="41"/>
      <c r="R433" s="41"/>
      <c r="S433" s="41"/>
      <c r="T433" s="41"/>
      <c r="U433" s="41"/>
      <c r="V433" s="41"/>
      <c r="W433" s="41"/>
      <c r="X433" s="41"/>
      <c r="Y433" s="41"/>
      <c r="Z433" s="47"/>
      <c r="AA433" s="43"/>
      <c r="AB433" s="48"/>
      <c r="AC433" s="48"/>
      <c r="AD433" s="48"/>
      <c r="AE433" s="48"/>
      <c r="AF433" s="48"/>
    </row>
    <row r="434">
      <c r="A434" s="39">
        <v>2.0</v>
      </c>
      <c r="B434" s="70" t="s">
        <v>948</v>
      </c>
      <c r="C434" s="40">
        <v>430.0</v>
      </c>
      <c r="D434" s="40">
        <v>5.0</v>
      </c>
      <c r="E434" s="40" t="s">
        <v>884</v>
      </c>
      <c r="F434" s="42" t="str">
        <f>HYPERLINK("https://tirto.id/formasi-dan-syarat-dokumen-cpns-setjen-komnas-ham-lulusan-d3-s1-el8L ","sumber")</f>
        <v>sumber</v>
      </c>
      <c r="G434" s="40" t="s">
        <v>33</v>
      </c>
      <c r="H434" s="71">
        <v>464.0</v>
      </c>
      <c r="I434" s="41"/>
      <c r="J434" s="40">
        <v>2.0</v>
      </c>
      <c r="K434" s="41"/>
      <c r="L434" s="41"/>
      <c r="M434" s="41"/>
      <c r="N434" s="41"/>
      <c r="O434" s="41"/>
      <c r="P434" s="41"/>
      <c r="Q434" s="41"/>
      <c r="R434" s="41"/>
      <c r="S434" s="41"/>
      <c r="T434" s="41"/>
      <c r="U434" s="41"/>
      <c r="V434" s="41"/>
      <c r="W434" s="41"/>
      <c r="X434" s="41"/>
      <c r="Y434" s="41"/>
      <c r="Z434" s="47"/>
      <c r="AA434" s="43"/>
      <c r="AB434" s="48"/>
      <c r="AC434" s="48"/>
      <c r="AD434" s="48"/>
      <c r="AE434" s="48"/>
      <c r="AF434" s="48"/>
    </row>
    <row r="435">
      <c r="A435" s="72">
        <v>1.0</v>
      </c>
      <c r="B435" s="73" t="s">
        <v>949</v>
      </c>
      <c r="C435" s="59">
        <v>431.0</v>
      </c>
      <c r="D435" s="59">
        <v>2.0</v>
      </c>
      <c r="E435" s="59" t="s">
        <v>950</v>
      </c>
      <c r="F435" s="80" t="str">
        <f>HYPERLINK("https://www.cnnindonesia.com/nasional/20191122144549-25-450630/tingkatkan-literasi-publik-pemprov-dki-bentuk-pojok-baca ","sumber")</f>
        <v>sumber</v>
      </c>
      <c r="G435" s="59" t="s">
        <v>33</v>
      </c>
      <c r="H435" s="76">
        <v>381.0</v>
      </c>
      <c r="I435" s="59">
        <v>4.0</v>
      </c>
      <c r="J435" s="59">
        <v>2.0</v>
      </c>
      <c r="K435" s="59" t="s">
        <v>951</v>
      </c>
      <c r="L435" s="59">
        <v>0.0</v>
      </c>
      <c r="M435" s="59">
        <v>0.0</v>
      </c>
      <c r="N435" s="65">
        <v>0.0</v>
      </c>
      <c r="O435" s="59">
        <v>0.0</v>
      </c>
      <c r="P435" s="59">
        <v>0.0</v>
      </c>
      <c r="Q435" s="59" t="s">
        <v>61</v>
      </c>
      <c r="R435" s="59" t="s">
        <v>61</v>
      </c>
      <c r="S435" s="62"/>
      <c r="T435" s="59">
        <v>0.0</v>
      </c>
      <c r="U435" s="59">
        <v>0.0</v>
      </c>
      <c r="V435" s="59">
        <v>1.0</v>
      </c>
      <c r="W435" s="62"/>
      <c r="X435" s="62"/>
      <c r="Y435" s="62"/>
      <c r="Z435" s="63"/>
      <c r="AA435" s="63"/>
      <c r="AB435" s="63"/>
      <c r="AC435" s="63"/>
      <c r="AD435" s="63"/>
      <c r="AE435" s="63"/>
      <c r="AF435" s="63"/>
    </row>
    <row r="436">
      <c r="A436" s="72">
        <v>1.0</v>
      </c>
      <c r="B436" s="73" t="s">
        <v>952</v>
      </c>
      <c r="C436" s="59">
        <v>432.0</v>
      </c>
      <c r="D436" s="59">
        <v>1.0</v>
      </c>
      <c r="E436" s="59" t="s">
        <v>950</v>
      </c>
      <c r="F436" s="61" t="str">
        <f>HYPERLINK("https://health.detik.com/berita-detikhealth/d-4795618/ahli-terapi-ruqyah-sebut-pelaku-pamer-saldo-atm-dan-lempar-sperma-perlu-di-ruqyah ","sumber")</f>
        <v>sumber</v>
      </c>
      <c r="G436" s="59" t="s">
        <v>33</v>
      </c>
      <c r="H436" s="76">
        <v>315.0</v>
      </c>
      <c r="I436" s="59">
        <v>1.0</v>
      </c>
      <c r="J436" s="59">
        <v>2.0</v>
      </c>
      <c r="K436" s="59" t="s">
        <v>953</v>
      </c>
      <c r="L436" s="59">
        <v>0.0</v>
      </c>
      <c r="M436" s="59">
        <v>-1.0</v>
      </c>
      <c r="N436" s="65">
        <v>0.0</v>
      </c>
      <c r="O436" s="59">
        <v>0.0</v>
      </c>
      <c r="P436" s="59">
        <v>0.0</v>
      </c>
      <c r="Q436" s="59">
        <v>0.0</v>
      </c>
      <c r="R436" s="59">
        <v>-1.0</v>
      </c>
      <c r="S436" s="62"/>
      <c r="T436" s="59">
        <v>0.0</v>
      </c>
      <c r="U436" s="59">
        <v>-1.0</v>
      </c>
      <c r="V436" s="59">
        <v>0.0</v>
      </c>
      <c r="W436" s="62"/>
      <c r="X436" s="62"/>
      <c r="Y436" s="62"/>
      <c r="Z436" s="63"/>
      <c r="AA436" s="63"/>
      <c r="AB436" s="63"/>
      <c r="AC436" s="63"/>
      <c r="AD436" s="63"/>
      <c r="AE436" s="63"/>
      <c r="AF436" s="63"/>
    </row>
    <row r="437">
      <c r="A437" s="39">
        <v>2.0</v>
      </c>
      <c r="B437" s="70" t="s">
        <v>954</v>
      </c>
      <c r="C437" s="40">
        <v>433.0</v>
      </c>
      <c r="D437" s="40">
        <v>9.0</v>
      </c>
      <c r="E437" s="40" t="s">
        <v>950</v>
      </c>
      <c r="F437" s="42" t="str">
        <f>HYPERLINK("https://trendtek.republika.co.id/berita/q1dqjd456/pameran-teknologi-masa-depan-disrupto-2019-hadir-di-jakarta ","sumber")</f>
        <v>sumber</v>
      </c>
      <c r="G437" s="40" t="s">
        <v>33</v>
      </c>
      <c r="H437" s="71">
        <v>717.0</v>
      </c>
      <c r="I437" s="41"/>
      <c r="J437" s="40">
        <v>2.0</v>
      </c>
      <c r="K437" s="41"/>
      <c r="L437" s="41"/>
      <c r="M437" s="41"/>
      <c r="N437" s="41"/>
      <c r="O437" s="41"/>
      <c r="P437" s="41"/>
      <c r="Q437" s="41"/>
      <c r="R437" s="41"/>
      <c r="S437" s="41"/>
      <c r="T437" s="41"/>
      <c r="U437" s="41"/>
      <c r="V437" s="41"/>
      <c r="W437" s="41"/>
      <c r="X437" s="41"/>
      <c r="Y437" s="41"/>
      <c r="Z437" s="47"/>
      <c r="AA437" s="43"/>
      <c r="AB437" s="48"/>
      <c r="AC437" s="48"/>
      <c r="AD437" s="48"/>
      <c r="AE437" s="48"/>
      <c r="AF437" s="48"/>
    </row>
    <row r="438">
      <c r="A438" s="72">
        <v>1.0</v>
      </c>
      <c r="B438" s="73" t="s">
        <v>955</v>
      </c>
      <c r="C438" s="59">
        <v>434.0</v>
      </c>
      <c r="D438" s="59">
        <v>5.0</v>
      </c>
      <c r="E438" s="59" t="s">
        <v>950</v>
      </c>
      <c r="F438" s="61" t="str">
        <f>HYPERLINK("https://tirto.id/amnesty-minta-persyaratan-diskriminatif-cpns-2019-dicabut-embF ","sumber")</f>
        <v>sumber</v>
      </c>
      <c r="G438" s="59" t="s">
        <v>33</v>
      </c>
      <c r="H438" s="76">
        <v>244.0</v>
      </c>
      <c r="I438" s="59">
        <v>4.0</v>
      </c>
      <c r="J438" s="59">
        <v>2.0</v>
      </c>
      <c r="K438" s="59" t="s">
        <v>956</v>
      </c>
      <c r="L438" s="59">
        <v>0.0</v>
      </c>
      <c r="M438" s="59">
        <v>0.0</v>
      </c>
      <c r="N438" s="65">
        <v>0.0</v>
      </c>
      <c r="O438" s="59">
        <v>0.0</v>
      </c>
      <c r="P438" s="59">
        <v>0.0</v>
      </c>
      <c r="Q438" s="59">
        <v>0.0</v>
      </c>
      <c r="R438" s="59">
        <v>1.0</v>
      </c>
      <c r="S438" s="62"/>
      <c r="T438" s="59">
        <v>0.0</v>
      </c>
      <c r="U438" s="59">
        <v>0.0</v>
      </c>
      <c r="V438" s="59">
        <v>1.0</v>
      </c>
      <c r="W438" s="62"/>
      <c r="X438" s="62"/>
      <c r="Y438" s="62"/>
      <c r="Z438" s="63"/>
      <c r="AA438" s="63"/>
      <c r="AB438" s="63"/>
      <c r="AC438" s="63"/>
      <c r="AD438" s="63"/>
      <c r="AE438" s="63"/>
      <c r="AF438" s="63"/>
    </row>
    <row r="439">
      <c r="A439" s="72">
        <v>1.0</v>
      </c>
      <c r="B439" s="73" t="s">
        <v>957</v>
      </c>
      <c r="C439" s="59">
        <v>435.0</v>
      </c>
      <c r="D439" s="59">
        <v>3.0</v>
      </c>
      <c r="E439" s="59" t="s">
        <v>958</v>
      </c>
      <c r="F439" s="61" t="str">
        <f>HYPERLINK("https://techno.okezone.com/read/2019/11/24/207/2133761/gus-dur-hadir-di-disrupto-2019 ","sumber")</f>
        <v>sumber</v>
      </c>
      <c r="G439" s="59" t="s">
        <v>33</v>
      </c>
      <c r="H439" s="76">
        <v>204.0</v>
      </c>
      <c r="I439" s="59">
        <v>3.0</v>
      </c>
      <c r="J439" s="59">
        <v>2.0</v>
      </c>
      <c r="K439" s="59"/>
      <c r="L439" s="59">
        <v>0.0</v>
      </c>
      <c r="M439" s="59">
        <v>0.0</v>
      </c>
      <c r="N439" s="65">
        <v>0.0</v>
      </c>
      <c r="O439" s="59">
        <v>0.0</v>
      </c>
      <c r="P439" s="59">
        <v>0.0</v>
      </c>
      <c r="Q439" s="59"/>
      <c r="R439" s="59"/>
      <c r="S439" s="62"/>
      <c r="T439" s="59">
        <v>0.0</v>
      </c>
      <c r="U439" s="59">
        <v>0.0</v>
      </c>
      <c r="V439" s="59">
        <v>0.0</v>
      </c>
      <c r="W439" s="62"/>
      <c r="X439" s="62"/>
      <c r="Y439" s="62"/>
      <c r="Z439" s="63"/>
      <c r="AA439" s="63"/>
      <c r="AB439" s="63"/>
      <c r="AC439" s="63"/>
      <c r="AD439" s="63"/>
      <c r="AE439" s="63"/>
      <c r="AF439" s="63"/>
    </row>
    <row r="440">
      <c r="A440" s="39">
        <v>2.0</v>
      </c>
      <c r="B440" s="70" t="s">
        <v>959</v>
      </c>
      <c r="C440" s="40">
        <v>436.0</v>
      </c>
      <c r="D440" s="40">
        <v>10.0</v>
      </c>
      <c r="E440" s="40" t="s">
        <v>960</v>
      </c>
      <c r="F440" s="42" t="str">
        <f>HYPERLINK("https://nasional.tempo.co/read/1276413/skb-penanganan-radikalisme-pemerintah-bukan-anti-kritik ","sumber")</f>
        <v>sumber</v>
      </c>
      <c r="G440" s="40" t="s">
        <v>33</v>
      </c>
      <c r="H440" s="71">
        <v>436.0</v>
      </c>
      <c r="I440" s="41"/>
      <c r="J440" s="40">
        <v>2.0</v>
      </c>
      <c r="K440" s="41"/>
      <c r="L440" s="41"/>
      <c r="M440" s="41"/>
      <c r="N440" s="41"/>
      <c r="O440" s="41"/>
      <c r="P440" s="41"/>
      <c r="Q440" s="41"/>
      <c r="R440" s="41"/>
      <c r="S440" s="41"/>
      <c r="T440" s="41"/>
      <c r="U440" s="41"/>
      <c r="V440" s="41"/>
      <c r="W440" s="41"/>
      <c r="X440" s="41"/>
      <c r="Y440" s="41"/>
      <c r="Z440" s="47"/>
      <c r="AA440" s="43"/>
      <c r="AB440" s="48"/>
      <c r="AC440" s="48"/>
      <c r="AD440" s="48"/>
      <c r="AE440" s="48"/>
      <c r="AF440" s="48"/>
    </row>
    <row r="441">
      <c r="A441" s="72">
        <v>1.0</v>
      </c>
      <c r="B441" s="73" t="s">
        <v>961</v>
      </c>
      <c r="C441" s="59">
        <v>437.0</v>
      </c>
      <c r="D441" s="59">
        <v>1.0</v>
      </c>
      <c r="E441" s="59" t="s">
        <v>893</v>
      </c>
      <c r="F441" s="61" t="str">
        <f>HYPERLINK("https://finance.detik.com/berita-ekonomi-bisnis/d-4828208/katarak-berpotensi-rugikan-ekonomi-hingga-rp-84-t-kok-bisa ","sumber")</f>
        <v>sumber</v>
      </c>
      <c r="G441" s="59" t="s">
        <v>33</v>
      </c>
      <c r="H441" s="76">
        <v>483.0</v>
      </c>
      <c r="I441" s="59">
        <v>3.0</v>
      </c>
      <c r="J441" s="59">
        <v>2.0</v>
      </c>
      <c r="K441" s="59" t="s">
        <v>962</v>
      </c>
      <c r="L441" s="59">
        <v>0.0</v>
      </c>
      <c r="M441" s="59">
        <v>0.0</v>
      </c>
      <c r="N441" s="65">
        <v>0.0</v>
      </c>
      <c r="O441" s="59">
        <v>0.0</v>
      </c>
      <c r="P441" s="59">
        <v>0.0</v>
      </c>
      <c r="Q441" s="59" t="s">
        <v>61</v>
      </c>
      <c r="R441" s="59" t="s">
        <v>685</v>
      </c>
      <c r="S441" s="62"/>
      <c r="T441" s="59">
        <v>0.0</v>
      </c>
      <c r="U441" s="59">
        <v>0.0</v>
      </c>
      <c r="V441" s="59">
        <v>0.0</v>
      </c>
      <c r="W441" s="62"/>
      <c r="X441" s="62"/>
      <c r="Y441" s="62"/>
      <c r="Z441" s="63"/>
      <c r="AA441" s="63"/>
      <c r="AB441" s="63"/>
      <c r="AC441" s="63"/>
      <c r="AD441" s="63"/>
      <c r="AE441" s="63"/>
      <c r="AF441" s="63"/>
    </row>
    <row r="442">
      <c r="A442" s="39">
        <v>2.0</v>
      </c>
      <c r="B442" s="70" t="s">
        <v>963</v>
      </c>
      <c r="C442" s="40">
        <v>438.0</v>
      </c>
      <c r="D442" s="40">
        <v>3.0</v>
      </c>
      <c r="E442" s="40" t="s">
        <v>964</v>
      </c>
      <c r="F442" s="42" t="str">
        <f>HYPERLINK("https://lifestyle.okezone.com/read/2019/12/18/485/2143598/kenali-7-jenis-kelainan-seksual-pada-pria-dan-wanita ","sumber")</f>
        <v>sumber</v>
      </c>
      <c r="G442" s="40" t="s">
        <v>33</v>
      </c>
      <c r="H442" s="71">
        <v>429.0</v>
      </c>
      <c r="I442" s="41"/>
      <c r="J442" s="40">
        <v>2.0</v>
      </c>
      <c r="K442" s="41"/>
      <c r="L442" s="41"/>
      <c r="M442" s="41"/>
      <c r="N442" s="41"/>
      <c r="O442" s="41"/>
      <c r="P442" s="41"/>
      <c r="Q442" s="41"/>
      <c r="R442" s="41"/>
      <c r="S442" s="41"/>
      <c r="T442" s="41"/>
      <c r="U442" s="41"/>
      <c r="V442" s="41"/>
      <c r="W442" s="41"/>
      <c r="X442" s="41"/>
      <c r="Y442" s="41"/>
      <c r="Z442" s="47"/>
      <c r="AA442" s="43"/>
      <c r="AB442" s="48"/>
      <c r="AC442" s="48"/>
      <c r="AD442" s="48"/>
      <c r="AE442" s="48"/>
      <c r="AF442" s="48"/>
    </row>
    <row r="443">
      <c r="A443" s="72">
        <v>1.0</v>
      </c>
      <c r="B443" s="73" t="s">
        <v>965</v>
      </c>
      <c r="C443" s="59">
        <v>439.0</v>
      </c>
      <c r="D443" s="59">
        <v>3.0</v>
      </c>
      <c r="E443" s="59" t="s">
        <v>896</v>
      </c>
      <c r="F443" s="61" t="str">
        <f>HYPERLINK("https://lifestyle.okezone.com/read/2019/12/19/481/2143834/nonton-serial-drama-3-minggu-berturut-turut-pria-ini-mendadak-buta-dan-stroke ","sumber")</f>
        <v>sumber</v>
      </c>
      <c r="G443" s="59" t="s">
        <v>33</v>
      </c>
      <c r="H443" s="76">
        <v>311.0</v>
      </c>
      <c r="I443" s="59">
        <v>2.0</v>
      </c>
      <c r="J443" s="59">
        <v>2.0</v>
      </c>
      <c r="K443" s="81" t="s">
        <v>472</v>
      </c>
      <c r="L443" s="59">
        <v>0.0</v>
      </c>
      <c r="M443" s="59">
        <v>0.0</v>
      </c>
      <c r="N443" s="65">
        <v>0.0</v>
      </c>
      <c r="O443" s="59">
        <v>0.0</v>
      </c>
      <c r="P443" s="59">
        <v>0.0</v>
      </c>
      <c r="Q443" s="59">
        <v>0.0</v>
      </c>
      <c r="R443" s="59">
        <v>0.0</v>
      </c>
      <c r="S443" s="62"/>
      <c r="T443" s="59">
        <v>0.0</v>
      </c>
      <c r="U443" s="59">
        <v>0.0</v>
      </c>
      <c r="V443" s="59">
        <v>0.0</v>
      </c>
      <c r="W443" s="62"/>
      <c r="X443" s="62"/>
      <c r="Y443" s="62"/>
      <c r="Z443" s="63"/>
      <c r="AA443" s="63"/>
      <c r="AB443" s="63"/>
      <c r="AC443" s="63"/>
      <c r="AD443" s="63"/>
      <c r="AE443" s="63"/>
      <c r="AF443" s="63"/>
    </row>
    <row r="444">
      <c r="A444" s="39">
        <v>2.0</v>
      </c>
      <c r="B444" s="70" t="s">
        <v>966</v>
      </c>
      <c r="C444" s="40">
        <v>440.0</v>
      </c>
      <c r="D444" s="40">
        <v>5.0</v>
      </c>
      <c r="E444" s="40" t="s">
        <v>896</v>
      </c>
      <c r="F444" s="42" t="str">
        <f>HYPERLINK("https://tirto.id/link-pengumuman-hasil-seleksi-administrasi-cpns-kemenkes-2019-en7v ","sumber")</f>
        <v>sumber</v>
      </c>
      <c r="G444" s="40" t="s">
        <v>33</v>
      </c>
      <c r="H444" s="71">
        <v>548.0</v>
      </c>
      <c r="I444" s="41"/>
      <c r="J444" s="40">
        <v>2.0</v>
      </c>
      <c r="K444" s="41"/>
      <c r="L444" s="41"/>
      <c r="M444" s="41"/>
      <c r="N444" s="41"/>
      <c r="O444" s="41"/>
      <c r="P444" s="41"/>
      <c r="Q444" s="41"/>
      <c r="R444" s="41"/>
      <c r="S444" s="41"/>
      <c r="T444" s="41"/>
      <c r="U444" s="41"/>
      <c r="V444" s="41"/>
      <c r="W444" s="41"/>
      <c r="X444" s="41"/>
      <c r="Y444" s="41"/>
      <c r="Z444" s="47"/>
      <c r="AA444" s="43"/>
      <c r="AB444" s="48"/>
      <c r="AC444" s="48"/>
      <c r="AD444" s="48"/>
      <c r="AE444" s="48"/>
      <c r="AF444" s="48"/>
    </row>
    <row r="445">
      <c r="A445" s="39">
        <v>2.0</v>
      </c>
      <c r="B445" s="70" t="s">
        <v>967</v>
      </c>
      <c r="C445" s="40">
        <v>441.0</v>
      </c>
      <c r="D445" s="40">
        <v>7.0</v>
      </c>
      <c r="E445" s="40" t="s">
        <v>968</v>
      </c>
      <c r="F445" s="42" t="str">
        <f>HYPERLINK("https://www.tribunnews.com/nasional/2019/12/23/hari-ibu-anies-baswedan-ceritakan-perjuangan-neneknya-lawan-koloni-hingga-nekat-lakukan-ini ","sumber")</f>
        <v>sumber</v>
      </c>
      <c r="G445" s="40" t="s">
        <v>33</v>
      </c>
      <c r="H445" s="71">
        <v>128.0</v>
      </c>
      <c r="I445" s="41"/>
      <c r="J445" s="40">
        <v>2.0</v>
      </c>
      <c r="K445" s="41"/>
      <c r="L445" s="41"/>
      <c r="M445" s="41"/>
      <c r="N445" s="41"/>
      <c r="O445" s="41"/>
      <c r="P445" s="41"/>
      <c r="Q445" s="41"/>
      <c r="R445" s="41"/>
      <c r="S445" s="41"/>
      <c r="T445" s="41"/>
      <c r="U445" s="41"/>
      <c r="V445" s="41"/>
      <c r="W445" s="41"/>
      <c r="X445" s="41"/>
      <c r="Y445" s="41"/>
      <c r="Z445" s="47"/>
      <c r="AA445" s="43"/>
      <c r="AB445" s="48"/>
      <c r="AC445" s="48"/>
      <c r="AD445" s="48"/>
      <c r="AE445" s="48"/>
      <c r="AF445" s="48"/>
    </row>
    <row r="446">
      <c r="A446" s="67">
        <v>1.0</v>
      </c>
      <c r="B446" s="77" t="s">
        <v>969</v>
      </c>
      <c r="C446" s="25">
        <v>442.0</v>
      </c>
      <c r="D446" s="25">
        <v>3.0</v>
      </c>
      <c r="E446" s="25" t="s">
        <v>970</v>
      </c>
      <c r="F446" s="27" t="str">
        <f>HYPERLINK("https://nasional.okezone.com/read/2019/12/14/337/2141915/bagaimana-kondisi-terbaru-tunanetra-yang-terperosok-di-peron-stasiun","sumber")</f>
        <v>sumber</v>
      </c>
      <c r="G446" s="25" t="s">
        <v>33</v>
      </c>
      <c r="H446" s="78">
        <v>299.0</v>
      </c>
      <c r="I446" s="25">
        <v>2.0</v>
      </c>
      <c r="J446" s="25">
        <v>2.0</v>
      </c>
      <c r="K446" s="25" t="s">
        <v>971</v>
      </c>
      <c r="L446" s="25">
        <v>0.0</v>
      </c>
      <c r="M446" s="25">
        <v>0.0</v>
      </c>
      <c r="N446" s="38">
        <v>0.0</v>
      </c>
      <c r="O446" s="25">
        <v>0.0</v>
      </c>
      <c r="P446" s="25">
        <v>0.0</v>
      </c>
      <c r="Q446" s="25">
        <v>0.0</v>
      </c>
      <c r="R446" s="25">
        <v>1.0</v>
      </c>
      <c r="S446" s="29"/>
      <c r="T446" s="25">
        <v>0.0</v>
      </c>
      <c r="U446" s="25">
        <v>0.0</v>
      </c>
      <c r="V446" s="25">
        <v>0.0</v>
      </c>
      <c r="W446" s="29"/>
      <c r="X446" s="29"/>
      <c r="Y446" s="29"/>
      <c r="Z446" s="46"/>
      <c r="AA446" s="46"/>
      <c r="AB446" s="46"/>
      <c r="AC446" s="46"/>
      <c r="AD446" s="46"/>
      <c r="AE446" s="46"/>
      <c r="AF446" s="46"/>
    </row>
    <row r="447">
      <c r="A447" s="39">
        <v>2.0</v>
      </c>
      <c r="B447" s="70" t="s">
        <v>972</v>
      </c>
      <c r="C447" s="40">
        <v>443.0</v>
      </c>
      <c r="D447" s="40">
        <v>10.0</v>
      </c>
      <c r="E447" s="40" t="s">
        <v>973</v>
      </c>
      <c r="F447" s="42" t="str">
        <f>HYPERLINK("https://travel.tempo.co/read/1289072/misteri-di-balik-rumah-gila-vietnam ","sumber")</f>
        <v>sumber</v>
      </c>
      <c r="G447" s="40" t="s">
        <v>33</v>
      </c>
      <c r="H447" s="71">
        <v>833.0</v>
      </c>
      <c r="I447" s="41"/>
      <c r="J447" s="40">
        <v>2.0</v>
      </c>
      <c r="K447" s="41"/>
      <c r="L447" s="41"/>
      <c r="M447" s="41"/>
      <c r="N447" s="41"/>
      <c r="O447" s="41"/>
      <c r="P447" s="41"/>
      <c r="Q447" s="41"/>
      <c r="R447" s="41"/>
      <c r="S447" s="41"/>
      <c r="T447" s="41"/>
      <c r="U447" s="41"/>
      <c r="V447" s="41"/>
      <c r="W447" s="41"/>
      <c r="X447" s="41"/>
      <c r="Y447" s="41"/>
      <c r="Z447" s="47"/>
      <c r="AA447" s="43"/>
      <c r="AB447" s="48"/>
      <c r="AC447" s="48"/>
      <c r="AD447" s="48"/>
      <c r="AE447" s="48"/>
      <c r="AF447" s="48"/>
    </row>
    <row r="448">
      <c r="A448" s="72">
        <v>1.0</v>
      </c>
      <c r="B448" s="73" t="s">
        <v>974</v>
      </c>
      <c r="C448" s="59">
        <v>444.0</v>
      </c>
      <c r="D448" s="59">
        <v>6.0</v>
      </c>
      <c r="E448" s="60">
        <v>43687.0</v>
      </c>
      <c r="F448" s="61" t="str">
        <f>HYPERLINK("https://regional.kompas.com/read/2019/10/08/15011761/simpan-sabu-di-pakaian-dalam-seorang-waria-ditangkap ","sumber")</f>
        <v>sumber</v>
      </c>
      <c r="G448" s="59" t="s">
        <v>33</v>
      </c>
      <c r="H448" s="76">
        <v>279.0</v>
      </c>
      <c r="I448" s="59">
        <v>1.0</v>
      </c>
      <c r="J448" s="59">
        <v>3.0</v>
      </c>
      <c r="K448" s="59" t="s">
        <v>975</v>
      </c>
      <c r="L448" s="59">
        <v>0.0</v>
      </c>
      <c r="M448" s="33">
        <v>0.0</v>
      </c>
      <c r="N448" s="65">
        <v>0.0</v>
      </c>
      <c r="O448" s="59">
        <v>0.0</v>
      </c>
      <c r="P448" s="59">
        <v>0.0</v>
      </c>
      <c r="Q448" s="59">
        <v>0.0</v>
      </c>
      <c r="R448" s="59">
        <v>0.0</v>
      </c>
      <c r="S448" s="62"/>
      <c r="T448" s="59">
        <v>0.0</v>
      </c>
      <c r="U448" s="59">
        <v>-1.0</v>
      </c>
      <c r="V448" s="59">
        <v>0.0</v>
      </c>
      <c r="W448" s="62"/>
      <c r="X448" s="62"/>
      <c r="Y448" s="62"/>
      <c r="Z448" s="63"/>
      <c r="AA448" s="63"/>
      <c r="AB448" s="63"/>
      <c r="AC448" s="63"/>
      <c r="AD448" s="63"/>
      <c r="AE448" s="63"/>
      <c r="AF448" s="63"/>
    </row>
    <row r="449">
      <c r="A449" s="39">
        <v>2.0</v>
      </c>
      <c r="B449" s="70" t="s">
        <v>976</v>
      </c>
      <c r="C449" s="40">
        <v>445.0</v>
      </c>
      <c r="D449" s="40">
        <v>3.0</v>
      </c>
      <c r="E449" s="53">
        <v>43687.0</v>
      </c>
      <c r="F449" s="42" t="str">
        <f>HYPERLINK("https://news.okezone.com/read/2019/10/08/18/2114456/akui-habisi-93-korbannya-samuel-little-jadi-pembunuh-paling-produktif-di-as ","sumber")</f>
        <v>sumber</v>
      </c>
      <c r="G449" s="40" t="s">
        <v>33</v>
      </c>
      <c r="H449" s="71">
        <v>486.0</v>
      </c>
      <c r="I449" s="41"/>
      <c r="J449" s="40">
        <v>3.0</v>
      </c>
      <c r="K449" s="41"/>
      <c r="L449" s="41"/>
      <c r="M449" s="41"/>
      <c r="N449" s="41"/>
      <c r="O449" s="41"/>
      <c r="P449" s="41"/>
      <c r="Q449" s="41"/>
      <c r="R449" s="41"/>
      <c r="S449" s="41"/>
      <c r="T449" s="41"/>
      <c r="U449" s="41"/>
      <c r="V449" s="41"/>
      <c r="W449" s="41"/>
      <c r="X449" s="41"/>
      <c r="Y449" s="41"/>
      <c r="Z449" s="47"/>
      <c r="AA449" s="43"/>
      <c r="AB449" s="48"/>
      <c r="AC449" s="48"/>
      <c r="AD449" s="48"/>
      <c r="AE449" s="48"/>
      <c r="AF449" s="48"/>
    </row>
    <row r="450">
      <c r="A450" s="72">
        <v>1.0</v>
      </c>
      <c r="B450" s="73" t="s">
        <v>977</v>
      </c>
      <c r="C450" s="59">
        <v>446.0</v>
      </c>
      <c r="D450" s="59">
        <v>5.0</v>
      </c>
      <c r="E450" s="60">
        <v>43687.0</v>
      </c>
      <c r="F450" s="61" t="str">
        <f>HYPERLINK("https://tirto.id/victoria-secret-tampilkan-model-ukuran-besar-dalam-kampanye-produk-ejpK ","sumber")</f>
        <v>sumber</v>
      </c>
      <c r="G450" s="59" t="s">
        <v>33</v>
      </c>
      <c r="H450" s="76">
        <v>413.0</v>
      </c>
      <c r="I450" s="59">
        <v>2.0</v>
      </c>
      <c r="J450" s="59">
        <v>3.0</v>
      </c>
      <c r="K450" s="59" t="s">
        <v>978</v>
      </c>
      <c r="L450" s="59">
        <v>0.0</v>
      </c>
      <c r="M450" s="59">
        <v>0.0</v>
      </c>
      <c r="N450" s="65">
        <v>0.0</v>
      </c>
      <c r="O450" s="59">
        <v>0.0</v>
      </c>
      <c r="P450" s="59">
        <v>0.0</v>
      </c>
      <c r="Q450" s="59" t="s">
        <v>61</v>
      </c>
      <c r="R450" s="59" t="s">
        <v>85</v>
      </c>
      <c r="S450" s="62"/>
      <c r="T450" s="59">
        <v>0.0</v>
      </c>
      <c r="U450" s="59">
        <v>0.0</v>
      </c>
      <c r="V450" s="59">
        <v>0.0</v>
      </c>
      <c r="W450" s="62"/>
      <c r="X450" s="62"/>
      <c r="Y450" s="62"/>
      <c r="Z450" s="63"/>
      <c r="AA450" s="63"/>
      <c r="AB450" s="63"/>
      <c r="AC450" s="63"/>
      <c r="AD450" s="63"/>
      <c r="AE450" s="63"/>
      <c r="AF450" s="63"/>
    </row>
    <row r="451">
      <c r="A451" s="72">
        <v>1.0</v>
      </c>
      <c r="B451" s="73" t="s">
        <v>979</v>
      </c>
      <c r="C451" s="59">
        <v>447.0</v>
      </c>
      <c r="D451" s="59">
        <v>3.0</v>
      </c>
      <c r="E451" s="59" t="s">
        <v>936</v>
      </c>
      <c r="F451" s="61" t="str">
        <f>HYPERLINK("https://news.okezone.com/read/2019/11/18/18/2131478/paus-fransiskus-sebut-politikus-yang-serang-kaum-gay-dan-yahudi-mirip-hitler ","sumber")</f>
        <v>sumber</v>
      </c>
      <c r="G451" s="59" t="s">
        <v>33</v>
      </c>
      <c r="H451" s="76">
        <v>389.0</v>
      </c>
      <c r="I451" s="59">
        <v>1.0</v>
      </c>
      <c r="J451" s="59">
        <v>3.0</v>
      </c>
      <c r="K451" s="59" t="s">
        <v>980</v>
      </c>
      <c r="L451" s="59">
        <v>0.0</v>
      </c>
      <c r="M451" s="59">
        <v>1.0</v>
      </c>
      <c r="N451" s="65">
        <v>0.0</v>
      </c>
      <c r="O451" s="59">
        <v>0.0</v>
      </c>
      <c r="P451" s="59">
        <v>0.0</v>
      </c>
      <c r="Q451" s="59">
        <v>0.0</v>
      </c>
      <c r="R451" s="59">
        <v>1.0</v>
      </c>
      <c r="S451" s="62"/>
      <c r="T451" s="59">
        <v>0.0</v>
      </c>
      <c r="U451" s="59">
        <v>0.0</v>
      </c>
      <c r="V451" s="59">
        <v>0.0</v>
      </c>
      <c r="W451" s="62"/>
      <c r="X451" s="62"/>
      <c r="Y451" s="62"/>
      <c r="Z451" s="63"/>
      <c r="AA451" s="63"/>
      <c r="AB451" s="63"/>
      <c r="AC451" s="63"/>
      <c r="AD451" s="63"/>
      <c r="AE451" s="63"/>
      <c r="AF451" s="63"/>
    </row>
    <row r="452">
      <c r="A452" s="67">
        <v>1.0</v>
      </c>
      <c r="B452" s="77" t="s">
        <v>981</v>
      </c>
      <c r="C452" s="25">
        <v>448.0</v>
      </c>
      <c r="D452" s="25">
        <v>1.0</v>
      </c>
      <c r="E452" s="25" t="s">
        <v>882</v>
      </c>
      <c r="F452" s="27" t="str">
        <f>HYPERLINK("https://news.detik.com/internasional/d-4792237/2-wartawan-gay-arab-saudi-ditahan-di-australia-usai-minta-suaka","sumber")</f>
        <v>sumber</v>
      </c>
      <c r="G452" s="25" t="s">
        <v>33</v>
      </c>
      <c r="H452" s="78">
        <v>161.0</v>
      </c>
      <c r="I452" s="25">
        <v>1.0</v>
      </c>
      <c r="J452" s="25">
        <v>3.0</v>
      </c>
      <c r="K452" s="25" t="s">
        <v>982</v>
      </c>
      <c r="L452" s="25">
        <v>0.0</v>
      </c>
      <c r="M452" s="25">
        <v>0.0</v>
      </c>
      <c r="N452" s="38">
        <v>0.0</v>
      </c>
      <c r="O452" s="25">
        <v>0.0</v>
      </c>
      <c r="P452" s="25">
        <v>0.0</v>
      </c>
      <c r="Q452" s="25" t="s">
        <v>119</v>
      </c>
      <c r="R452" s="25" t="s">
        <v>61</v>
      </c>
      <c r="S452" s="29"/>
      <c r="T452" s="25">
        <v>0.0</v>
      </c>
      <c r="U452" s="25">
        <v>0.0</v>
      </c>
      <c r="V452" s="25">
        <v>0.0</v>
      </c>
      <c r="W452" s="29"/>
      <c r="X452" s="29"/>
      <c r="Y452" s="29"/>
      <c r="Z452" s="46"/>
      <c r="AA452" s="46"/>
      <c r="AB452" s="46"/>
      <c r="AC452" s="46"/>
      <c r="AD452" s="46"/>
      <c r="AE452" s="46"/>
      <c r="AF452" s="46"/>
    </row>
    <row r="453">
      <c r="A453" s="67">
        <v>1.0</v>
      </c>
      <c r="B453" s="77" t="s">
        <v>983</v>
      </c>
      <c r="C453" s="25">
        <v>449.0</v>
      </c>
      <c r="D453" s="25">
        <v>9.0</v>
      </c>
      <c r="E453" s="25" t="s">
        <v>882</v>
      </c>
      <c r="F453" s="27" t="str">
        <f>HYPERLINK("https://nasional.republika.co.id/berita/q19d1s335/penderita-hiv-di-purwakarta-terus-meningkat","sumber")</f>
        <v>sumber</v>
      </c>
      <c r="G453" s="25" t="s">
        <v>33</v>
      </c>
      <c r="H453" s="78">
        <v>309.0</v>
      </c>
      <c r="I453" s="25">
        <v>5.0</v>
      </c>
      <c r="J453" s="25">
        <v>3.0</v>
      </c>
      <c r="K453" s="25" t="s">
        <v>984</v>
      </c>
      <c r="L453" s="25">
        <v>0.0</v>
      </c>
      <c r="M453" s="25">
        <v>0.0</v>
      </c>
      <c r="N453" s="38">
        <v>0.0</v>
      </c>
      <c r="O453" s="25">
        <v>0.0</v>
      </c>
      <c r="P453" s="25">
        <v>0.0</v>
      </c>
      <c r="Q453" s="25">
        <v>0.0</v>
      </c>
      <c r="R453" s="25">
        <v>0.0</v>
      </c>
      <c r="S453" s="29"/>
      <c r="T453" s="25">
        <v>0.0</v>
      </c>
      <c r="U453" s="25">
        <v>0.0</v>
      </c>
      <c r="V453" s="25">
        <v>0.0</v>
      </c>
      <c r="W453" s="29"/>
      <c r="X453" s="29"/>
      <c r="Y453" s="29"/>
      <c r="Z453" s="46"/>
      <c r="AA453" s="46"/>
      <c r="AB453" s="46"/>
      <c r="AC453" s="46"/>
      <c r="AD453" s="46"/>
      <c r="AE453" s="46"/>
      <c r="AF453" s="46"/>
    </row>
    <row r="454">
      <c r="A454" s="72">
        <v>1.0</v>
      </c>
      <c r="B454" s="73" t="s">
        <v>985</v>
      </c>
      <c r="C454" s="59">
        <v>450.0</v>
      </c>
      <c r="D454" s="59">
        <v>10.0</v>
      </c>
      <c r="E454" s="59" t="s">
        <v>944</v>
      </c>
      <c r="F454" s="61" t="str">
        <f>HYPERLINK("https://nasional.tempo.co/read/1274974/tolak-lgbt-daftar-cpns-kejaksaan-agung-kami-mau-yang-normal ","sumber")</f>
        <v>sumber</v>
      </c>
      <c r="G454" s="59" t="s">
        <v>33</v>
      </c>
      <c r="H454" s="76">
        <v>140.0</v>
      </c>
      <c r="I454" s="59">
        <v>4.0</v>
      </c>
      <c r="J454" s="59">
        <v>3.0</v>
      </c>
      <c r="K454" s="59" t="s">
        <v>986</v>
      </c>
      <c r="L454" s="59">
        <v>0.0</v>
      </c>
      <c r="M454" s="59">
        <v>0.0</v>
      </c>
      <c r="N454" s="65">
        <v>0.0</v>
      </c>
      <c r="O454" s="59">
        <v>0.0</v>
      </c>
      <c r="P454" s="59">
        <v>0.0</v>
      </c>
      <c r="Q454" s="59">
        <v>0.0</v>
      </c>
      <c r="R454" s="59">
        <v>-1.0</v>
      </c>
      <c r="S454" s="59" t="s">
        <v>987</v>
      </c>
      <c r="T454" s="59">
        <v>2.0</v>
      </c>
      <c r="U454" s="59">
        <v>0.0</v>
      </c>
      <c r="V454" s="59">
        <v>1.0</v>
      </c>
      <c r="W454" s="62"/>
      <c r="X454" s="62"/>
      <c r="Y454" s="62"/>
      <c r="Z454" s="63"/>
      <c r="AA454" s="63"/>
      <c r="AB454" s="63"/>
      <c r="AC454" s="63"/>
      <c r="AD454" s="63"/>
      <c r="AE454" s="63"/>
      <c r="AF454" s="63"/>
    </row>
    <row r="455">
      <c r="A455" s="39">
        <v>2.0</v>
      </c>
      <c r="B455" s="70" t="s">
        <v>988</v>
      </c>
      <c r="C455" s="40">
        <v>451.0</v>
      </c>
      <c r="D455" s="40">
        <v>1.0</v>
      </c>
      <c r="E455" s="40" t="s">
        <v>884</v>
      </c>
      <c r="F455" s="42" t="str">
        <f>HYPERLINK("https://hot.detik.com/celeb/d-4794683/lama-jadi-aktris-happy-salma-nggak-tertarik-produseri-film ","sumber")</f>
        <v>sumber</v>
      </c>
      <c r="G455" s="40" t="s">
        <v>33</v>
      </c>
      <c r="H455" s="71">
        <v>1713.0</v>
      </c>
      <c r="I455" s="41"/>
      <c r="J455" s="40">
        <v>3.0</v>
      </c>
      <c r="K455" s="41"/>
      <c r="L455" s="41"/>
      <c r="M455" s="41"/>
      <c r="N455" s="41"/>
      <c r="O455" s="41"/>
      <c r="P455" s="41"/>
      <c r="Q455" s="41"/>
      <c r="R455" s="41"/>
      <c r="S455" s="41"/>
      <c r="T455" s="41"/>
      <c r="U455" s="41"/>
      <c r="V455" s="41"/>
      <c r="W455" s="41"/>
      <c r="X455" s="41"/>
      <c r="Y455" s="41"/>
      <c r="Z455" s="47"/>
      <c r="AA455" s="43"/>
      <c r="AB455" s="48"/>
      <c r="AC455" s="48"/>
      <c r="AD455" s="48"/>
      <c r="AE455" s="48"/>
      <c r="AF455" s="48"/>
    </row>
    <row r="456">
      <c r="A456" s="67">
        <v>1.0</v>
      </c>
      <c r="B456" s="77" t="s">
        <v>989</v>
      </c>
      <c r="C456" s="25">
        <v>452.0</v>
      </c>
      <c r="D456" s="25">
        <v>2.0</v>
      </c>
      <c r="E456" s="25" t="s">
        <v>950</v>
      </c>
      <c r="F456" s="27" t="str">
        <f>HYPERLINK("https://www.cnnindonesia.com/nasional/20191122180533-20-450718/menpan-rb-dukung-kejaksaan-agung-tolak-lgbt-daftar-cpns","sumber")</f>
        <v>sumber</v>
      </c>
      <c r="G456" s="25" t="s">
        <v>33</v>
      </c>
      <c r="H456" s="78">
        <v>303.0</v>
      </c>
      <c r="I456" s="25">
        <v>4.0</v>
      </c>
      <c r="J456" s="25">
        <v>3.0</v>
      </c>
      <c r="K456" s="25" t="s">
        <v>990</v>
      </c>
      <c r="L456" s="25">
        <v>0.0</v>
      </c>
      <c r="M456" s="25">
        <v>0.0</v>
      </c>
      <c r="N456" s="38">
        <v>0.0</v>
      </c>
      <c r="O456" s="25">
        <v>0.0</v>
      </c>
      <c r="P456" s="25">
        <v>0.0</v>
      </c>
      <c r="Q456" s="25">
        <v>0.0</v>
      </c>
      <c r="R456" s="25">
        <v>-1.0</v>
      </c>
      <c r="S456" s="29"/>
      <c r="T456" s="25">
        <v>0.0</v>
      </c>
      <c r="U456" s="25">
        <v>0.0</v>
      </c>
      <c r="V456" s="25">
        <v>1.0</v>
      </c>
      <c r="W456" s="29"/>
      <c r="X456" s="29"/>
      <c r="Y456" s="29"/>
      <c r="Z456" s="46"/>
      <c r="AA456" s="46"/>
      <c r="AB456" s="46"/>
      <c r="AC456" s="46"/>
      <c r="AD456" s="46"/>
      <c r="AE456" s="46"/>
      <c r="AF456" s="46"/>
    </row>
    <row r="457">
      <c r="A457" s="72">
        <v>1.0</v>
      </c>
      <c r="B457" s="73" t="s">
        <v>991</v>
      </c>
      <c r="C457" s="59">
        <v>453.0</v>
      </c>
      <c r="D457" s="59">
        <v>10.0</v>
      </c>
      <c r="E457" s="59" t="s">
        <v>950</v>
      </c>
      <c r="F457" s="61" t="str">
        <f>HYPERLINK("https://nasional.tempo.co/read/1275581/syarat-cpns-diskriminatif-amnesty-mengecewakan-harus-dicabut ","sumber")</f>
        <v>sumber</v>
      </c>
      <c r="G457" s="59" t="s">
        <v>33</v>
      </c>
      <c r="H457" s="76">
        <v>305.0</v>
      </c>
      <c r="I457" s="59">
        <v>4.0</v>
      </c>
      <c r="J457" s="59">
        <v>3.0</v>
      </c>
      <c r="K457" s="59" t="s">
        <v>992</v>
      </c>
      <c r="L457" s="59">
        <v>0.0</v>
      </c>
      <c r="M457" s="59">
        <v>0.0</v>
      </c>
      <c r="N457" s="65">
        <v>0.0</v>
      </c>
      <c r="O457" s="59">
        <v>0.0</v>
      </c>
      <c r="P457" s="59">
        <v>0.0</v>
      </c>
      <c r="Q457" s="59" t="s">
        <v>53</v>
      </c>
      <c r="R457" s="59" t="s">
        <v>54</v>
      </c>
      <c r="S457" s="59" t="s">
        <v>993</v>
      </c>
      <c r="T457" s="59">
        <v>2.0</v>
      </c>
      <c r="U457" s="59">
        <v>0.0</v>
      </c>
      <c r="V457" s="59">
        <v>1.0</v>
      </c>
      <c r="W457" s="62"/>
      <c r="X457" s="62"/>
      <c r="Y457" s="62"/>
      <c r="Z457" s="63"/>
      <c r="AA457" s="63"/>
      <c r="AB457" s="63"/>
      <c r="AC457" s="63"/>
      <c r="AD457" s="63"/>
      <c r="AE457" s="63"/>
      <c r="AF457" s="63"/>
    </row>
    <row r="458">
      <c r="A458" s="67">
        <v>1.0</v>
      </c>
      <c r="B458" s="77" t="s">
        <v>994</v>
      </c>
      <c r="C458" s="25">
        <v>454.0</v>
      </c>
      <c r="D458" s="25">
        <v>2.0</v>
      </c>
      <c r="E458" s="25" t="s">
        <v>958</v>
      </c>
      <c r="F458" s="27" t="str">
        <f>HYPERLINK("https://www.cnnindonesia.com/nasional/20191124140414-20-451016/ppp-soal-tes-cpns-islam-agama-terbesar-dan-larang-lgbt","sumber")</f>
        <v>sumber</v>
      </c>
      <c r="G458" s="25" t="s">
        <v>33</v>
      </c>
      <c r="H458" s="78">
        <v>377.0</v>
      </c>
      <c r="I458" s="25">
        <v>4.0</v>
      </c>
      <c r="J458" s="25">
        <v>3.0</v>
      </c>
      <c r="K458" s="25" t="s">
        <v>995</v>
      </c>
      <c r="L458" s="25">
        <v>0.0</v>
      </c>
      <c r="M458" s="25">
        <v>0.0</v>
      </c>
      <c r="N458" s="38">
        <v>0.0</v>
      </c>
      <c r="O458" s="25">
        <v>0.0</v>
      </c>
      <c r="P458" s="25">
        <v>0.0</v>
      </c>
      <c r="Q458" s="25" t="s">
        <v>53</v>
      </c>
      <c r="R458" s="25" t="s">
        <v>281</v>
      </c>
      <c r="S458" s="25" t="s">
        <v>996</v>
      </c>
      <c r="T458" s="25">
        <v>2.0</v>
      </c>
      <c r="U458" s="25">
        <v>0.0</v>
      </c>
      <c r="V458" s="25">
        <v>1.0</v>
      </c>
      <c r="W458" s="29"/>
      <c r="X458" s="29"/>
      <c r="Y458" s="29"/>
      <c r="Z458" s="46"/>
      <c r="AA458" s="46"/>
      <c r="AB458" s="46"/>
      <c r="AC458" s="46"/>
      <c r="AD458" s="46"/>
      <c r="AE458" s="46"/>
      <c r="AF458" s="46"/>
    </row>
    <row r="459">
      <c r="A459" s="67">
        <v>1.0</v>
      </c>
      <c r="B459" s="77" t="s">
        <v>997</v>
      </c>
      <c r="C459" s="25">
        <v>455.0</v>
      </c>
      <c r="D459" s="25">
        <v>6.0</v>
      </c>
      <c r="E459" s="25" t="s">
        <v>960</v>
      </c>
      <c r="F459" s="27" t="str">
        <f>HYPERLINK("https://nasional.kompas.com/read/2019/11/25/10103341/amnesty-international-indonesia-syarat-diskriminatif-bagi-pelamar-cpns-2019","sumber")</f>
        <v>sumber</v>
      </c>
      <c r="G459" s="25" t="s">
        <v>33</v>
      </c>
      <c r="H459" s="78">
        <v>284.0</v>
      </c>
      <c r="I459" s="25">
        <v>4.0</v>
      </c>
      <c r="J459" s="25">
        <v>3.0</v>
      </c>
      <c r="K459" s="25" t="s">
        <v>998</v>
      </c>
      <c r="L459" s="25">
        <v>0.0</v>
      </c>
      <c r="M459" s="25">
        <v>0.0</v>
      </c>
      <c r="N459" s="38">
        <v>0.0</v>
      </c>
      <c r="O459" s="25">
        <v>0.0</v>
      </c>
      <c r="P459" s="25">
        <v>0.0</v>
      </c>
      <c r="Q459" s="25" t="s">
        <v>61</v>
      </c>
      <c r="R459" s="25" t="s">
        <v>192</v>
      </c>
      <c r="S459" s="29"/>
      <c r="T459" s="25">
        <v>0.0</v>
      </c>
      <c r="U459" s="25">
        <v>0.0</v>
      </c>
      <c r="V459" s="25">
        <v>1.0</v>
      </c>
      <c r="W459" s="29"/>
      <c r="X459" s="29"/>
      <c r="Y459" s="29"/>
      <c r="Z459" s="46"/>
      <c r="AA459" s="46"/>
      <c r="AB459" s="46"/>
      <c r="AC459" s="46"/>
      <c r="AD459" s="46"/>
      <c r="AE459" s="46"/>
      <c r="AF459" s="46"/>
    </row>
    <row r="460">
      <c r="A460" s="39">
        <v>2.0</v>
      </c>
      <c r="B460" s="70" t="s">
        <v>999</v>
      </c>
      <c r="C460" s="40">
        <v>456.0</v>
      </c>
      <c r="D460" s="40">
        <v>3.0</v>
      </c>
      <c r="E460" s="40" t="s">
        <v>960</v>
      </c>
      <c r="F460" s="42" t="str">
        <f>HYPERLINK("https://economy.okezone.com/read/2019/11/24/320/2133782/6-fakta-menarik-1-000-pns-ngantor-di-rumah-nomor-5-harus-siap ","sumber")</f>
        <v>sumber</v>
      </c>
      <c r="G460" s="40" t="s">
        <v>33</v>
      </c>
      <c r="H460" s="71">
        <v>542.0</v>
      </c>
      <c r="I460" s="41"/>
      <c r="J460" s="40">
        <v>3.0</v>
      </c>
      <c r="K460" s="41"/>
      <c r="L460" s="41"/>
      <c r="M460" s="41"/>
      <c r="N460" s="41"/>
      <c r="O460" s="41"/>
      <c r="P460" s="41"/>
      <c r="Q460" s="41"/>
      <c r="R460" s="41"/>
      <c r="S460" s="41"/>
      <c r="T460" s="41"/>
      <c r="U460" s="41"/>
      <c r="V460" s="41"/>
      <c r="W460" s="41"/>
      <c r="X460" s="41"/>
      <c r="Y460" s="41"/>
      <c r="Z460" s="47"/>
      <c r="AA460" s="43"/>
      <c r="AB460" s="48"/>
      <c r="AC460" s="48"/>
      <c r="AD460" s="48"/>
      <c r="AE460" s="48"/>
      <c r="AF460" s="48"/>
    </row>
    <row r="461">
      <c r="A461" s="72">
        <v>1.0</v>
      </c>
      <c r="B461" s="73" t="s">
        <v>1000</v>
      </c>
      <c r="C461" s="59">
        <v>457.0</v>
      </c>
      <c r="D461" s="59">
        <v>8.0</v>
      </c>
      <c r="E461" s="59" t="s">
        <v>960</v>
      </c>
      <c r="F461" s="61" t="str">
        <f>HYPERLINK("https://www.suara.com/news/2019/11/25/154929/komnas-ham-desak-jaksa-agung-mencabut-larangan-transgender-daftar-cpns ","sumber")</f>
        <v>sumber</v>
      </c>
      <c r="G461" s="59" t="s">
        <v>33</v>
      </c>
      <c r="H461" s="76">
        <v>369.0</v>
      </c>
      <c r="I461" s="59">
        <v>4.0</v>
      </c>
      <c r="J461" s="59">
        <v>3.0</v>
      </c>
      <c r="K461" s="59" t="s">
        <v>1001</v>
      </c>
      <c r="L461" s="59">
        <v>0.0</v>
      </c>
      <c r="M461" s="59">
        <v>0.0</v>
      </c>
      <c r="N461" s="65">
        <v>0.0</v>
      </c>
      <c r="O461" s="59">
        <v>0.0</v>
      </c>
      <c r="P461" s="59">
        <v>0.0</v>
      </c>
      <c r="Q461" s="59">
        <v>0.0</v>
      </c>
      <c r="R461" s="59">
        <v>1.0</v>
      </c>
      <c r="S461" s="62"/>
      <c r="T461" s="59">
        <v>0.0</v>
      </c>
      <c r="U461" s="59">
        <v>0.0</v>
      </c>
      <c r="V461" s="59">
        <v>1.0</v>
      </c>
      <c r="W461" s="62"/>
      <c r="X461" s="62"/>
      <c r="Y461" s="62"/>
      <c r="Z461" s="63"/>
      <c r="AA461" s="63"/>
      <c r="AB461" s="63"/>
      <c r="AC461" s="63"/>
      <c r="AD461" s="63"/>
      <c r="AE461" s="63"/>
      <c r="AF461" s="63"/>
    </row>
    <row r="462">
      <c r="A462" s="72">
        <v>1.0</v>
      </c>
      <c r="B462" s="73" t="s">
        <v>1002</v>
      </c>
      <c r="C462" s="59">
        <v>458.0</v>
      </c>
      <c r="D462" s="59">
        <v>7.0</v>
      </c>
      <c r="E462" s="74">
        <v>43811.0</v>
      </c>
      <c r="F462" s="61" t="str">
        <f>HYPERLINK("https://www.tribunnews.com/internasional/2019/12/12/marak-diskriminasi-kamboja-didik-murid-sekolah-soal-lgbt ","sumber")</f>
        <v>sumber</v>
      </c>
      <c r="G462" s="59" t="s">
        <v>33</v>
      </c>
      <c r="H462" s="76">
        <v>435.0</v>
      </c>
      <c r="I462" s="59">
        <v>4.0</v>
      </c>
      <c r="J462" s="59">
        <v>3.0</v>
      </c>
      <c r="K462" s="59" t="s">
        <v>1003</v>
      </c>
      <c r="L462" s="59">
        <v>0.0</v>
      </c>
      <c r="M462" s="59">
        <v>0.0</v>
      </c>
      <c r="N462" s="65">
        <v>0.0</v>
      </c>
      <c r="O462" s="59">
        <v>0.0</v>
      </c>
      <c r="P462" s="59">
        <v>0.0</v>
      </c>
      <c r="Q462" s="59" t="s">
        <v>138</v>
      </c>
      <c r="R462" s="59" t="s">
        <v>392</v>
      </c>
      <c r="S462" s="62"/>
      <c r="T462" s="59">
        <v>0.0</v>
      </c>
      <c r="U462" s="59">
        <v>0.0</v>
      </c>
      <c r="V462" s="59">
        <v>1.0</v>
      </c>
      <c r="W462" s="62"/>
      <c r="X462" s="62"/>
      <c r="Y462" s="62"/>
      <c r="Z462" s="63"/>
      <c r="AA462" s="63"/>
      <c r="AB462" s="63"/>
      <c r="AC462" s="63"/>
      <c r="AD462" s="63"/>
      <c r="AE462" s="63"/>
      <c r="AF462" s="63"/>
    </row>
    <row r="463">
      <c r="A463" s="67">
        <v>1.0</v>
      </c>
      <c r="B463" s="77" t="s">
        <v>1004</v>
      </c>
      <c r="C463" s="25">
        <v>459.0</v>
      </c>
      <c r="D463" s="25">
        <v>10.0</v>
      </c>
      <c r="E463" s="25" t="s">
        <v>1005</v>
      </c>
      <c r="F463" s="27" t="str">
        <f>HYPERLINK("https://seleb.tempo.co/read/1288392/dituduh-transgender-istri-jerinx-sid-tak-terima","sumber")</f>
        <v>sumber</v>
      </c>
      <c r="G463" s="25" t="s">
        <v>33</v>
      </c>
      <c r="H463" s="78">
        <v>334.0</v>
      </c>
      <c r="I463" s="25">
        <v>1.0</v>
      </c>
      <c r="J463" s="25">
        <v>3.0</v>
      </c>
      <c r="K463" s="25" t="s">
        <v>1006</v>
      </c>
      <c r="L463" s="25">
        <v>0.0</v>
      </c>
      <c r="M463" s="25">
        <v>0.0</v>
      </c>
      <c r="N463" s="38">
        <v>0.0</v>
      </c>
      <c r="O463" s="25">
        <v>0.0</v>
      </c>
      <c r="P463" s="25">
        <v>0.0</v>
      </c>
      <c r="Q463" s="25">
        <v>0.0</v>
      </c>
      <c r="R463" s="25">
        <v>-1.0</v>
      </c>
      <c r="S463" s="29"/>
      <c r="T463" s="25">
        <v>0.0</v>
      </c>
      <c r="U463" s="25">
        <v>0.0</v>
      </c>
      <c r="V463" s="25">
        <v>0.0</v>
      </c>
      <c r="W463" s="29"/>
      <c r="X463" s="29"/>
      <c r="Y463" s="29"/>
      <c r="Z463" s="46"/>
      <c r="AA463" s="46"/>
      <c r="AB463" s="46"/>
      <c r="AC463" s="46"/>
      <c r="AD463" s="46"/>
      <c r="AE463" s="46"/>
      <c r="AF463" s="46"/>
    </row>
    <row r="464">
      <c r="A464" s="72">
        <v>1.0</v>
      </c>
      <c r="B464" s="73" t="s">
        <v>1007</v>
      </c>
      <c r="C464" s="59">
        <v>460.0</v>
      </c>
      <c r="D464" s="59">
        <v>10.0</v>
      </c>
      <c r="E464" s="59" t="s">
        <v>970</v>
      </c>
      <c r="F464" s="61" t="str">
        <f>HYPERLINK("https://dunia.tempo.co/read/1283750/vatikan-akan-investigasi-investasi-di-film-rocketman ","sumber")</f>
        <v>sumber</v>
      </c>
      <c r="G464" s="59" t="s">
        <v>33</v>
      </c>
      <c r="H464" s="76">
        <v>204.0</v>
      </c>
      <c r="I464" s="59">
        <v>1.0</v>
      </c>
      <c r="J464" s="59">
        <v>3.0</v>
      </c>
      <c r="K464" s="59" t="s">
        <v>1008</v>
      </c>
      <c r="L464" s="59">
        <v>0.0</v>
      </c>
      <c r="M464" s="33">
        <v>0.0</v>
      </c>
      <c r="N464" s="65">
        <v>0.0</v>
      </c>
      <c r="O464" s="59">
        <v>0.0</v>
      </c>
      <c r="P464" s="59">
        <v>0.0</v>
      </c>
      <c r="Q464" s="59">
        <v>0.0</v>
      </c>
      <c r="R464" s="59">
        <v>0.0</v>
      </c>
      <c r="S464" s="62"/>
      <c r="T464" s="59">
        <v>0.0</v>
      </c>
      <c r="U464" s="59">
        <v>0.0</v>
      </c>
      <c r="V464" s="59">
        <v>0.0</v>
      </c>
      <c r="W464" s="62"/>
      <c r="X464" s="62"/>
      <c r="Y464" s="62"/>
      <c r="Z464" s="63"/>
      <c r="AA464" s="63"/>
      <c r="AB464" s="63"/>
      <c r="AC464" s="63"/>
      <c r="AD464" s="63"/>
      <c r="AE464" s="63"/>
      <c r="AF464" s="63"/>
    </row>
    <row r="465">
      <c r="A465" s="39">
        <v>2.0</v>
      </c>
      <c r="B465" s="70" t="s">
        <v>1009</v>
      </c>
      <c r="C465" s="40">
        <v>461.0</v>
      </c>
      <c r="D465" s="40">
        <v>7.0</v>
      </c>
      <c r="E465" s="40" t="s">
        <v>1010</v>
      </c>
      <c r="F465" s="42" t="str">
        <f>HYPERLINK("https://www.tribunnews.com/seleb/2019/12/15/lucinta-luna-ancam-bunuh-diri-sampai-nangis-di-atas-genteng-takut-saat-atta-halilintar-ucapkan-ini ","sumber")</f>
        <v>sumber</v>
      </c>
      <c r="G465" s="40" t="s">
        <v>33</v>
      </c>
      <c r="H465" s="71">
        <v>120.0</v>
      </c>
      <c r="I465" s="41"/>
      <c r="J465" s="40">
        <v>3.0</v>
      </c>
      <c r="K465" s="41"/>
      <c r="L465" s="41"/>
      <c r="M465" s="41"/>
      <c r="N465" s="41"/>
      <c r="O465" s="41"/>
      <c r="P465" s="41"/>
      <c r="Q465" s="41"/>
      <c r="R465" s="41"/>
      <c r="S465" s="41"/>
      <c r="T465" s="41"/>
      <c r="U465" s="41"/>
      <c r="V465" s="41"/>
      <c r="W465" s="41"/>
      <c r="X465" s="41"/>
      <c r="Y465" s="41"/>
      <c r="Z465" s="47"/>
      <c r="AA465" s="43"/>
      <c r="AB465" s="48"/>
      <c r="AC465" s="48"/>
      <c r="AD465" s="48"/>
      <c r="AE465" s="48"/>
      <c r="AF465" s="48"/>
    </row>
    <row r="466">
      <c r="A466" s="72">
        <v>1.0</v>
      </c>
      <c r="B466" s="73" t="s">
        <v>1011</v>
      </c>
      <c r="C466" s="59">
        <v>462.0</v>
      </c>
      <c r="D466" s="59">
        <v>2.0</v>
      </c>
      <c r="E466" s="59" t="s">
        <v>893</v>
      </c>
      <c r="F466" s="61" t="str">
        <f>HYPERLINK("https://www.cnnindonesia.com/teknologi/20191218105337-185-457975/komentar-kominfo-soal-film-yesus-gay-di-netflix ","sumber")</f>
        <v>sumber</v>
      </c>
      <c r="G466" s="59" t="s">
        <v>33</v>
      </c>
      <c r="H466" s="76">
        <v>392.0</v>
      </c>
      <c r="I466" s="59">
        <v>1.0</v>
      </c>
      <c r="J466" s="59">
        <v>3.0</v>
      </c>
      <c r="K466" s="59" t="s">
        <v>1012</v>
      </c>
      <c r="L466" s="59">
        <v>0.0</v>
      </c>
      <c r="M466" s="59">
        <v>-1.0</v>
      </c>
      <c r="N466" s="65">
        <v>0.0</v>
      </c>
      <c r="O466" s="59">
        <v>0.0</v>
      </c>
      <c r="P466" s="59">
        <v>0.0</v>
      </c>
      <c r="Q466" s="59" t="s">
        <v>89</v>
      </c>
      <c r="R466" s="59" t="s">
        <v>1013</v>
      </c>
      <c r="S466" s="62"/>
      <c r="T466" s="59">
        <v>0.0</v>
      </c>
      <c r="U466" s="59">
        <v>0.0</v>
      </c>
      <c r="V466" s="59">
        <v>0.0</v>
      </c>
      <c r="W466" s="62"/>
      <c r="X466" s="62"/>
      <c r="Y466" s="62"/>
      <c r="Z466" s="63"/>
      <c r="AA466" s="63"/>
      <c r="AB466" s="63"/>
      <c r="AC466" s="63"/>
      <c r="AD466" s="63"/>
      <c r="AE466" s="63"/>
      <c r="AF466" s="63"/>
    </row>
    <row r="467">
      <c r="A467" s="39">
        <v>2.0</v>
      </c>
      <c r="B467" s="70" t="s">
        <v>1014</v>
      </c>
      <c r="C467" s="40">
        <v>463.0</v>
      </c>
      <c r="D467" s="40">
        <v>1.0</v>
      </c>
      <c r="E467" s="40" t="s">
        <v>964</v>
      </c>
      <c r="F467" s="42" t="str">
        <f>HYPERLINK("https://hot.detik.com/kpop/d-4829395/sunmi-jawab-rumor-operasi-payudara ","sumber")</f>
        <v>sumber</v>
      </c>
      <c r="G467" s="40" t="s">
        <v>33</v>
      </c>
      <c r="H467" s="71">
        <v>247.0</v>
      </c>
      <c r="I467" s="41"/>
      <c r="J467" s="40">
        <v>3.0</v>
      </c>
      <c r="K467" s="41"/>
      <c r="L467" s="41"/>
      <c r="M467" s="41"/>
      <c r="N467" s="41"/>
      <c r="O467" s="41"/>
      <c r="P467" s="41"/>
      <c r="Q467" s="41"/>
      <c r="R467" s="41"/>
      <c r="S467" s="41"/>
      <c r="T467" s="41"/>
      <c r="U467" s="41"/>
      <c r="V467" s="41"/>
      <c r="W467" s="41"/>
      <c r="X467" s="41"/>
      <c r="Y467" s="41"/>
      <c r="Z467" s="47"/>
      <c r="AA467" s="43"/>
      <c r="AB467" s="48"/>
      <c r="AC467" s="48"/>
      <c r="AD467" s="48"/>
      <c r="AE467" s="48"/>
      <c r="AF467" s="48"/>
    </row>
    <row r="468">
      <c r="A468" s="72">
        <v>1.0</v>
      </c>
      <c r="B468" s="73" t="s">
        <v>1015</v>
      </c>
      <c r="C468" s="59">
        <v>464.0</v>
      </c>
      <c r="D468" s="59">
        <v>3.0</v>
      </c>
      <c r="E468" s="59" t="s">
        <v>902</v>
      </c>
      <c r="F468" s="61" t="str">
        <f>HYPERLINK("https://economy.okezone.com/read/2019/12/22/320/2144839/13-miliarder-ini-terlibat-skandal-besar-dari-kylie-jenner-hingga-bos-facebook ","sumber")</f>
        <v>sumber</v>
      </c>
      <c r="G468" s="59" t="s">
        <v>33</v>
      </c>
      <c r="H468" s="76">
        <v>959.0</v>
      </c>
      <c r="I468" s="59">
        <v>1.0</v>
      </c>
      <c r="J468" s="59">
        <v>3.0</v>
      </c>
      <c r="K468" s="59"/>
      <c r="L468" s="59">
        <v>0.0</v>
      </c>
      <c r="M468" s="33">
        <v>0.0</v>
      </c>
      <c r="N468" s="65">
        <v>0.0</v>
      </c>
      <c r="O468" s="59">
        <v>0.0</v>
      </c>
      <c r="P468" s="59">
        <v>0.0</v>
      </c>
      <c r="Q468" s="59"/>
      <c r="R468" s="59"/>
      <c r="S468" s="62"/>
      <c r="T468" s="59">
        <v>0.0</v>
      </c>
      <c r="U468" s="59">
        <v>0.0</v>
      </c>
      <c r="V468" s="59">
        <v>0.0</v>
      </c>
      <c r="W468" s="62"/>
      <c r="X468" s="62"/>
      <c r="Y468" s="62"/>
      <c r="Z468" s="63"/>
      <c r="AA468" s="63"/>
      <c r="AB468" s="63"/>
      <c r="AC468" s="63"/>
      <c r="AD468" s="63"/>
      <c r="AE468" s="63"/>
      <c r="AF468" s="63"/>
    </row>
    <row r="469">
      <c r="A469" s="67">
        <v>1.0</v>
      </c>
      <c r="B469" s="77" t="s">
        <v>1016</v>
      </c>
      <c r="C469" s="25">
        <v>465.0</v>
      </c>
      <c r="D469" s="25">
        <v>1.0</v>
      </c>
      <c r="E469" s="25" t="s">
        <v>964</v>
      </c>
      <c r="F469" s="27" t="str">
        <f>HYPERLINK("https://hot.detik.com/movie/d-4828760/star-wars-the-rise-of-skywalker-jadi-representasi-lgbt","sumber")</f>
        <v>sumber</v>
      </c>
      <c r="G469" s="25" t="s">
        <v>33</v>
      </c>
      <c r="H469" s="78">
        <v>333.0</v>
      </c>
      <c r="I469" s="25">
        <v>2.0</v>
      </c>
      <c r="J469" s="25">
        <v>3.0</v>
      </c>
      <c r="K469" s="25" t="s">
        <v>1017</v>
      </c>
      <c r="L469" s="25">
        <v>0.0</v>
      </c>
      <c r="M469" s="25">
        <v>0.0</v>
      </c>
      <c r="N469" s="38">
        <v>0.0</v>
      </c>
      <c r="O469" s="25">
        <v>0.0</v>
      </c>
      <c r="P469" s="25">
        <v>0.0</v>
      </c>
      <c r="Q469" s="25">
        <v>0.0</v>
      </c>
      <c r="R469" s="25">
        <v>1.0</v>
      </c>
      <c r="S469" s="29"/>
      <c r="T469" s="25">
        <v>0.0</v>
      </c>
      <c r="U469" s="25">
        <v>0.0</v>
      </c>
      <c r="V469" s="25">
        <v>0.0</v>
      </c>
      <c r="W469" s="29"/>
      <c r="X469" s="29"/>
      <c r="Y469" s="29"/>
      <c r="Z469" s="46"/>
      <c r="AA469" s="46"/>
      <c r="AB469" s="46"/>
      <c r="AC469" s="46"/>
      <c r="AD469" s="46"/>
      <c r="AE469" s="46"/>
      <c r="AF469" s="46"/>
    </row>
    <row r="470">
      <c r="A470" s="72">
        <v>1.0</v>
      </c>
      <c r="B470" s="73" t="s">
        <v>1018</v>
      </c>
      <c r="C470" s="59">
        <v>466.0</v>
      </c>
      <c r="D470" s="59">
        <v>7.0</v>
      </c>
      <c r="E470" s="59" t="s">
        <v>1019</v>
      </c>
      <c r="F470" s="61" t="str">
        <f>HYPERLINK("https://www.tribunnews.com/internasional/2019/12/30/foto-masa-lalu-putri-kecantikan-yang-ternyata-pria-dulu-miskin-kini-kaya-raya-nikahi-pengusaha ","sumber")</f>
        <v>sumber</v>
      </c>
      <c r="G470" s="59" t="s">
        <v>33</v>
      </c>
      <c r="H470" s="76">
        <v>174.0</v>
      </c>
      <c r="I470" s="59">
        <v>2.0</v>
      </c>
      <c r="J470" s="59">
        <v>3.0</v>
      </c>
      <c r="K470" s="59" t="s">
        <v>1020</v>
      </c>
      <c r="L470" s="59">
        <v>0.0</v>
      </c>
      <c r="M470" s="59">
        <v>0.0</v>
      </c>
      <c r="N470" s="65">
        <v>0.0</v>
      </c>
      <c r="O470" s="59">
        <v>0.0</v>
      </c>
      <c r="P470" s="59">
        <v>0.0</v>
      </c>
      <c r="Q470" s="59">
        <v>0.0</v>
      </c>
      <c r="R470" s="59">
        <v>0.0</v>
      </c>
      <c r="S470" s="62"/>
      <c r="T470" s="59">
        <v>0.0</v>
      </c>
      <c r="U470" s="59">
        <v>0.0</v>
      </c>
      <c r="V470" s="59">
        <v>0.0</v>
      </c>
      <c r="W470" s="62"/>
      <c r="X470" s="62"/>
      <c r="Y470" s="62"/>
      <c r="Z470" s="63"/>
      <c r="AA470" s="63"/>
      <c r="AB470" s="63"/>
      <c r="AC470" s="63"/>
      <c r="AD470" s="63"/>
      <c r="AE470" s="63"/>
      <c r="AF470" s="63"/>
    </row>
    <row r="471">
      <c r="A471" s="39">
        <v>2.0</v>
      </c>
      <c r="B471" s="70" t="s">
        <v>1021</v>
      </c>
      <c r="C471" s="40">
        <v>467.0</v>
      </c>
      <c r="D471" s="40">
        <v>2.0</v>
      </c>
      <c r="E471" s="53">
        <v>43534.0</v>
      </c>
      <c r="F471" s="42" t="str">
        <f>HYPERLINK("https://www.cnnindonesia.com/nasional/20191002212049-12-436230/polisi-bantah-tangkap-pelajar-karena-dugaan-pelecehan-bendera ","sumber")</f>
        <v>sumber</v>
      </c>
      <c r="G471" s="40" t="s">
        <v>33</v>
      </c>
      <c r="H471" s="71">
        <v>262.0</v>
      </c>
      <c r="I471" s="41"/>
      <c r="J471" s="40">
        <v>1.0</v>
      </c>
      <c r="K471" s="41"/>
      <c r="L471" s="41"/>
      <c r="M471" s="41"/>
      <c r="N471" s="41"/>
      <c r="O471" s="41"/>
      <c r="P471" s="41"/>
      <c r="Q471" s="41"/>
      <c r="R471" s="41"/>
      <c r="S471" s="41"/>
      <c r="T471" s="41"/>
      <c r="U471" s="41"/>
      <c r="V471" s="41"/>
      <c r="W471" s="41"/>
      <c r="X471" s="41"/>
      <c r="Y471" s="41"/>
      <c r="Z471" s="47"/>
      <c r="AA471" s="43"/>
      <c r="AB471" s="48"/>
      <c r="AC471" s="48"/>
      <c r="AD471" s="48"/>
      <c r="AE471" s="48"/>
      <c r="AF471" s="48"/>
    </row>
    <row r="472">
      <c r="A472" s="39">
        <v>2.0</v>
      </c>
      <c r="B472" s="70" t="s">
        <v>1022</v>
      </c>
      <c r="C472" s="40">
        <v>468.0</v>
      </c>
      <c r="D472" s="40">
        <v>4.0</v>
      </c>
      <c r="E472" s="53">
        <v>43534.0</v>
      </c>
      <c r="F472" s="42" t="str">
        <f>HYPERLINK("https://www.liputan6.com/showbiz/read/4077431/ratu-rizky-nabila-beri-dukungan-ke-atta-halilintar ","sumber")</f>
        <v>sumber</v>
      </c>
      <c r="G472" s="40" t="s">
        <v>33</v>
      </c>
      <c r="H472" s="71">
        <v>205.0</v>
      </c>
      <c r="I472" s="41"/>
      <c r="J472" s="40">
        <v>1.0</v>
      </c>
      <c r="K472" s="41"/>
      <c r="L472" s="41"/>
      <c r="M472" s="41"/>
      <c r="N472" s="41"/>
      <c r="O472" s="41"/>
      <c r="P472" s="41"/>
      <c r="Q472" s="41"/>
      <c r="R472" s="41"/>
      <c r="S472" s="41"/>
      <c r="T472" s="41"/>
      <c r="U472" s="41"/>
      <c r="V472" s="41"/>
      <c r="W472" s="41"/>
      <c r="X472" s="41"/>
      <c r="Y472" s="41"/>
      <c r="Z472" s="47"/>
      <c r="AA472" s="43"/>
      <c r="AB472" s="48"/>
      <c r="AC472" s="48"/>
      <c r="AD472" s="48"/>
      <c r="AE472" s="48"/>
      <c r="AF472" s="48"/>
    </row>
    <row r="473">
      <c r="A473" s="72">
        <v>1.0</v>
      </c>
      <c r="B473" s="73" t="s">
        <v>1023</v>
      </c>
      <c r="C473" s="59">
        <v>469.0</v>
      </c>
      <c r="D473" s="59">
        <v>7.0</v>
      </c>
      <c r="E473" s="60">
        <v>43534.0</v>
      </c>
      <c r="F473" s="61" t="str">
        <f>HYPERLINK("https://www.tribunnews.com/regional/2019/10/03/p2tp2a-garut-beri-pendampingan-psikologi-pada-korban-rudapaksa-siswi-smp-di-cisompet ","sumber")</f>
        <v>sumber</v>
      </c>
      <c r="G473" s="59" t="s">
        <v>33</v>
      </c>
      <c r="H473" s="76">
        <v>168.0</v>
      </c>
      <c r="I473" s="59">
        <v>1.0</v>
      </c>
      <c r="J473" s="59">
        <v>1.0</v>
      </c>
      <c r="K473" s="59" t="s">
        <v>1024</v>
      </c>
      <c r="L473" s="59">
        <v>0.0</v>
      </c>
      <c r="M473" s="33">
        <v>0.0</v>
      </c>
      <c r="N473" s="65">
        <v>0.0</v>
      </c>
      <c r="O473" s="59">
        <v>1.0</v>
      </c>
      <c r="P473" s="59">
        <v>0.0</v>
      </c>
      <c r="Q473" s="59" t="s">
        <v>61</v>
      </c>
      <c r="R473" s="59" t="s">
        <v>61</v>
      </c>
      <c r="S473" s="62"/>
      <c r="T473" s="59">
        <v>0.0</v>
      </c>
      <c r="U473" s="59">
        <v>0.0</v>
      </c>
      <c r="V473" s="59">
        <v>0.0</v>
      </c>
      <c r="W473" s="62"/>
      <c r="X473" s="62"/>
      <c r="Y473" s="62"/>
      <c r="Z473" s="63"/>
      <c r="AA473" s="63"/>
      <c r="AB473" s="63"/>
      <c r="AC473" s="63"/>
      <c r="AD473" s="63"/>
      <c r="AE473" s="63"/>
      <c r="AF473" s="63"/>
    </row>
    <row r="474">
      <c r="A474" s="72">
        <v>1.0</v>
      </c>
      <c r="B474" s="73" t="s">
        <v>1025</v>
      </c>
      <c r="C474" s="59">
        <v>470.0</v>
      </c>
      <c r="D474" s="59">
        <v>2.0</v>
      </c>
      <c r="E474" s="60">
        <v>43565.0</v>
      </c>
      <c r="F474" s="61" t="str">
        <f>HYPERLINK("https://www.cnnindonesia.com/hiburan/20191004111637-234-436695/james-franco-dituduh-lecehkan-siswi-di-kelas-akting ","sumber")</f>
        <v>sumber</v>
      </c>
      <c r="G474" s="59" t="s">
        <v>33</v>
      </c>
      <c r="H474" s="76">
        <v>492.0</v>
      </c>
      <c r="I474" s="59">
        <v>1.0</v>
      </c>
      <c r="J474" s="59">
        <v>1.0</v>
      </c>
      <c r="K474" s="59" t="s">
        <v>1026</v>
      </c>
      <c r="L474" s="59">
        <v>0.0</v>
      </c>
      <c r="M474" s="59">
        <v>1.0</v>
      </c>
      <c r="N474" s="59">
        <v>-1.0</v>
      </c>
      <c r="O474" s="59">
        <v>0.0</v>
      </c>
      <c r="P474" s="59">
        <v>0.0</v>
      </c>
      <c r="Q474" s="59" t="s">
        <v>1027</v>
      </c>
      <c r="R474" s="59" t="s">
        <v>89</v>
      </c>
      <c r="S474" s="62"/>
      <c r="T474" s="59">
        <v>0.0</v>
      </c>
      <c r="U474" s="59">
        <v>0.0</v>
      </c>
      <c r="V474" s="59">
        <v>0.0</v>
      </c>
      <c r="W474" s="62"/>
      <c r="X474" s="62"/>
      <c r="Y474" s="62"/>
      <c r="Z474" s="63"/>
      <c r="AA474" s="63"/>
      <c r="AB474" s="63"/>
      <c r="AC474" s="63"/>
      <c r="AD474" s="63"/>
      <c r="AE474" s="63"/>
      <c r="AF474" s="63"/>
    </row>
    <row r="475">
      <c r="A475" s="72">
        <v>1.0</v>
      </c>
      <c r="B475" s="73" t="s">
        <v>1028</v>
      </c>
      <c r="C475" s="59">
        <v>471.0</v>
      </c>
      <c r="D475" s="59">
        <v>1.0</v>
      </c>
      <c r="E475" s="60">
        <v>43565.0</v>
      </c>
      <c r="F475" s="61" t="str">
        <f>HYPERLINK("https://news.detik.com/berita/d-4734072/veronica-koman-ngaku-diancam-dibunuh-polri-tantang-tunjukkan-bukti ","sumber")</f>
        <v>sumber</v>
      </c>
      <c r="G475" s="59" t="s">
        <v>33</v>
      </c>
      <c r="H475" s="76">
        <v>180.0</v>
      </c>
      <c r="I475" s="59">
        <v>1.0</v>
      </c>
      <c r="J475" s="59">
        <v>1.0</v>
      </c>
      <c r="K475" s="59" t="s">
        <v>1029</v>
      </c>
      <c r="L475" s="59">
        <v>0.0</v>
      </c>
      <c r="M475" s="59">
        <v>1.0</v>
      </c>
      <c r="N475" s="65">
        <v>0.0</v>
      </c>
      <c r="O475" s="59">
        <v>0.0</v>
      </c>
      <c r="P475" s="59">
        <v>0.0</v>
      </c>
      <c r="Q475" s="59" t="s">
        <v>210</v>
      </c>
      <c r="R475" s="59" t="s">
        <v>100</v>
      </c>
      <c r="S475" s="62"/>
      <c r="T475" s="59">
        <v>0.0</v>
      </c>
      <c r="U475" s="59">
        <v>0.0</v>
      </c>
      <c r="V475" s="59">
        <v>0.0</v>
      </c>
      <c r="W475" s="62"/>
      <c r="X475" s="62"/>
      <c r="Y475" s="62"/>
      <c r="Z475" s="63"/>
      <c r="AA475" s="63"/>
      <c r="AB475" s="63"/>
      <c r="AC475" s="63"/>
      <c r="AD475" s="63"/>
      <c r="AE475" s="63"/>
      <c r="AF475" s="63"/>
    </row>
    <row r="476">
      <c r="A476" s="72">
        <v>1.0</v>
      </c>
      <c r="B476" s="73" t="s">
        <v>1030</v>
      </c>
      <c r="C476" s="59">
        <v>472.0</v>
      </c>
      <c r="D476" s="59">
        <v>1.0</v>
      </c>
      <c r="E476" s="60">
        <v>43595.0</v>
      </c>
      <c r="F476" s="61" t="str">
        <f>HYPERLINK("https://news.detik.com/berita/d-4734501/tampil-di-media-veronica-koman-diingatkan-soal-beasiswa ","sumber")</f>
        <v>sumber</v>
      </c>
      <c r="G476" s="59" t="s">
        <v>33</v>
      </c>
      <c r="H476" s="76">
        <v>202.0</v>
      </c>
      <c r="I476" s="59">
        <v>1.0</v>
      </c>
      <c r="J476" s="59">
        <v>1.0</v>
      </c>
      <c r="K476" s="59" t="s">
        <v>1031</v>
      </c>
      <c r="L476" s="59">
        <v>0.0</v>
      </c>
      <c r="M476" s="59">
        <v>1.0</v>
      </c>
      <c r="N476" s="65">
        <v>0.0</v>
      </c>
      <c r="O476" s="59">
        <v>0.0</v>
      </c>
      <c r="P476" s="59">
        <v>0.0</v>
      </c>
      <c r="Q476" s="59" t="s">
        <v>80</v>
      </c>
      <c r="R476" s="59" t="s">
        <v>242</v>
      </c>
      <c r="S476" s="62"/>
      <c r="T476" s="59">
        <v>0.0</v>
      </c>
      <c r="U476" s="59">
        <v>0.0</v>
      </c>
      <c r="V476" s="59">
        <v>0.0</v>
      </c>
      <c r="W476" s="62"/>
      <c r="X476" s="62"/>
      <c r="Y476" s="62"/>
      <c r="Z476" s="63"/>
      <c r="AA476" s="63"/>
      <c r="AB476" s="63"/>
      <c r="AC476" s="63"/>
      <c r="AD476" s="63"/>
      <c r="AE476" s="63"/>
      <c r="AF476" s="63"/>
    </row>
    <row r="477">
      <c r="A477" s="67">
        <v>1.0</v>
      </c>
      <c r="B477" s="77" t="s">
        <v>1032</v>
      </c>
      <c r="C477" s="25">
        <v>473.0</v>
      </c>
      <c r="D477" s="25">
        <v>7.0</v>
      </c>
      <c r="E477" s="26">
        <v>43595.0</v>
      </c>
      <c r="F477" s="27" t="str">
        <f>HYPERLINK("https://www.tribunnews.com/regional/2019/10/05/ibu-muda-di-sintang-nyari-jadi-korban-pemerkosaan-yang-dilakukan-teman-suami","sumber")</f>
        <v>sumber</v>
      </c>
      <c r="G477" s="25" t="s">
        <v>33</v>
      </c>
      <c r="H477" s="78">
        <v>264.0</v>
      </c>
      <c r="I477" s="25">
        <v>1.0</v>
      </c>
      <c r="J477" s="25">
        <v>1.0</v>
      </c>
      <c r="K477" s="25" t="s">
        <v>1033</v>
      </c>
      <c r="L477" s="25">
        <v>0.0</v>
      </c>
      <c r="M477" s="25">
        <v>0.0</v>
      </c>
      <c r="N477" s="38">
        <v>0.0</v>
      </c>
      <c r="O477" s="25">
        <v>1.0</v>
      </c>
      <c r="P477" s="25">
        <v>0.0</v>
      </c>
      <c r="Q477" s="25">
        <v>0.0</v>
      </c>
      <c r="R477" s="25">
        <v>0.0</v>
      </c>
      <c r="S477" s="29"/>
      <c r="T477" s="25">
        <v>0.0</v>
      </c>
      <c r="U477" s="25">
        <v>0.0</v>
      </c>
      <c r="V477" s="25">
        <v>0.0</v>
      </c>
      <c r="W477" s="29"/>
      <c r="X477" s="29"/>
      <c r="Y477" s="29"/>
      <c r="Z477" s="46"/>
      <c r="AA477" s="46"/>
      <c r="AB477" s="46"/>
      <c r="AC477" s="46"/>
      <c r="AD477" s="46"/>
      <c r="AE477" s="46"/>
      <c r="AF477" s="46"/>
    </row>
    <row r="478">
      <c r="A478" s="72">
        <v>1.0</v>
      </c>
      <c r="B478" s="73" t="s">
        <v>1034</v>
      </c>
      <c r="C478" s="59">
        <v>474.0</v>
      </c>
      <c r="D478" s="59">
        <v>4.0</v>
      </c>
      <c r="E478" s="60">
        <v>43687.0</v>
      </c>
      <c r="F478" s="61" t="str">
        <f>HYPERLINK("https://www.liputan6.com/showbiz/read/4081414/status-orangtua-tunggal-cathy-sharon-tegaskan-jadi-janda ","sumber")</f>
        <v>sumber</v>
      </c>
      <c r="G478" s="59" t="s">
        <v>33</v>
      </c>
      <c r="H478" s="76">
        <v>245.0</v>
      </c>
      <c r="I478" s="59">
        <v>2.0</v>
      </c>
      <c r="J478" s="59">
        <v>1.0</v>
      </c>
      <c r="K478" s="59" t="s">
        <v>1035</v>
      </c>
      <c r="L478" s="59">
        <v>0.0</v>
      </c>
      <c r="M478" s="59">
        <v>0.0</v>
      </c>
      <c r="N478" s="65">
        <v>0.0</v>
      </c>
      <c r="O478" s="59">
        <v>0.0</v>
      </c>
      <c r="P478" s="59">
        <v>0.0</v>
      </c>
      <c r="Q478" s="59">
        <v>2.0</v>
      </c>
      <c r="R478" s="59">
        <v>0.0</v>
      </c>
      <c r="S478" s="62"/>
      <c r="T478" s="59">
        <v>0.0</v>
      </c>
      <c r="U478" s="59">
        <v>0.0</v>
      </c>
      <c r="V478" s="59">
        <v>0.0</v>
      </c>
      <c r="W478" s="62"/>
      <c r="X478" s="62"/>
      <c r="Y478" s="62"/>
      <c r="Z478" s="63"/>
      <c r="AA478" s="63"/>
      <c r="AB478" s="63"/>
      <c r="AC478" s="63"/>
      <c r="AD478" s="63"/>
      <c r="AE478" s="63"/>
      <c r="AF478" s="63"/>
    </row>
    <row r="479">
      <c r="A479" s="72">
        <v>1.0</v>
      </c>
      <c r="B479" s="73" t="s">
        <v>1036</v>
      </c>
      <c r="C479" s="59">
        <v>475.0</v>
      </c>
      <c r="D479" s="59">
        <v>3.0</v>
      </c>
      <c r="E479" s="60">
        <v>43718.0</v>
      </c>
      <c r="F479" s="61" t="str">
        <f>HYPERLINK("https://news.okezone.com/read/2019/10/09/525/2114546/gadis-remaja-digilir-3-pria-paruh-baya-termasuk-pamannya-sendiri ","sumber")</f>
        <v>sumber</v>
      </c>
      <c r="G479" s="59" t="s">
        <v>33</v>
      </c>
      <c r="H479" s="76">
        <v>406.0</v>
      </c>
      <c r="I479" s="59">
        <v>1.0</v>
      </c>
      <c r="J479" s="59">
        <v>1.0</v>
      </c>
      <c r="K479" s="59" t="s">
        <v>1037</v>
      </c>
      <c r="L479" s="59">
        <v>0.0</v>
      </c>
      <c r="M479" s="33">
        <v>0.0</v>
      </c>
      <c r="N479" s="65">
        <v>0.0</v>
      </c>
      <c r="O479" s="59">
        <v>1.0</v>
      </c>
      <c r="P479" s="59">
        <v>0.0</v>
      </c>
      <c r="Q479" s="59">
        <v>0.0</v>
      </c>
      <c r="R479" s="59">
        <v>0.0</v>
      </c>
      <c r="S479" s="62"/>
      <c r="T479" s="59">
        <v>0.0</v>
      </c>
      <c r="U479" s="59">
        <v>0.0</v>
      </c>
      <c r="V479" s="59">
        <v>0.0</v>
      </c>
      <c r="W479" s="62"/>
      <c r="X479" s="62"/>
      <c r="Y479" s="62"/>
      <c r="Z479" s="63"/>
      <c r="AA479" s="63"/>
      <c r="AB479" s="63"/>
      <c r="AC479" s="63"/>
      <c r="AD479" s="63"/>
      <c r="AE479" s="63"/>
      <c r="AF479" s="63"/>
    </row>
    <row r="480">
      <c r="A480" s="72">
        <v>1.0</v>
      </c>
      <c r="B480" s="73" t="s">
        <v>1038</v>
      </c>
      <c r="C480" s="59">
        <v>476.0</v>
      </c>
      <c r="D480" s="59">
        <v>9.0</v>
      </c>
      <c r="E480" s="60">
        <v>43718.0</v>
      </c>
      <c r="F480" s="61" t="str">
        <f>HYPERLINK("https://internasional.republika.co.id/berita/pz3no4/dari-australia-veronica-koman-saya-tidak-akan-berhenti ","sumber")</f>
        <v>sumber</v>
      </c>
      <c r="G480" s="59" t="s">
        <v>33</v>
      </c>
      <c r="H480" s="76">
        <v>212.0</v>
      </c>
      <c r="I480" s="59">
        <v>1.0</v>
      </c>
      <c r="J480" s="59">
        <v>1.0</v>
      </c>
      <c r="K480" s="59" t="s">
        <v>1039</v>
      </c>
      <c r="L480" s="59">
        <v>0.0</v>
      </c>
      <c r="M480" s="59">
        <v>1.0</v>
      </c>
      <c r="N480" s="65">
        <v>0.0</v>
      </c>
      <c r="O480" s="59">
        <v>0.0</v>
      </c>
      <c r="P480" s="59">
        <v>0.0</v>
      </c>
      <c r="Q480" s="59" t="s">
        <v>210</v>
      </c>
      <c r="R480" s="59" t="s">
        <v>100</v>
      </c>
      <c r="S480" s="62"/>
      <c r="T480" s="59">
        <v>0.0</v>
      </c>
      <c r="U480" s="59">
        <v>0.0</v>
      </c>
      <c r="V480" s="59">
        <v>0.0</v>
      </c>
      <c r="W480" s="62"/>
      <c r="X480" s="62"/>
      <c r="Y480" s="62"/>
      <c r="Z480" s="63"/>
      <c r="AA480" s="63"/>
      <c r="AB480" s="63"/>
      <c r="AC480" s="63"/>
      <c r="AD480" s="63"/>
      <c r="AE480" s="63"/>
      <c r="AF480" s="63"/>
    </row>
    <row r="481">
      <c r="A481" s="67">
        <v>1.0</v>
      </c>
      <c r="B481" s="77" t="s">
        <v>1040</v>
      </c>
      <c r="C481" s="25">
        <v>477.0</v>
      </c>
      <c r="D481" s="25">
        <v>8.0</v>
      </c>
      <c r="E481" s="26">
        <v>43506.0</v>
      </c>
      <c r="F481" s="27" t="str">
        <f>HYPERLINK("https://www.suara.com/health/2019/10/02/194500/kekerasan-berbasis-gender-masih-tinggi-di-indonesia-terlebih-pengidap-hiv","sumber")</f>
        <v>sumber</v>
      </c>
      <c r="G481" s="82" t="s">
        <v>33</v>
      </c>
      <c r="H481" s="78">
        <v>220.0</v>
      </c>
      <c r="I481" s="25">
        <v>4.0</v>
      </c>
      <c r="J481" s="25">
        <v>1.0</v>
      </c>
      <c r="K481" s="25" t="s">
        <v>1041</v>
      </c>
      <c r="L481" s="25">
        <v>0.0</v>
      </c>
      <c r="M481" s="25">
        <v>0.0</v>
      </c>
      <c r="N481" s="38">
        <v>0.0</v>
      </c>
      <c r="O481" s="25">
        <v>0.0</v>
      </c>
      <c r="P481" s="25">
        <v>0.0</v>
      </c>
      <c r="Q481" s="25">
        <v>0.0</v>
      </c>
      <c r="R481" s="25">
        <v>0.0</v>
      </c>
      <c r="S481" s="29"/>
      <c r="T481" s="25">
        <v>0.0</v>
      </c>
      <c r="U481" s="25">
        <v>0.0</v>
      </c>
      <c r="V481" s="25">
        <v>1.0</v>
      </c>
      <c r="W481" s="29"/>
      <c r="X481" s="29"/>
      <c r="Y481" s="29"/>
      <c r="Z481" s="46"/>
      <c r="AA481" s="46"/>
      <c r="AB481" s="46"/>
      <c r="AC481" s="46"/>
      <c r="AD481" s="46"/>
      <c r="AE481" s="46"/>
      <c r="AF481" s="46"/>
    </row>
    <row r="482">
      <c r="A482" s="39">
        <v>2.0</v>
      </c>
      <c r="B482" s="70" t="s">
        <v>1042</v>
      </c>
      <c r="C482" s="40">
        <v>478.0</v>
      </c>
      <c r="D482" s="40">
        <v>5.0</v>
      </c>
      <c r="E482" s="53">
        <v>43718.0</v>
      </c>
      <c r="F482" s="42" t="str">
        <f>HYPERLINK("https://tirto.id/preview-when-the-camellia-blooms-ep-13-14-dong-baek-tuntut-gyu-tae-ejtC ","sumber")</f>
        <v>sumber</v>
      </c>
      <c r="G482" s="40" t="s">
        <v>33</v>
      </c>
      <c r="H482" s="71">
        <v>609.0</v>
      </c>
      <c r="I482" s="41"/>
      <c r="J482" s="40">
        <v>1.0</v>
      </c>
      <c r="K482" s="41"/>
      <c r="L482" s="41"/>
      <c r="M482" s="41"/>
      <c r="N482" s="41"/>
      <c r="O482" s="41"/>
      <c r="P482" s="41"/>
      <c r="Q482" s="41"/>
      <c r="R482" s="41"/>
      <c r="S482" s="41"/>
      <c r="T482" s="41"/>
      <c r="U482" s="41"/>
      <c r="V482" s="41"/>
      <c r="W482" s="41"/>
      <c r="X482" s="41"/>
      <c r="Y482" s="41"/>
      <c r="Z482" s="47"/>
      <c r="AA482" s="43"/>
      <c r="AB482" s="48"/>
      <c r="AC482" s="48"/>
      <c r="AD482" s="48"/>
      <c r="AE482" s="48"/>
      <c r="AF482" s="48"/>
    </row>
    <row r="483">
      <c r="A483" s="39">
        <v>2.0</v>
      </c>
      <c r="B483" s="70" t="s">
        <v>1043</v>
      </c>
      <c r="C483" s="40">
        <v>479.0</v>
      </c>
      <c r="D483" s="40">
        <v>6.0</v>
      </c>
      <c r="E483" s="83">
        <v>43748.0</v>
      </c>
      <c r="F483" s="42" t="str">
        <f>HYPERLINK("https://regional.kompas.com/read/2019/10/10/10535231/polisi-ungkap-jaringan-prostitusi-yang-jajakan-ladyboy ","sumber")</f>
        <v>sumber</v>
      </c>
      <c r="G483" s="40" t="s">
        <v>33</v>
      </c>
      <c r="H483" s="71">
        <v>291.0</v>
      </c>
      <c r="I483" s="40"/>
      <c r="J483" s="40">
        <v>1.0</v>
      </c>
      <c r="K483" s="40"/>
      <c r="L483" s="41"/>
      <c r="M483" s="41"/>
      <c r="N483" s="41"/>
      <c r="O483" s="41"/>
      <c r="P483" s="41"/>
      <c r="Q483" s="41"/>
      <c r="R483" s="41"/>
      <c r="S483" s="41"/>
      <c r="T483" s="41"/>
      <c r="U483" s="41"/>
      <c r="V483" s="41"/>
      <c r="W483" s="41"/>
      <c r="X483" s="41"/>
      <c r="Y483" s="41"/>
      <c r="Z483" s="47"/>
      <c r="AA483" s="43"/>
      <c r="AB483" s="48"/>
      <c r="AC483" s="48"/>
      <c r="AD483" s="48"/>
      <c r="AE483" s="48"/>
      <c r="AF483" s="48"/>
    </row>
    <row r="484">
      <c r="A484" s="39">
        <v>2.0</v>
      </c>
      <c r="B484" s="70" t="s">
        <v>1044</v>
      </c>
      <c r="C484" s="40">
        <v>480.0</v>
      </c>
      <c r="D484" s="40">
        <v>3.0</v>
      </c>
      <c r="E484" s="83">
        <v>43748.0</v>
      </c>
      <c r="F484" s="42" t="str">
        <f>HYPERLINK("https://index.okezone.com/read/2019/10/09/612/2114972/berbeda-dengan-hantu-kota-tua-menara-saidah-punya-kuntilanak-merah ","sumber")</f>
        <v>sumber</v>
      </c>
      <c r="G484" s="40" t="s">
        <v>33</v>
      </c>
      <c r="H484" s="71">
        <v>536.0</v>
      </c>
      <c r="I484" s="41"/>
      <c r="J484" s="40">
        <v>1.0</v>
      </c>
      <c r="K484" s="41"/>
      <c r="L484" s="41"/>
      <c r="M484" s="41"/>
      <c r="N484" s="41"/>
      <c r="O484" s="41"/>
      <c r="P484" s="41"/>
      <c r="Q484" s="41"/>
      <c r="R484" s="41"/>
      <c r="S484" s="41"/>
      <c r="T484" s="41"/>
      <c r="U484" s="41"/>
      <c r="V484" s="41"/>
      <c r="W484" s="41"/>
      <c r="X484" s="41"/>
      <c r="Y484" s="41"/>
      <c r="Z484" s="47"/>
      <c r="AA484" s="43"/>
      <c r="AB484" s="48"/>
      <c r="AC484" s="48"/>
      <c r="AD484" s="48"/>
      <c r="AE484" s="48"/>
      <c r="AF484" s="48"/>
    </row>
    <row r="485">
      <c r="A485" s="67">
        <v>1.0</v>
      </c>
      <c r="B485" s="77" t="s">
        <v>1045</v>
      </c>
      <c r="C485" s="25">
        <v>481.0</v>
      </c>
      <c r="D485" s="25">
        <v>10.0</v>
      </c>
      <c r="E485" s="25" t="s">
        <v>960</v>
      </c>
      <c r="F485" s="27" t="str">
        <f>HYPERLINK("https://nasional.tempo.co/read/1276496/pemerintah-dinilai-belum-maksimal-bantu-korban-kekerasan-seksual","sumber")</f>
        <v>sumber</v>
      </c>
      <c r="G485" s="25" t="s">
        <v>33</v>
      </c>
      <c r="H485" s="78">
        <v>167.0</v>
      </c>
      <c r="I485" s="25">
        <v>4.0</v>
      </c>
      <c r="J485" s="25">
        <v>1.0</v>
      </c>
      <c r="K485" s="25" t="s">
        <v>1046</v>
      </c>
      <c r="L485" s="25">
        <v>0.0</v>
      </c>
      <c r="M485" s="25">
        <v>0.0</v>
      </c>
      <c r="N485" s="38">
        <v>0.0</v>
      </c>
      <c r="O485" s="25">
        <v>0.0</v>
      </c>
      <c r="P485" s="25">
        <v>0.0</v>
      </c>
      <c r="Q485" s="25">
        <v>0.0</v>
      </c>
      <c r="R485" s="25">
        <v>1.0</v>
      </c>
      <c r="S485" s="29"/>
      <c r="T485" s="25">
        <v>0.0</v>
      </c>
      <c r="U485" s="25">
        <v>0.0</v>
      </c>
      <c r="V485" s="25">
        <v>1.0</v>
      </c>
      <c r="W485" s="29"/>
      <c r="X485" s="29"/>
      <c r="Y485" s="29"/>
      <c r="Z485" s="46"/>
      <c r="AA485" s="46"/>
      <c r="AB485" s="46"/>
      <c r="AC485" s="46"/>
      <c r="AD485" s="46"/>
      <c r="AE485" s="46"/>
      <c r="AF485" s="46"/>
    </row>
    <row r="486">
      <c r="A486" s="72">
        <v>1.0</v>
      </c>
      <c r="B486" s="73" t="s">
        <v>1047</v>
      </c>
      <c r="C486" s="59">
        <v>482.0</v>
      </c>
      <c r="D486" s="59">
        <v>6.0</v>
      </c>
      <c r="E486" s="59" t="s">
        <v>936</v>
      </c>
      <c r="F486" s="61" t="str">
        <f>HYPERLINK("https://megapolitan.kompas.com/read/2019/11/19/18471421/imigrasi-soekarno-hatta-akui-sulit-deteksi-perdagangan-manusia-lewat ","sumber")</f>
        <v>sumber</v>
      </c>
      <c r="G486" s="59" t="s">
        <v>33</v>
      </c>
      <c r="H486" s="76">
        <v>317.0</v>
      </c>
      <c r="I486" s="59">
        <v>1.0</v>
      </c>
      <c r="J486" s="59">
        <v>1.0</v>
      </c>
      <c r="K486" s="59" t="s">
        <v>1048</v>
      </c>
      <c r="L486" s="59">
        <v>0.0</v>
      </c>
      <c r="M486" s="33">
        <v>0.0</v>
      </c>
      <c r="N486" s="65">
        <v>0.0</v>
      </c>
      <c r="O486" s="59">
        <v>0.0</v>
      </c>
      <c r="P486" s="59">
        <v>0.0</v>
      </c>
      <c r="Q486" s="59" t="s">
        <v>61</v>
      </c>
      <c r="R486" s="59" t="s">
        <v>61</v>
      </c>
      <c r="S486" s="62"/>
      <c r="T486" s="59">
        <v>0.0</v>
      </c>
      <c r="U486" s="59">
        <v>0.0</v>
      </c>
      <c r="V486" s="59">
        <v>0.0</v>
      </c>
      <c r="W486" s="62"/>
      <c r="X486" s="62"/>
      <c r="Y486" s="62"/>
      <c r="Z486" s="63"/>
      <c r="AA486" s="63"/>
      <c r="AB486" s="63"/>
      <c r="AC486" s="63"/>
      <c r="AD486" s="63"/>
      <c r="AE486" s="63"/>
      <c r="AF486" s="63"/>
    </row>
    <row r="487">
      <c r="A487" s="72">
        <v>1.0</v>
      </c>
      <c r="B487" s="73" t="s">
        <v>1049</v>
      </c>
      <c r="C487" s="59">
        <v>483.0</v>
      </c>
      <c r="D487" s="59">
        <v>10.0</v>
      </c>
      <c r="E487" s="59" t="s">
        <v>936</v>
      </c>
      <c r="F487" s="61" t="str">
        <f>HYPERLINK("https://tekno.tempo.co/read/1274030/ada-16-ribu-laporan-posting-pembalasan-porno-facebook-setiap-hari ","sumber")</f>
        <v>sumber</v>
      </c>
      <c r="G487" s="59" t="s">
        <v>33</v>
      </c>
      <c r="H487" s="76">
        <v>334.0</v>
      </c>
      <c r="I487" s="59">
        <v>1.0</v>
      </c>
      <c r="J487" s="59">
        <v>1.0</v>
      </c>
      <c r="K487" s="59" t="s">
        <v>1050</v>
      </c>
      <c r="L487" s="59">
        <v>0.0</v>
      </c>
      <c r="M487" s="33">
        <v>0.0</v>
      </c>
      <c r="N487" s="65">
        <v>0.0</v>
      </c>
      <c r="O487" s="59">
        <v>0.0</v>
      </c>
      <c r="P487" s="59">
        <v>0.0</v>
      </c>
      <c r="Q487" s="59">
        <v>2.0</v>
      </c>
      <c r="R487" s="59">
        <v>0.0</v>
      </c>
      <c r="S487" s="62"/>
      <c r="T487" s="59">
        <v>0.0</v>
      </c>
      <c r="U487" s="59">
        <v>0.0</v>
      </c>
      <c r="V487" s="59">
        <v>0.0</v>
      </c>
      <c r="W487" s="62"/>
      <c r="X487" s="62"/>
      <c r="Y487" s="62"/>
      <c r="Z487" s="63"/>
      <c r="AA487" s="63"/>
      <c r="AB487" s="63"/>
      <c r="AC487" s="63"/>
      <c r="AD487" s="63"/>
      <c r="AE487" s="63"/>
      <c r="AF487" s="63"/>
    </row>
    <row r="488">
      <c r="A488" s="72">
        <v>1.0</v>
      </c>
      <c r="B488" s="73" t="s">
        <v>1051</v>
      </c>
      <c r="C488" s="59">
        <v>484.0</v>
      </c>
      <c r="D488" s="59">
        <v>1.0</v>
      </c>
      <c r="E488" s="59" t="s">
        <v>882</v>
      </c>
      <c r="F488" s="61" t="str">
        <f>HYPERLINK("https://news.detik.com/internasional/d-4791827/panglima-milisi-kongo-dibui-seumur-hidup-atas-pemerkosaan-ratusan-wanita ","sumber")</f>
        <v>sumber</v>
      </c>
      <c r="G488" s="59" t="s">
        <v>33</v>
      </c>
      <c r="H488" s="76">
        <v>142.0</v>
      </c>
      <c r="I488" s="59">
        <v>1.0</v>
      </c>
      <c r="J488" s="59">
        <v>1.0</v>
      </c>
      <c r="K488" s="59" t="s">
        <v>1052</v>
      </c>
      <c r="L488" s="59">
        <v>0.0</v>
      </c>
      <c r="M488" s="33">
        <v>0.0</v>
      </c>
      <c r="N488" s="65">
        <v>0.0</v>
      </c>
      <c r="O488" s="59">
        <v>0.0</v>
      </c>
      <c r="P488" s="59">
        <v>0.0</v>
      </c>
      <c r="Q488" s="59" t="s">
        <v>214</v>
      </c>
      <c r="R488" s="59" t="s">
        <v>61</v>
      </c>
      <c r="S488" s="62"/>
      <c r="T488" s="59">
        <v>0.0</v>
      </c>
      <c r="U488" s="59">
        <v>0.0</v>
      </c>
      <c r="V488" s="59">
        <v>0.0</v>
      </c>
      <c r="W488" s="62"/>
      <c r="X488" s="62"/>
      <c r="Y488" s="62"/>
      <c r="Z488" s="63"/>
      <c r="AA488" s="63"/>
      <c r="AB488" s="63"/>
      <c r="AC488" s="63"/>
      <c r="AD488" s="63"/>
      <c r="AE488" s="63"/>
      <c r="AF488" s="63"/>
    </row>
    <row r="489">
      <c r="A489" s="67">
        <v>1.0</v>
      </c>
      <c r="B489" s="77" t="s">
        <v>1053</v>
      </c>
      <c r="C489" s="25">
        <v>485.0</v>
      </c>
      <c r="D489" s="25">
        <v>9.0</v>
      </c>
      <c r="E489" s="25" t="s">
        <v>882</v>
      </c>
      <c r="F489" s="27" t="str">
        <f>HYPERLINK("https://internasional.republika.co.id/berita/q191u3382/penyelidikan-kasus-pemerkosaan-julian-assange-dihentikan","sumber")</f>
        <v>sumber</v>
      </c>
      <c r="G489" s="25" t="s">
        <v>33</v>
      </c>
      <c r="H489" s="78">
        <v>43.0</v>
      </c>
      <c r="I489" s="25">
        <v>1.0</v>
      </c>
      <c r="J489" s="25">
        <v>1.0</v>
      </c>
      <c r="K489" s="25" t="s">
        <v>1054</v>
      </c>
      <c r="L489" s="25">
        <v>0.0</v>
      </c>
      <c r="M489" s="25">
        <v>0.0</v>
      </c>
      <c r="N489" s="38">
        <v>0.0</v>
      </c>
      <c r="O489" s="25">
        <v>0.0</v>
      </c>
      <c r="P489" s="25">
        <v>0.0</v>
      </c>
      <c r="Q489" s="25" t="s">
        <v>53</v>
      </c>
      <c r="R489" s="25" t="s">
        <v>53</v>
      </c>
      <c r="S489" s="29"/>
      <c r="T489" s="25">
        <v>0.0</v>
      </c>
      <c r="U489" s="25">
        <v>0.0</v>
      </c>
      <c r="V489" s="25">
        <v>0.0</v>
      </c>
      <c r="W489" s="29"/>
      <c r="X489" s="29"/>
      <c r="Y489" s="29"/>
      <c r="Z489" s="46"/>
      <c r="AA489" s="46"/>
      <c r="AB489" s="46"/>
      <c r="AC489" s="46"/>
      <c r="AD489" s="46"/>
      <c r="AE489" s="46"/>
      <c r="AF489" s="46"/>
    </row>
    <row r="490">
      <c r="A490" s="72">
        <v>1.0</v>
      </c>
      <c r="B490" s="73" t="s">
        <v>1055</v>
      </c>
      <c r="C490" s="59">
        <v>486.0</v>
      </c>
      <c r="D490" s="59">
        <v>5.0</v>
      </c>
      <c r="E490" s="59" t="s">
        <v>882</v>
      </c>
      <c r="F490" s="61" t="str">
        <f>HYPERLINK("https://tirto.id/teror-sperma-ruu-pks-pentingnya-sanksi-sosial-bagi-pelaku-el1d ","sumber")</f>
        <v>sumber</v>
      </c>
      <c r="G490" s="59" t="s">
        <v>33</v>
      </c>
      <c r="H490" s="76">
        <v>898.0</v>
      </c>
      <c r="I490" s="59">
        <v>4.0</v>
      </c>
      <c r="J490" s="59">
        <v>1.0</v>
      </c>
      <c r="K490" s="59" t="s">
        <v>1056</v>
      </c>
      <c r="L490" s="59">
        <v>0.0</v>
      </c>
      <c r="M490" s="59">
        <v>0.0</v>
      </c>
      <c r="N490" s="65">
        <v>0.0</v>
      </c>
      <c r="O490" s="59">
        <v>0.0</v>
      </c>
      <c r="P490" s="59">
        <v>0.0</v>
      </c>
      <c r="Q490" s="59" t="s">
        <v>1057</v>
      </c>
      <c r="R490" s="59" t="s">
        <v>1058</v>
      </c>
      <c r="S490" s="62"/>
      <c r="T490" s="59">
        <v>0.0</v>
      </c>
      <c r="U490" s="59">
        <v>0.0</v>
      </c>
      <c r="V490" s="59">
        <v>1.0</v>
      </c>
      <c r="W490" s="62"/>
      <c r="X490" s="62"/>
      <c r="Y490" s="62"/>
      <c r="Z490" s="63"/>
      <c r="AA490" s="63"/>
      <c r="AB490" s="63"/>
      <c r="AC490" s="63"/>
      <c r="AD490" s="63"/>
      <c r="AE490" s="63"/>
      <c r="AF490" s="63"/>
    </row>
    <row r="491">
      <c r="A491" s="67">
        <v>1.0</v>
      </c>
      <c r="B491" s="77" t="s">
        <v>1059</v>
      </c>
      <c r="C491" s="25">
        <v>487.0</v>
      </c>
      <c r="D491" s="25">
        <v>1.0</v>
      </c>
      <c r="E491" s="25" t="s">
        <v>884</v>
      </c>
      <c r="F491" s="27" t="str">
        <f>HYPERLINK("https://hot.detik.com/celeb/d-4794622/kania-bp-lebih-sakit-kehilangan-ayah-daripada-dibuat-bonyok-suami","sumber")</f>
        <v>sumber</v>
      </c>
      <c r="G491" s="25" t="s">
        <v>33</v>
      </c>
      <c r="H491" s="78">
        <v>288.0</v>
      </c>
      <c r="I491" s="25">
        <v>2.0</v>
      </c>
      <c r="J491" s="25">
        <v>1.0</v>
      </c>
      <c r="K491" s="25" t="s">
        <v>1060</v>
      </c>
      <c r="L491" s="25">
        <v>0.0</v>
      </c>
      <c r="M491" s="25">
        <v>0.0</v>
      </c>
      <c r="N491" s="38">
        <v>0.0</v>
      </c>
      <c r="O491" s="25">
        <v>0.0</v>
      </c>
      <c r="P491" s="25">
        <v>0.0</v>
      </c>
      <c r="Q491" s="25">
        <v>2.0</v>
      </c>
      <c r="R491" s="25">
        <v>0.0</v>
      </c>
      <c r="S491" s="29"/>
      <c r="T491" s="25">
        <v>0.0</v>
      </c>
      <c r="U491" s="25">
        <v>0.0</v>
      </c>
      <c r="V491" s="25">
        <v>0.0</v>
      </c>
      <c r="W491" s="29"/>
      <c r="X491" s="29"/>
      <c r="Y491" s="29"/>
      <c r="Z491" s="46"/>
      <c r="AA491" s="46"/>
      <c r="AB491" s="46"/>
      <c r="AC491" s="46"/>
      <c r="AD491" s="46"/>
      <c r="AE491" s="46"/>
      <c r="AF491" s="46"/>
    </row>
    <row r="492">
      <c r="A492" s="39">
        <v>2.0</v>
      </c>
      <c r="B492" s="70" t="s">
        <v>1061</v>
      </c>
      <c r="C492" s="40">
        <v>488.0</v>
      </c>
      <c r="D492" s="40">
        <v>10.0</v>
      </c>
      <c r="E492" s="40" t="s">
        <v>884</v>
      </c>
      <c r="F492" s="42" t="str">
        <f>HYPERLINK("https://metro.tempo.co/read/1275533/pemerintah-kota-bogor-razia-miras-di-2-lokasi-hasilnya ","sumber")</f>
        <v>sumber</v>
      </c>
      <c r="G492" s="40" t="s">
        <v>33</v>
      </c>
      <c r="H492" s="71">
        <v>328.0</v>
      </c>
      <c r="I492" s="41"/>
      <c r="J492" s="40">
        <v>1.0</v>
      </c>
      <c r="K492" s="41"/>
      <c r="L492" s="41"/>
      <c r="M492" s="41"/>
      <c r="N492" s="41"/>
      <c r="O492" s="41"/>
      <c r="P492" s="41"/>
      <c r="Q492" s="41"/>
      <c r="R492" s="41"/>
      <c r="S492" s="41"/>
      <c r="T492" s="41"/>
      <c r="U492" s="41"/>
      <c r="V492" s="41"/>
      <c r="W492" s="41"/>
      <c r="X492" s="41"/>
      <c r="Y492" s="41"/>
      <c r="Z492" s="47"/>
      <c r="AA492" s="43"/>
      <c r="AB492" s="48"/>
      <c r="AC492" s="48"/>
      <c r="AD492" s="48"/>
      <c r="AE492" s="48"/>
      <c r="AF492" s="48"/>
    </row>
    <row r="493">
      <c r="A493" s="67">
        <v>1.0</v>
      </c>
      <c r="B493" s="77" t="s">
        <v>1062</v>
      </c>
      <c r="C493" s="25">
        <v>489.0</v>
      </c>
      <c r="D493" s="25">
        <v>6.0</v>
      </c>
      <c r="E493" s="25" t="s">
        <v>958</v>
      </c>
      <c r="F493" s="27" t="str">
        <f>HYPERLINK("https://regional.kompas.com/read/2019/11/24/16023951/berulang-kali-perkosa-istri-sahabat-pria-ini-tewas-dibacok","sumber")</f>
        <v>sumber</v>
      </c>
      <c r="G493" s="25" t="s">
        <v>33</v>
      </c>
      <c r="H493" s="78">
        <v>160.0</v>
      </c>
      <c r="I493" s="25">
        <v>1.0</v>
      </c>
      <c r="J493" s="25">
        <v>1.0</v>
      </c>
      <c r="K493" s="25" t="s">
        <v>1063</v>
      </c>
      <c r="L493" s="25">
        <v>0.0</v>
      </c>
      <c r="M493" s="25">
        <v>0.0</v>
      </c>
      <c r="N493" s="38">
        <v>0.0</v>
      </c>
      <c r="O493" s="25">
        <v>1.0</v>
      </c>
      <c r="P493" s="25">
        <v>0.0</v>
      </c>
      <c r="Q493" s="25">
        <v>0.0</v>
      </c>
      <c r="R493" s="25">
        <v>0.0</v>
      </c>
      <c r="S493" s="29"/>
      <c r="T493" s="25">
        <v>0.0</v>
      </c>
      <c r="U493" s="25">
        <v>0.0</v>
      </c>
      <c r="V493" s="25">
        <v>0.0</v>
      </c>
      <c r="W493" s="29"/>
      <c r="X493" s="29"/>
      <c r="Y493" s="29"/>
      <c r="Z493" s="46"/>
      <c r="AA493" s="46"/>
      <c r="AB493" s="46"/>
      <c r="AC493" s="46"/>
      <c r="AD493" s="46"/>
      <c r="AE493" s="46"/>
      <c r="AF493" s="46"/>
    </row>
    <row r="494">
      <c r="A494" s="72">
        <v>1.0</v>
      </c>
      <c r="B494" s="73" t="s">
        <v>1064</v>
      </c>
      <c r="C494" s="59">
        <v>490.0</v>
      </c>
      <c r="D494" s="59">
        <v>4.0</v>
      </c>
      <c r="E494" s="59" t="s">
        <v>960</v>
      </c>
      <c r="F494" s="61" t="str">
        <f>HYPERLINK("https://www.liputan6.com/news/read/4118138/membongkar-seks-bebas-berkedok-ritual-pesugihan-di-gunung-kemukus-5-tahun-lalu ","sumber")</f>
        <v>sumber</v>
      </c>
      <c r="G494" s="59" t="s">
        <v>33</v>
      </c>
      <c r="H494" s="76">
        <v>1144.0</v>
      </c>
      <c r="I494" s="59">
        <v>1.0</v>
      </c>
      <c r="J494" s="59">
        <v>1.0</v>
      </c>
      <c r="K494" s="59" t="s">
        <v>1065</v>
      </c>
      <c r="L494" s="59">
        <v>0.0</v>
      </c>
      <c r="M494" s="33">
        <v>0.0</v>
      </c>
      <c r="N494" s="65">
        <v>0.0</v>
      </c>
      <c r="O494" s="59">
        <v>0.0</v>
      </c>
      <c r="P494" s="59">
        <v>0.0</v>
      </c>
      <c r="Q494" s="59" t="s">
        <v>277</v>
      </c>
      <c r="R494" s="59" t="s">
        <v>1057</v>
      </c>
      <c r="S494" s="62"/>
      <c r="T494" s="59">
        <v>0.0</v>
      </c>
      <c r="U494" s="59">
        <v>0.0</v>
      </c>
      <c r="V494" s="59">
        <v>0.0</v>
      </c>
      <c r="W494" s="62"/>
      <c r="X494" s="62"/>
      <c r="Y494" s="62"/>
      <c r="Z494" s="63"/>
      <c r="AA494" s="63"/>
      <c r="AB494" s="63"/>
      <c r="AC494" s="63"/>
      <c r="AD494" s="63"/>
      <c r="AE494" s="63"/>
      <c r="AF494" s="63"/>
    </row>
    <row r="495">
      <c r="A495" s="32">
        <v>1.0</v>
      </c>
      <c r="B495" s="73" t="s">
        <v>1066</v>
      </c>
      <c r="C495" s="59">
        <v>491.0</v>
      </c>
      <c r="D495" s="59">
        <v>3.0</v>
      </c>
      <c r="E495" s="59" t="s">
        <v>1010</v>
      </c>
      <c r="F495" s="61" t="str">
        <f>HYPERLINK("https://index.okezone.com/read/2019/12/15/612/2142071/6-risiko-profesi-pramugari-nomor-1-rentan-jadi-korban-pelecehan ","sumber")</f>
        <v>sumber</v>
      </c>
      <c r="G495" s="59" t="s">
        <v>33</v>
      </c>
      <c r="H495" s="76">
        <v>378.0</v>
      </c>
      <c r="I495" s="59">
        <v>1.0</v>
      </c>
      <c r="J495" s="59">
        <v>1.0</v>
      </c>
      <c r="K495" s="59"/>
      <c r="L495" s="59">
        <v>0.0</v>
      </c>
      <c r="M495" s="33">
        <v>0.0</v>
      </c>
      <c r="N495" s="65">
        <v>0.0</v>
      </c>
      <c r="O495" s="59">
        <v>0.0</v>
      </c>
      <c r="P495" s="59">
        <v>-1.0</v>
      </c>
      <c r="Q495" s="59"/>
      <c r="R495" s="59"/>
      <c r="S495" s="62"/>
      <c r="T495" s="59">
        <v>0.0</v>
      </c>
      <c r="U495" s="59">
        <v>0.0</v>
      </c>
      <c r="V495" s="59">
        <v>0.0</v>
      </c>
      <c r="W495" s="62"/>
      <c r="X495" s="62"/>
      <c r="Y495" s="62"/>
      <c r="Z495" s="63"/>
      <c r="AA495" s="63"/>
      <c r="AB495" s="63"/>
      <c r="AC495" s="63"/>
      <c r="AD495" s="63"/>
      <c r="AE495" s="63"/>
      <c r="AF495" s="63"/>
    </row>
    <row r="496">
      <c r="A496" s="72">
        <v>1.0</v>
      </c>
      <c r="B496" s="73" t="s">
        <v>1067</v>
      </c>
      <c r="C496" s="59">
        <v>492.0</v>
      </c>
      <c r="D496" s="59">
        <v>1.0</v>
      </c>
      <c r="E496" s="59" t="s">
        <v>893</v>
      </c>
      <c r="F496" s="61" t="str">
        <f>HYPERLINK("https://hot.detik.com/celeb/d-4826910/charlize-theron-mengaku-alami-pelecehan-seksual-oleh-sutradara-ternama ","sumber")</f>
        <v>sumber</v>
      </c>
      <c r="G496" s="59" t="s">
        <v>33</v>
      </c>
      <c r="H496" s="76">
        <v>721.0</v>
      </c>
      <c r="I496" s="59">
        <v>1.0</v>
      </c>
      <c r="J496" s="59">
        <v>1.0</v>
      </c>
      <c r="K496" s="59" t="s">
        <v>1068</v>
      </c>
      <c r="L496" s="59">
        <v>0.0</v>
      </c>
      <c r="M496" s="59">
        <v>1.0</v>
      </c>
      <c r="N496" s="65">
        <v>0.0</v>
      </c>
      <c r="O496" s="59">
        <v>0.0</v>
      </c>
      <c r="P496" s="59">
        <v>0.0</v>
      </c>
      <c r="Q496" s="59">
        <v>2.0</v>
      </c>
      <c r="R496" s="59">
        <v>1.0</v>
      </c>
      <c r="S496" s="62"/>
      <c r="T496" s="59">
        <v>0.0</v>
      </c>
      <c r="U496" s="59">
        <v>0.0</v>
      </c>
      <c r="V496" s="59">
        <v>0.0</v>
      </c>
      <c r="W496" s="62"/>
      <c r="X496" s="62"/>
      <c r="Y496" s="62"/>
      <c r="Z496" s="63"/>
      <c r="AA496" s="63"/>
      <c r="AB496" s="63"/>
      <c r="AC496" s="63"/>
      <c r="AD496" s="63"/>
      <c r="AE496" s="63"/>
      <c r="AF496" s="63"/>
    </row>
    <row r="497">
      <c r="A497" s="39">
        <v>2.0</v>
      </c>
      <c r="B497" s="70" t="s">
        <v>1069</v>
      </c>
      <c r="C497" s="40">
        <v>493.0</v>
      </c>
      <c r="D497" s="40">
        <v>5.0</v>
      </c>
      <c r="E497" s="40" t="s">
        <v>893</v>
      </c>
      <c r="F497" s="42" t="str">
        <f>HYPERLINK("https://tirto.id/film-taken-dibintangi-liam-neeson-tayang-pukul-2130-di-trans-tv-enGE ","sumber")</f>
        <v>sumber</v>
      </c>
      <c r="G497" s="40" t="s">
        <v>33</v>
      </c>
      <c r="H497" s="71">
        <v>428.0</v>
      </c>
      <c r="I497" s="41"/>
      <c r="J497" s="40">
        <v>1.0</v>
      </c>
      <c r="K497" s="41"/>
      <c r="L497" s="41"/>
      <c r="M497" s="41"/>
      <c r="N497" s="41"/>
      <c r="O497" s="41"/>
      <c r="P497" s="41"/>
      <c r="Q497" s="41"/>
      <c r="R497" s="41"/>
      <c r="S497" s="41"/>
      <c r="T497" s="41"/>
      <c r="U497" s="41"/>
      <c r="V497" s="41"/>
      <c r="W497" s="41"/>
      <c r="X497" s="41"/>
      <c r="Y497" s="41"/>
      <c r="Z497" s="47"/>
      <c r="AA497" s="43"/>
      <c r="AB497" s="48"/>
      <c r="AC497" s="48"/>
      <c r="AD497" s="48"/>
      <c r="AE497" s="48"/>
      <c r="AF497" s="48"/>
    </row>
    <row r="498">
      <c r="A498" s="67">
        <v>1.0</v>
      </c>
      <c r="B498" s="77" t="s">
        <v>1070</v>
      </c>
      <c r="C498" s="25">
        <v>494.0</v>
      </c>
      <c r="D498" s="25">
        <v>10.0</v>
      </c>
      <c r="E498" s="84">
        <v>43811.0</v>
      </c>
      <c r="F498" s="27" t="str">
        <f>HYPERLINK("https://metro.tempo.co/read/1282859/dugaan-pemerkosaan-rizky-amelia-komnas-perempuan-curigai-2-hal","sumber")</f>
        <v>sumber</v>
      </c>
      <c r="G498" s="25" t="s">
        <v>33</v>
      </c>
      <c r="H498" s="78">
        <v>294.0</v>
      </c>
      <c r="I498" s="25">
        <v>1.0</v>
      </c>
      <c r="J498" s="25">
        <v>1.0</v>
      </c>
      <c r="K498" s="25" t="s">
        <v>1071</v>
      </c>
      <c r="L498" s="25">
        <v>0.0</v>
      </c>
      <c r="M498" s="25">
        <v>0.0</v>
      </c>
      <c r="N498" s="38">
        <v>0.0</v>
      </c>
      <c r="O498" s="25">
        <v>0.0</v>
      </c>
      <c r="P498" s="25">
        <v>0.0</v>
      </c>
      <c r="Q498" s="25">
        <v>0.0</v>
      </c>
      <c r="R498" s="25">
        <v>0.0</v>
      </c>
      <c r="S498" s="29"/>
      <c r="T498" s="25">
        <v>0.0</v>
      </c>
      <c r="U498" s="25">
        <v>0.0</v>
      </c>
      <c r="V498" s="25">
        <v>0.0</v>
      </c>
      <c r="W498" s="29"/>
      <c r="X498" s="29"/>
      <c r="Y498" s="29"/>
      <c r="Z498" s="46"/>
      <c r="AA498" s="46"/>
      <c r="AB498" s="46"/>
      <c r="AC498" s="46"/>
      <c r="AD498" s="46"/>
      <c r="AE498" s="46"/>
      <c r="AF498" s="46"/>
    </row>
    <row r="499">
      <c r="A499" s="39">
        <v>2.0</v>
      </c>
      <c r="B499" s="70" t="s">
        <v>1072</v>
      </c>
      <c r="C499" s="40">
        <v>495.0</v>
      </c>
      <c r="D499" s="40">
        <v>1.0</v>
      </c>
      <c r="E499" s="40" t="s">
        <v>896</v>
      </c>
      <c r="F499" s="42" t="str">
        <f>HYPERLINK("https://hot.detik.com/celeb/d-4829585/ichsan-munthe-sosok-yang-disebut-suami-vanessa-angel ","sumber")</f>
        <v>sumber</v>
      </c>
      <c r="G499" s="40" t="s">
        <v>33</v>
      </c>
      <c r="H499" s="71">
        <v>1559.0</v>
      </c>
      <c r="I499" s="41"/>
      <c r="J499" s="40">
        <v>1.0</v>
      </c>
      <c r="K499" s="41"/>
      <c r="L499" s="41"/>
      <c r="M499" s="41"/>
      <c r="N499" s="41"/>
      <c r="O499" s="41"/>
      <c r="P499" s="41"/>
      <c r="Q499" s="41"/>
      <c r="R499" s="41"/>
      <c r="S499" s="41"/>
      <c r="T499" s="41"/>
      <c r="U499" s="41"/>
      <c r="V499" s="41"/>
      <c r="W499" s="41"/>
      <c r="X499" s="41"/>
      <c r="Y499" s="41"/>
      <c r="Z499" s="47"/>
      <c r="AA499" s="43"/>
      <c r="AB499" s="48"/>
      <c r="AC499" s="48"/>
      <c r="AD499" s="48"/>
      <c r="AE499" s="48"/>
      <c r="AF499" s="48"/>
    </row>
    <row r="500">
      <c r="A500" s="67">
        <v>1.0</v>
      </c>
      <c r="B500" s="77" t="s">
        <v>1073</v>
      </c>
      <c r="C500" s="25">
        <v>496.0</v>
      </c>
      <c r="D500" s="25">
        <v>3.0</v>
      </c>
      <c r="E500" s="25" t="s">
        <v>968</v>
      </c>
      <c r="F500" s="27" t="str">
        <f>HYPERLINK("https://economy.okezone.com/read/2019/12/23/320/2145044/sri-mulyani-ibu-teman-dekat-saat-anaknya-mengalami-masa-sulit","sumber")</f>
        <v>sumber</v>
      </c>
      <c r="G500" s="25" t="s">
        <v>33</v>
      </c>
      <c r="H500" s="78">
        <v>311.0</v>
      </c>
      <c r="I500" s="25">
        <v>3.0</v>
      </c>
      <c r="J500" s="25">
        <v>1.0</v>
      </c>
      <c r="K500" s="25" t="s">
        <v>1074</v>
      </c>
      <c r="L500" s="25">
        <v>0.0</v>
      </c>
      <c r="M500" s="25">
        <v>0.0</v>
      </c>
      <c r="N500" s="38">
        <v>0.0</v>
      </c>
      <c r="O500" s="25">
        <v>0.0</v>
      </c>
      <c r="P500" s="25">
        <v>0.0</v>
      </c>
      <c r="Q500" s="25" t="s">
        <v>61</v>
      </c>
      <c r="R500" s="25" t="s">
        <v>192</v>
      </c>
      <c r="S500" s="29"/>
      <c r="T500" s="25">
        <v>0.0</v>
      </c>
      <c r="U500" s="25">
        <v>0.0</v>
      </c>
      <c r="V500" s="25">
        <v>0.0</v>
      </c>
      <c r="W500" s="29"/>
      <c r="X500" s="29"/>
      <c r="Y500" s="29"/>
      <c r="Z500" s="46"/>
      <c r="AA500" s="46"/>
      <c r="AB500" s="46"/>
      <c r="AC500" s="46"/>
      <c r="AD500" s="46"/>
      <c r="AE500" s="46"/>
      <c r="AF500" s="46"/>
    </row>
    <row r="501">
      <c r="A501" s="72">
        <v>1.0</v>
      </c>
      <c r="B501" s="73" t="s">
        <v>1075</v>
      </c>
      <c r="C501" s="59">
        <v>497.0</v>
      </c>
      <c r="D501" s="59">
        <v>9.0</v>
      </c>
      <c r="E501" s="59" t="s">
        <v>1076</v>
      </c>
      <c r="F501" s="61" t="str">
        <f>HYPERLINK("https://republika.co.id/berita/q32fkx383/kasus-kekerasan-seksual-di-wilayah-cirebon-masih-tinggi ","sumber")</f>
        <v>sumber</v>
      </c>
      <c r="G501" s="59" t="s">
        <v>33</v>
      </c>
      <c r="H501" s="76">
        <v>519.0</v>
      </c>
      <c r="I501" s="59">
        <v>4.0</v>
      </c>
      <c r="J501" s="59">
        <v>1.0</v>
      </c>
      <c r="K501" s="59" t="s">
        <v>1077</v>
      </c>
      <c r="L501" s="59">
        <v>0.0</v>
      </c>
      <c r="M501" s="59">
        <v>0.0</v>
      </c>
      <c r="N501" s="65">
        <v>0.0</v>
      </c>
      <c r="O501" s="59">
        <v>0.0</v>
      </c>
      <c r="P501" s="59">
        <v>0.0</v>
      </c>
      <c r="Q501" s="59" t="s">
        <v>53</v>
      </c>
      <c r="R501" s="59" t="s">
        <v>1078</v>
      </c>
      <c r="S501" s="62"/>
      <c r="T501" s="59">
        <v>0.0</v>
      </c>
      <c r="U501" s="59">
        <v>0.0</v>
      </c>
      <c r="V501" s="59">
        <v>1.0</v>
      </c>
      <c r="W501" s="62"/>
      <c r="X501" s="62"/>
      <c r="Y501" s="62"/>
      <c r="Z501" s="63"/>
      <c r="AA501" s="63"/>
      <c r="AB501" s="63"/>
      <c r="AC501" s="63"/>
      <c r="AD501" s="63"/>
      <c r="AE501" s="63"/>
      <c r="AF501" s="63"/>
    </row>
    <row r="502">
      <c r="A502" s="72">
        <v>1.0</v>
      </c>
      <c r="B502" s="73" t="s">
        <v>1079</v>
      </c>
      <c r="C502" s="59">
        <v>498.0</v>
      </c>
      <c r="D502" s="59">
        <v>9.0</v>
      </c>
      <c r="E502" s="59" t="s">
        <v>1080</v>
      </c>
      <c r="F502" s="61" t="str">
        <f>HYPERLINK("https://nasional.republika.co.id/berita/q37tou349/polri-pelaporan-kasus-pemerkosaan-meningkat-di-2019 ","sumber")</f>
        <v>sumber</v>
      </c>
      <c r="G502" s="59" t="s">
        <v>33</v>
      </c>
      <c r="H502" s="76">
        <v>205.0</v>
      </c>
      <c r="I502" s="59">
        <v>1.0</v>
      </c>
      <c r="J502" s="59">
        <v>1.0</v>
      </c>
      <c r="K502" s="59" t="s">
        <v>1081</v>
      </c>
      <c r="L502" s="33">
        <v>0.0</v>
      </c>
      <c r="M502" s="33">
        <v>0.0</v>
      </c>
      <c r="N502" s="37">
        <v>0.0</v>
      </c>
      <c r="O502" s="59">
        <v>0.0</v>
      </c>
      <c r="P502" s="59">
        <v>0.0</v>
      </c>
      <c r="Q502" s="59">
        <v>0.0</v>
      </c>
      <c r="R502" s="59">
        <v>0.0</v>
      </c>
      <c r="S502" s="62"/>
      <c r="T502" s="59">
        <v>0.0</v>
      </c>
      <c r="U502" s="59">
        <v>0.0</v>
      </c>
      <c r="V502" s="59">
        <v>1.0</v>
      </c>
      <c r="W502" s="62"/>
      <c r="X502" s="62"/>
      <c r="Y502" s="62"/>
      <c r="Z502" s="63"/>
      <c r="AA502" s="63"/>
      <c r="AB502" s="63"/>
      <c r="AC502" s="63"/>
      <c r="AD502" s="63"/>
      <c r="AE502" s="63"/>
      <c r="AF502" s="63"/>
    </row>
    <row r="503">
      <c r="A503" s="67">
        <v>1.0</v>
      </c>
      <c r="B503" s="77" t="s">
        <v>1082</v>
      </c>
      <c r="C503" s="25">
        <v>499.0</v>
      </c>
      <c r="D503" s="25">
        <v>8.0</v>
      </c>
      <c r="E503" s="26">
        <v>43658.0</v>
      </c>
      <c r="F503" s="27" t="str">
        <f>HYPERLINK("https://jatim.suara.com/read/2019/12/07/191008/murid-disumpah-alquran-untuk-dicabuli-guru-bk-huda-pakai-ijazah-palsu","sumber")</f>
        <v>sumber</v>
      </c>
      <c r="G503" s="25" t="s">
        <v>33</v>
      </c>
      <c r="H503" s="78">
        <v>536.0</v>
      </c>
      <c r="I503" s="25">
        <v>1.0</v>
      </c>
      <c r="J503" s="25">
        <v>1.0</v>
      </c>
      <c r="K503" s="25" t="s">
        <v>1083</v>
      </c>
      <c r="L503" s="25">
        <v>0.0</v>
      </c>
      <c r="M503" s="25">
        <v>0.0</v>
      </c>
      <c r="N503" s="38">
        <v>0.0</v>
      </c>
      <c r="O503" s="25">
        <v>0.0</v>
      </c>
      <c r="P503" s="25">
        <v>0.0</v>
      </c>
      <c r="Q503" s="25">
        <v>0.0</v>
      </c>
      <c r="R503" s="25">
        <v>0.0</v>
      </c>
      <c r="S503" s="29"/>
      <c r="T503" s="25">
        <v>0.0</v>
      </c>
      <c r="U503" s="25">
        <v>0.0</v>
      </c>
      <c r="V503" s="25">
        <v>0.0</v>
      </c>
      <c r="W503" s="29"/>
      <c r="X503" s="29"/>
      <c r="Y503" s="29"/>
      <c r="Z503" s="46"/>
      <c r="AA503" s="46"/>
      <c r="AB503" s="46"/>
      <c r="AC503" s="46"/>
      <c r="AD503" s="46"/>
      <c r="AE503" s="46"/>
      <c r="AF503" s="46"/>
    </row>
    <row r="504">
      <c r="A504" s="72">
        <v>1.0</v>
      </c>
      <c r="B504" s="73" t="s">
        <v>1084</v>
      </c>
      <c r="C504" s="59">
        <v>500.0</v>
      </c>
      <c r="D504" s="59">
        <v>10.0</v>
      </c>
      <c r="E504" s="59" t="s">
        <v>1080</v>
      </c>
      <c r="F504" s="61" t="str">
        <f>HYPERLINK("https://metro.tempo.co/read/1288765/mahasiswi-pelaku-kawin-kontrak-blak-blakan-soal-nafkah-dan-bonus ","sumber")</f>
        <v>sumber</v>
      </c>
      <c r="G504" s="59" t="s">
        <v>33</v>
      </c>
      <c r="H504" s="76">
        <v>409.0</v>
      </c>
      <c r="I504" s="59">
        <v>1.0</v>
      </c>
      <c r="J504" s="59">
        <v>1.0</v>
      </c>
      <c r="K504" s="59" t="s">
        <v>1085</v>
      </c>
      <c r="L504" s="59">
        <v>0.0</v>
      </c>
      <c r="M504" s="33">
        <v>0.0</v>
      </c>
      <c r="N504" s="65">
        <v>0.0</v>
      </c>
      <c r="O504" s="59">
        <v>0.0</v>
      </c>
      <c r="P504" s="59">
        <v>0.0</v>
      </c>
      <c r="Q504" s="59">
        <v>2.0</v>
      </c>
      <c r="R504" s="59">
        <v>0.0</v>
      </c>
      <c r="S504" s="59" t="s">
        <v>1086</v>
      </c>
      <c r="T504" s="59">
        <v>1.0</v>
      </c>
      <c r="U504" s="59">
        <v>0.0</v>
      </c>
      <c r="V504" s="59">
        <v>0.0</v>
      </c>
      <c r="W504" s="62"/>
      <c r="X504" s="62"/>
      <c r="Y504" s="62"/>
      <c r="Z504" s="63"/>
      <c r="AA504" s="63"/>
      <c r="AB504" s="63"/>
      <c r="AC504" s="63"/>
      <c r="AD504" s="63"/>
      <c r="AE504" s="63"/>
      <c r="AF504" s="63"/>
    </row>
    <row r="505">
      <c r="A505" s="72">
        <v>1.0</v>
      </c>
      <c r="B505" s="73" t="s">
        <v>1087</v>
      </c>
      <c r="C505" s="59">
        <v>501.0</v>
      </c>
      <c r="D505" s="59">
        <v>9.0</v>
      </c>
      <c r="E505" s="59" t="s">
        <v>1088</v>
      </c>
      <c r="F505" s="61" t="str">
        <f>HYPERLINK("https://republika.co.id/berita/q3d8xf428/kpai-dorong-semua-pihak-cegah-kekerasan-di-sekolah ","sumber")</f>
        <v>sumber</v>
      </c>
      <c r="G505" s="59" t="s">
        <v>33</v>
      </c>
      <c r="H505" s="76">
        <v>36.0</v>
      </c>
      <c r="I505" s="59">
        <v>4.0</v>
      </c>
      <c r="J505" s="59">
        <v>1.0</v>
      </c>
      <c r="K505" s="59" t="s">
        <v>1089</v>
      </c>
      <c r="L505" s="59">
        <v>0.0</v>
      </c>
      <c r="M505" s="59">
        <v>0.0</v>
      </c>
      <c r="N505" s="65">
        <v>0.0</v>
      </c>
      <c r="O505" s="59">
        <v>0.0</v>
      </c>
      <c r="P505" s="59">
        <v>0.0</v>
      </c>
      <c r="Q505" s="59">
        <v>0.0</v>
      </c>
      <c r="R505" s="59">
        <v>1.0</v>
      </c>
      <c r="S505" s="62"/>
      <c r="T505" s="59">
        <v>0.0</v>
      </c>
      <c r="U505" s="59">
        <v>0.0</v>
      </c>
      <c r="V505" s="59">
        <v>1.0</v>
      </c>
      <c r="W505" s="62"/>
      <c r="X505" s="62"/>
      <c r="Y505" s="62"/>
      <c r="Z505" s="63"/>
      <c r="AA505" s="63"/>
      <c r="AB505" s="63"/>
      <c r="AC505" s="63"/>
      <c r="AD505" s="63"/>
      <c r="AE505" s="63"/>
      <c r="AF505" s="63"/>
    </row>
  </sheetData>
  <customSheetViews>
    <customSheetView guid="{66348944-9FC2-49D4-937A-1A6FEBFF4639}" filter="1" showAutoFilter="1">
      <autoFilter ref="$A$6:$A$505"/>
    </customSheetView>
    <customSheetView guid="{20CAB334-E8B9-4848-AC8F-2E0A8DBFE604}" filter="1" showAutoFilter="1">
      <autoFilter ref="$K$5:$K$505"/>
    </customSheetView>
    <customSheetView guid="{62CFFA2F-2CDE-4159-80E8-0067D9460027}" filter="1" showAutoFilter="1">
      <autoFilter ref="$N$5:$N$505">
        <filterColumn colId="0">
          <filters>
            <filter val="0"/>
          </filters>
        </filterColumn>
      </autoFilter>
    </customSheetView>
    <customSheetView guid="{0B48C2DC-E7D4-4DCC-ACB5-09BD4089ED05}" filter="1" showAutoFilter="1">
      <autoFilter ref="$I$6:$I$505">
        <filterColumn colId="0">
          <filters blank="1">
            <filter val="2"/>
            <filter val="3"/>
            <filter val="4"/>
            <filter val="5"/>
          </filters>
        </filterColumn>
      </autoFilter>
    </customSheetView>
    <customSheetView guid="{B69A7256-2244-4A5A-98B8-5882F2FF8700}" filter="1" showAutoFilter="1">
      <autoFilter ref="$M$5:$M$505"/>
    </customSheetView>
    <customSheetView guid="{C0FD2F62-3ADA-4E44-ABC2-10E955012945}" filter="1" showAutoFilter="1">
      <autoFilter ref="$L$5:$L$505"/>
    </customSheetView>
    <customSheetView guid="{17EFBF60-FA66-46DD-8C66-7DD74D543108}" filter="1" showAutoFilter="1">
      <autoFilter ref="$O$5:$O$505">
        <filterColumn colId="0">
          <filters/>
        </filterColumn>
      </autoFilter>
    </customSheetView>
    <customSheetView guid="{E0B68C8C-9E59-4D09-A796-DABAD0F2C26F}" filter="1" showAutoFilter="1">
      <autoFilter ref="$O$5:$O$505"/>
    </customSheetView>
    <customSheetView guid="{7A661D72-FC41-4646-AEAF-00CD193B6D95}" filter="1" showAutoFilter="1">
      <autoFilter ref="$P$6:$P$505">
        <filterColumn colId="0">
          <filters/>
        </filterColumn>
      </autoFilter>
    </customSheetView>
    <customSheetView guid="{D0A54268-7389-43AB-A5BA-78B6DAB825D3}" filter="1" showAutoFilter="1">
      <autoFilter ref="$Q$5:$Q$505"/>
    </customSheetView>
    <customSheetView guid="{E3B16FF4-157A-41A8-880D-5DDB83361892}" filter="1" showAutoFilter="1">
      <autoFilter ref="$Z$1:$Z$505"/>
    </customSheetView>
    <customSheetView guid="{73395ED9-AE98-48BE-901B-FBF6E91AA159}" filter="1" showAutoFilter="1">
      <autoFilter ref="$U$5:$U$505"/>
    </customSheetView>
    <customSheetView guid="{95107451-AD48-4E36-95D5-D44A7511BFD9}" filter="1" showAutoFilter="1">
      <autoFilter ref="$S$5:$S$505"/>
    </customSheetView>
  </customSheetViews>
  <mergeCells count="31">
    <mergeCell ref="N2:P2"/>
    <mergeCell ref="Q2:Q4"/>
    <mergeCell ref="N3:N4"/>
    <mergeCell ref="O3:O4"/>
    <mergeCell ref="P3:P4"/>
    <mergeCell ref="W2:W4"/>
    <mergeCell ref="X2:X4"/>
    <mergeCell ref="R2:R4"/>
    <mergeCell ref="S3:S4"/>
    <mergeCell ref="A1:A4"/>
    <mergeCell ref="B1:B4"/>
    <mergeCell ref="C1:K1"/>
    <mergeCell ref="L1:P1"/>
    <mergeCell ref="W1:Y1"/>
    <mergeCell ref="C2:C4"/>
    <mergeCell ref="Y2:Y4"/>
    <mergeCell ref="T3:T4"/>
    <mergeCell ref="D2:D4"/>
    <mergeCell ref="E2:E4"/>
    <mergeCell ref="F2:F4"/>
    <mergeCell ref="G2:G4"/>
    <mergeCell ref="H2:H4"/>
    <mergeCell ref="I2:I4"/>
    <mergeCell ref="J2:J4"/>
    <mergeCell ref="K2:K4"/>
    <mergeCell ref="L2:L4"/>
    <mergeCell ref="M2:M4"/>
    <mergeCell ref="Q1:U1"/>
    <mergeCell ref="S2:T2"/>
    <mergeCell ref="U2:U4"/>
    <mergeCell ref="V2:V4"/>
  </mergeCells>
  <printOptions gridLines="1" horizontalCentered="1"/>
  <pageMargins bottom="0.75" footer="0.0" header="0.0" left="0.7" right="0.7" top="0.75"/>
  <pageSetup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2" width="10.57"/>
    <col customWidth="1" min="3" max="3" width="5.0"/>
    <col customWidth="1" min="4" max="4" width="6.43"/>
    <col customWidth="1" min="5" max="5" width="14.29"/>
    <col customWidth="1" min="6" max="6" width="7.57"/>
    <col customWidth="1" min="7" max="7" width="8.29"/>
    <col customWidth="1" min="8" max="9" width="8.43"/>
    <col customWidth="1" min="10" max="10" width="11.43"/>
    <col customWidth="1" min="11" max="11" width="26.0"/>
    <col customWidth="1" min="12" max="12" width="8.0"/>
    <col customWidth="1" min="13" max="13" width="10.71"/>
    <col customWidth="1" min="14" max="14" width="11.43"/>
    <col customWidth="1" min="15" max="15" width="12.0"/>
    <col customWidth="1" min="16" max="16" width="9.86"/>
    <col customWidth="1" min="17" max="18" width="13.29"/>
    <col customWidth="1" min="19" max="19" width="28.29"/>
    <col customWidth="1" min="20" max="20" width="7.71"/>
    <col customWidth="1" min="21" max="21" width="8.29"/>
    <col customWidth="1" min="22" max="22" width="9.14"/>
    <col customWidth="1" min="23" max="24" width="8.14"/>
    <col customWidth="1" min="25" max="25" width="9.86"/>
  </cols>
  <sheetData>
    <row r="1" ht="30.75" customHeight="1">
      <c r="A1" s="85"/>
      <c r="B1" s="86" t="s">
        <v>1</v>
      </c>
      <c r="C1" s="87" t="s">
        <v>2</v>
      </c>
      <c r="D1" s="87"/>
      <c r="E1" s="87"/>
      <c r="F1" s="87"/>
      <c r="G1" s="87"/>
      <c r="H1" s="87"/>
      <c r="I1" s="88"/>
      <c r="J1" s="87"/>
      <c r="K1" s="87"/>
      <c r="L1" s="89" t="s">
        <v>3</v>
      </c>
      <c r="M1" s="89"/>
      <c r="N1" s="89"/>
      <c r="O1" s="89"/>
      <c r="P1" s="89"/>
      <c r="Q1" s="90" t="s">
        <v>4</v>
      </c>
      <c r="R1" s="90"/>
      <c r="S1" s="90"/>
      <c r="T1" s="90"/>
      <c r="U1" s="90"/>
      <c r="V1" s="7" t="s">
        <v>5</v>
      </c>
      <c r="W1" s="8" t="s">
        <v>6</v>
      </c>
      <c r="X1" s="3"/>
      <c r="Y1" s="4"/>
    </row>
    <row r="2">
      <c r="A2" s="91"/>
      <c r="B2" s="92" t="s">
        <v>1</v>
      </c>
      <c r="C2" s="11" t="s">
        <v>7</v>
      </c>
      <c r="D2" s="11" t="s">
        <v>8</v>
      </c>
      <c r="E2" s="11" t="s">
        <v>9</v>
      </c>
      <c r="F2" s="11" t="s">
        <v>10</v>
      </c>
      <c r="G2" s="11" t="s">
        <v>11</v>
      </c>
      <c r="H2" s="11" t="s">
        <v>12</v>
      </c>
      <c r="I2" s="93" t="s">
        <v>13</v>
      </c>
      <c r="J2" s="11" t="s">
        <v>14</v>
      </c>
      <c r="K2" s="11" t="s">
        <v>15</v>
      </c>
      <c r="L2" s="12" t="s">
        <v>16</v>
      </c>
      <c r="M2" s="12" t="s">
        <v>17</v>
      </c>
      <c r="N2" s="5" t="s">
        <v>18</v>
      </c>
      <c r="O2" s="3"/>
      <c r="P2" s="4"/>
      <c r="Q2" s="14" t="s">
        <v>19</v>
      </c>
      <c r="R2" s="14" t="s">
        <v>20</v>
      </c>
      <c r="S2" s="14" t="s">
        <v>1090</v>
      </c>
      <c r="T2" s="14" t="s">
        <v>31</v>
      </c>
      <c r="U2" s="14" t="s">
        <v>22</v>
      </c>
      <c r="V2" s="16" t="s">
        <v>23</v>
      </c>
      <c r="W2" s="17" t="s">
        <v>24</v>
      </c>
      <c r="X2" s="17" t="s">
        <v>25</v>
      </c>
      <c r="Y2" s="17" t="s">
        <v>26</v>
      </c>
    </row>
    <row r="3">
      <c r="A3" s="91" t="s">
        <v>1091</v>
      </c>
      <c r="B3" s="22"/>
      <c r="C3" s="22"/>
      <c r="D3" s="22"/>
      <c r="E3" s="22"/>
      <c r="F3" s="22"/>
      <c r="G3" s="22"/>
      <c r="H3" s="22"/>
      <c r="I3" s="22"/>
      <c r="J3" s="22"/>
      <c r="K3" s="22"/>
      <c r="L3" s="22"/>
      <c r="M3" s="22"/>
      <c r="N3" s="89" t="s">
        <v>27</v>
      </c>
      <c r="O3" s="94" t="s">
        <v>28</v>
      </c>
      <c r="P3" s="89" t="s">
        <v>29</v>
      </c>
      <c r="Q3" s="22"/>
      <c r="R3" s="22"/>
      <c r="S3" s="22"/>
      <c r="T3" s="22"/>
      <c r="U3" s="22"/>
      <c r="V3" s="22"/>
      <c r="W3" s="22"/>
      <c r="X3" s="22"/>
      <c r="Y3" s="22"/>
    </row>
    <row r="4">
      <c r="A4" s="95">
        <v>1.0</v>
      </c>
      <c r="B4" s="96" t="s">
        <v>1092</v>
      </c>
      <c r="C4" s="33">
        <v>1.0</v>
      </c>
      <c r="D4" s="97">
        <v>2.0</v>
      </c>
      <c r="E4" s="98">
        <v>43473.0</v>
      </c>
      <c r="F4" s="35" t="str">
        <f>HYPERLINK("https://www.cnnindonesia.com/internasional/20190108144253-120-359291/belasan-pejabat-irak-melawat-ke-israel-jadi-kontroversi ","sumber")</f>
        <v>sumber</v>
      </c>
      <c r="G4" s="35" t="str">
        <f>HYPERLINK("https://drive.google.com/open?id=1OeCd_gzUMvWl9x7ob5IoB6mtxmmQwTBL","lokasi")</f>
        <v>lokasi</v>
      </c>
      <c r="H4" s="97">
        <v>363.0</v>
      </c>
      <c r="I4" s="99">
        <v>1.0</v>
      </c>
      <c r="J4" s="33">
        <v>4.0</v>
      </c>
      <c r="K4" s="100" t="s">
        <v>1093</v>
      </c>
      <c r="L4" s="33">
        <v>0.0</v>
      </c>
      <c r="M4" s="33">
        <v>1.0</v>
      </c>
      <c r="N4" s="33">
        <v>0.0</v>
      </c>
      <c r="O4" s="33">
        <v>0.0</v>
      </c>
      <c r="P4" s="33">
        <v>0.0</v>
      </c>
      <c r="Q4" s="33">
        <v>0.0</v>
      </c>
      <c r="R4" s="33">
        <v>0.0</v>
      </c>
      <c r="S4" s="33"/>
      <c r="T4" s="33">
        <v>0.0</v>
      </c>
      <c r="U4" s="33">
        <v>0.0</v>
      </c>
      <c r="V4" s="33">
        <v>1.0</v>
      </c>
      <c r="W4" s="33"/>
      <c r="X4" s="36"/>
      <c r="Y4" s="36"/>
    </row>
    <row r="5">
      <c r="A5" s="101">
        <v>1.0</v>
      </c>
      <c r="B5" s="96" t="s">
        <v>1094</v>
      </c>
      <c r="C5" s="33">
        <v>2.0</v>
      </c>
      <c r="D5" s="97">
        <v>2.0</v>
      </c>
      <c r="E5" s="98">
        <v>43477.0</v>
      </c>
      <c r="F5" s="35" t="str">
        <f>HYPERLINK("https://www.cnnindonesia.com/nasional/20190112002154-32-360314/debat-capres-kontras-minta-calon-sampaikan-sikap-terkait-pki ","sumber")</f>
        <v>sumber</v>
      </c>
      <c r="G5" s="35" t="str">
        <f>HYPERLINK("https://drive.google.com/open?id=1WdyWw01pFM6-NNkZFFXqIjcxpQPQCWkH","lokasi")</f>
        <v>lokasi</v>
      </c>
      <c r="H5" s="97">
        <v>386.0</v>
      </c>
      <c r="I5" s="99">
        <v>4.0</v>
      </c>
      <c r="J5" s="33">
        <v>4.0</v>
      </c>
      <c r="K5" s="102" t="s">
        <v>1095</v>
      </c>
      <c r="L5" s="33">
        <v>0.0</v>
      </c>
      <c r="M5" s="33">
        <v>0.0</v>
      </c>
      <c r="N5" s="37">
        <v>0.0</v>
      </c>
      <c r="O5" s="33">
        <v>0.0</v>
      </c>
      <c r="P5" s="33">
        <v>0.0</v>
      </c>
      <c r="Q5" s="33">
        <v>0.0</v>
      </c>
      <c r="R5" s="33">
        <v>1.0</v>
      </c>
      <c r="S5" s="33"/>
      <c r="T5" s="33">
        <v>0.0</v>
      </c>
      <c r="U5" s="33">
        <v>0.0</v>
      </c>
      <c r="V5" s="33">
        <v>1.0</v>
      </c>
      <c r="W5" s="36"/>
      <c r="X5" s="36"/>
      <c r="Y5" s="36"/>
    </row>
    <row r="6">
      <c r="A6" s="101">
        <v>1.0</v>
      </c>
      <c r="B6" s="96" t="s">
        <v>1096</v>
      </c>
      <c r="C6" s="33">
        <v>3.0</v>
      </c>
      <c r="D6" s="97">
        <v>1.0</v>
      </c>
      <c r="E6" s="98">
        <v>43478.0</v>
      </c>
      <c r="F6" s="35" t="str">
        <f>HYPERLINK("https://news.detik.com/berita/d-4382419/berkunjung-ke-malaysia-komisi-i-bandingkan-kebebasan-beragama-di-ri ","sumber")</f>
        <v>sumber</v>
      </c>
      <c r="G6" s="35" t="str">
        <f>HYPERLINK("https://drive.google.com/open?id=1QIjiMYG3sWlxXCdpiAlnCwbch69xb1hn","lokasi")</f>
        <v>lokasi</v>
      </c>
      <c r="H6" s="97">
        <v>384.0</v>
      </c>
      <c r="I6" s="103">
        <v>2.0</v>
      </c>
      <c r="J6" s="33">
        <v>4.0</v>
      </c>
      <c r="K6" s="104" t="s">
        <v>1097</v>
      </c>
      <c r="L6" s="33">
        <v>0.0</v>
      </c>
      <c r="M6" s="33">
        <v>0.0</v>
      </c>
      <c r="N6" s="37">
        <v>0.0</v>
      </c>
      <c r="O6" s="33">
        <v>0.0</v>
      </c>
      <c r="P6" s="33">
        <v>0.0</v>
      </c>
      <c r="Q6" s="33">
        <v>0.0</v>
      </c>
      <c r="R6" s="33">
        <v>1.0</v>
      </c>
      <c r="S6" s="33"/>
      <c r="T6" s="33">
        <v>0.0</v>
      </c>
      <c r="U6" s="33">
        <v>0.0</v>
      </c>
      <c r="V6" s="33">
        <v>1.0</v>
      </c>
      <c r="W6" s="36"/>
      <c r="X6" s="36"/>
      <c r="Y6" s="36"/>
    </row>
    <row r="7">
      <c r="A7" s="101">
        <v>1.0</v>
      </c>
      <c r="B7" s="96" t="s">
        <v>1098</v>
      </c>
      <c r="C7" s="33">
        <v>4.0</v>
      </c>
      <c r="D7" s="97">
        <v>10.0</v>
      </c>
      <c r="E7" s="98">
        <v>43482.0</v>
      </c>
      <c r="F7" s="35" t="str">
        <f>HYPERLINK("https://pilpres.tempo.co/read/1165796/program-aksi-prabowo-sandiaga-di-bidang-hukum-dan-ham ","sumber")</f>
        <v>sumber</v>
      </c>
      <c r="G7" s="35" t="str">
        <f>HYPERLINK("https://drive.google.com/open?id=1v2z95wcjv6e18oFAV1CY5IFqNytia3oj","lokasi")</f>
        <v>lokasi</v>
      </c>
      <c r="H7" s="97">
        <v>521.0</v>
      </c>
      <c r="I7" s="99">
        <v>4.0</v>
      </c>
      <c r="J7" s="33">
        <v>4.0</v>
      </c>
      <c r="K7" s="102" t="s">
        <v>1099</v>
      </c>
      <c r="L7" s="33">
        <v>0.0</v>
      </c>
      <c r="M7" s="33">
        <v>0.0</v>
      </c>
      <c r="N7" s="37">
        <v>0.0</v>
      </c>
      <c r="O7" s="33">
        <v>0.0</v>
      </c>
      <c r="P7" s="33">
        <v>0.0</v>
      </c>
      <c r="Q7" s="33" t="s">
        <v>61</v>
      </c>
      <c r="R7" s="33" t="s">
        <v>214</v>
      </c>
      <c r="S7" s="33"/>
      <c r="T7" s="33">
        <v>0.0</v>
      </c>
      <c r="U7" s="33">
        <v>0.0</v>
      </c>
      <c r="V7" s="33">
        <v>1.0</v>
      </c>
      <c r="W7" s="36"/>
      <c r="X7" s="36"/>
      <c r="Y7" s="36"/>
    </row>
    <row r="8">
      <c r="A8" s="105">
        <v>2.0</v>
      </c>
      <c r="B8" s="106" t="s">
        <v>1100</v>
      </c>
      <c r="C8" s="40">
        <v>5.0</v>
      </c>
      <c r="D8" s="107">
        <v>4.0</v>
      </c>
      <c r="E8" s="108">
        <v>43483.0</v>
      </c>
      <c r="F8" s="42" t="str">
        <f>HYPERLINK("https://www.liputan6.com/regional/read/3873789/menguak-monster-purba-yang-bersembunyi-di-bawah-tanah-aceh ","sumber")</f>
        <v>sumber</v>
      </c>
      <c r="G8" s="40" t="s">
        <v>33</v>
      </c>
      <c r="H8" s="107">
        <v>780.0</v>
      </c>
      <c r="I8" s="109"/>
      <c r="J8" s="40">
        <v>4.0</v>
      </c>
      <c r="K8" s="110"/>
      <c r="L8" s="41"/>
      <c r="M8" s="41"/>
      <c r="N8" s="41"/>
      <c r="O8" s="41"/>
      <c r="P8" s="41"/>
      <c r="Q8" s="40"/>
      <c r="R8" s="111"/>
      <c r="S8" s="40"/>
      <c r="T8" s="41"/>
      <c r="U8" s="41"/>
      <c r="V8" s="41"/>
      <c r="W8" s="41"/>
      <c r="X8" s="41"/>
      <c r="Y8" s="41"/>
    </row>
    <row r="9">
      <c r="A9" s="112">
        <v>1.0</v>
      </c>
      <c r="B9" s="113" t="s">
        <v>1101</v>
      </c>
      <c r="C9" s="114">
        <v>6.0</v>
      </c>
      <c r="D9" s="115">
        <v>10.0</v>
      </c>
      <c r="E9" s="116">
        <v>43476.0</v>
      </c>
      <c r="F9" s="117" t="str">
        <f>HYPERLINK("https://pemilu.tempo.co/read/1164057/kontras-sebut-debat-capres-mirip-pemilihan-ketua-osis","sumber")</f>
        <v>sumber</v>
      </c>
      <c r="G9" s="117" t="str">
        <f>HYPERLINK("https://drive.google.com/open?id=15K5sriRJOw0JTPqD9yRZzl0fwZcfdV8X","lokasi")</f>
        <v>lokasi</v>
      </c>
      <c r="H9" s="115">
        <v>409.0</v>
      </c>
      <c r="I9" s="118">
        <v>2.0</v>
      </c>
      <c r="J9" s="114">
        <v>4.0</v>
      </c>
      <c r="K9" s="119" t="s">
        <v>1102</v>
      </c>
      <c r="L9" s="114">
        <v>0.0</v>
      </c>
      <c r="M9" s="114">
        <v>0.0</v>
      </c>
      <c r="N9" s="120">
        <v>0.0</v>
      </c>
      <c r="O9" s="114">
        <v>0.0</v>
      </c>
      <c r="P9" s="114">
        <v>0.0</v>
      </c>
      <c r="Q9" s="114" t="s">
        <v>61</v>
      </c>
      <c r="R9" s="121" t="s">
        <v>100</v>
      </c>
      <c r="S9" s="114"/>
      <c r="T9" s="114">
        <v>0.0</v>
      </c>
      <c r="U9" s="114">
        <v>0.0</v>
      </c>
      <c r="V9" s="114">
        <v>1.0</v>
      </c>
      <c r="W9" s="122"/>
      <c r="X9" s="122"/>
      <c r="Y9" s="122"/>
    </row>
    <row r="10">
      <c r="A10" s="101">
        <v>1.0</v>
      </c>
      <c r="B10" s="96" t="s">
        <v>1103</v>
      </c>
      <c r="C10" s="33">
        <v>7.0</v>
      </c>
      <c r="D10" s="97">
        <v>5.0</v>
      </c>
      <c r="E10" s="98">
        <v>43490.0</v>
      </c>
      <c r="F10" s="35" t="str">
        <f>HYPERLINK("https://tirto.id/kontras-bebasnya-btp-harus-jadi-refleksi-pasal-penodaan-agama-de9m ","sumber")</f>
        <v>sumber</v>
      </c>
      <c r="G10" s="35" t="str">
        <f>HYPERLINK("https://drive.google.com/open?id=1v9iWNKeFUZeudaguIIAUd-ZjsBfBbXj6","lokasi")</f>
        <v>lokasi</v>
      </c>
      <c r="H10" s="97">
        <v>308.0</v>
      </c>
      <c r="I10" s="99">
        <v>4.0</v>
      </c>
      <c r="J10" s="33">
        <v>4.0</v>
      </c>
      <c r="K10" s="102" t="s">
        <v>1095</v>
      </c>
      <c r="L10" s="33">
        <v>0.0</v>
      </c>
      <c r="M10" s="33">
        <v>0.0</v>
      </c>
      <c r="N10" s="37">
        <v>0.0</v>
      </c>
      <c r="O10" s="33">
        <v>0.0</v>
      </c>
      <c r="P10" s="33">
        <v>0.0</v>
      </c>
      <c r="Q10" s="33">
        <v>0.0</v>
      </c>
      <c r="R10" s="33">
        <v>1.0</v>
      </c>
      <c r="S10" s="33"/>
      <c r="T10" s="33">
        <v>0.0</v>
      </c>
      <c r="U10" s="33">
        <v>0.0</v>
      </c>
      <c r="V10" s="33">
        <v>1.0</v>
      </c>
      <c r="W10" s="36"/>
      <c r="X10" s="36"/>
      <c r="Y10" s="36"/>
    </row>
    <row r="11">
      <c r="A11" s="101">
        <v>1.0</v>
      </c>
      <c r="B11" s="96" t="s">
        <v>1104</v>
      </c>
      <c r="C11" s="33">
        <v>8.0</v>
      </c>
      <c r="D11" s="97">
        <v>7.0</v>
      </c>
      <c r="E11" s="98">
        <v>43491.0</v>
      </c>
      <c r="F11" s="35" t="str">
        <f>HYPERLINK("http://www.tribunnews.com/pilpres-2019/2019/01/26/pdip-pasuruan-siap-menangkan-jokowi-maruf-70-persen ","sumber")</f>
        <v>sumber</v>
      </c>
      <c r="G11" s="35" t="str">
        <f>HYPERLINK("https://drive.google.com/open?id=1SJn7PqD3T_K8QrNgOuynFWXyZj-59PJ3","lokasi")</f>
        <v>lokasi</v>
      </c>
      <c r="H11" s="97">
        <v>250.0</v>
      </c>
      <c r="I11" s="99">
        <v>5.0</v>
      </c>
      <c r="J11" s="33">
        <v>4.0</v>
      </c>
      <c r="K11" s="102" t="s">
        <v>1105</v>
      </c>
      <c r="L11" s="33">
        <v>0.0</v>
      </c>
      <c r="M11" s="33">
        <v>0.0</v>
      </c>
      <c r="N11" s="37">
        <v>0.0</v>
      </c>
      <c r="O11" s="33">
        <v>0.0</v>
      </c>
      <c r="P11" s="33">
        <v>0.0</v>
      </c>
      <c r="Q11" s="33">
        <v>0.0</v>
      </c>
      <c r="R11" s="33">
        <v>0.0</v>
      </c>
      <c r="S11" s="33"/>
      <c r="T11" s="33">
        <v>0.0</v>
      </c>
      <c r="U11" s="33">
        <v>0.0</v>
      </c>
      <c r="V11" s="33">
        <v>1.0</v>
      </c>
      <c r="W11" s="36"/>
      <c r="X11" s="36"/>
      <c r="Y11" s="36"/>
    </row>
    <row r="12">
      <c r="A12" s="105">
        <v>2.0</v>
      </c>
      <c r="B12" s="106" t="s">
        <v>1106</v>
      </c>
      <c r="C12" s="40">
        <v>9.0</v>
      </c>
      <c r="D12" s="107">
        <v>8.0</v>
      </c>
      <c r="E12" s="108">
        <v>43496.0</v>
      </c>
      <c r="F12" s="42" t="str">
        <f>HYPERLINK("https://www.suara.com/news/2019/01/31/124937/didampingi-istri-wapres-ibu-negara-kunjungan-kerja-ke-aceh ","sumber")</f>
        <v>sumber</v>
      </c>
      <c r="G12" s="40" t="s">
        <v>33</v>
      </c>
      <c r="H12" s="107">
        <v>166.0</v>
      </c>
      <c r="I12" s="109"/>
      <c r="J12" s="40">
        <v>4.0</v>
      </c>
      <c r="K12" s="110"/>
      <c r="L12" s="41"/>
      <c r="M12" s="41"/>
      <c r="N12" s="41"/>
      <c r="O12" s="41"/>
      <c r="P12" s="41"/>
      <c r="Q12" s="40"/>
      <c r="R12" s="111"/>
      <c r="S12" s="40"/>
      <c r="T12" s="41"/>
      <c r="U12" s="41"/>
      <c r="V12" s="41"/>
      <c r="W12" s="41"/>
      <c r="X12" s="41"/>
      <c r="Y12" s="41"/>
    </row>
    <row r="13">
      <c r="A13" s="105">
        <v>2.0</v>
      </c>
      <c r="B13" s="106" t="s">
        <v>349</v>
      </c>
      <c r="C13" s="40">
        <v>10.0</v>
      </c>
      <c r="D13" s="107">
        <v>1.0</v>
      </c>
      <c r="E13" s="108">
        <v>43498.0</v>
      </c>
      <c r="F13" s="42" t="str">
        <f>HYPERLINK("https://news.detik.com/bbc-world/d-4411681/kisah-perjalanan-udara-yang-menentukan-revolusi-islam-iran ","sumber")</f>
        <v>sumber</v>
      </c>
      <c r="G13" s="42" t="str">
        <f>HYPERLINK("https://drive.google.com/open?id=1TNeUr8bLzj8ILS9BqJBiPBdVqhZBaNMh","lokasi")</f>
        <v>lokasi</v>
      </c>
      <c r="H13" s="107">
        <v>836.0</v>
      </c>
      <c r="I13" s="123">
        <v>5.0</v>
      </c>
      <c r="J13" s="40">
        <v>4.0</v>
      </c>
      <c r="K13" s="124" t="s">
        <v>1107</v>
      </c>
      <c r="L13" s="40">
        <v>0.0</v>
      </c>
      <c r="M13" s="40">
        <v>0.0</v>
      </c>
      <c r="N13" s="49">
        <v>0.0</v>
      </c>
      <c r="O13" s="40">
        <v>0.0</v>
      </c>
      <c r="P13" s="40">
        <v>0.0</v>
      </c>
      <c r="Q13" s="40">
        <v>2.0</v>
      </c>
      <c r="R13" s="40">
        <v>1.0</v>
      </c>
      <c r="S13" s="40"/>
      <c r="T13" s="40">
        <v>0.0</v>
      </c>
      <c r="U13" s="40">
        <v>0.0</v>
      </c>
      <c r="V13" s="40">
        <v>0.0</v>
      </c>
      <c r="W13" s="41"/>
      <c r="X13" s="41"/>
      <c r="Y13" s="41"/>
    </row>
    <row r="14">
      <c r="A14" s="101">
        <v>1.0</v>
      </c>
      <c r="B14" s="96" t="s">
        <v>1108</v>
      </c>
      <c r="C14" s="33">
        <v>11.0</v>
      </c>
      <c r="D14" s="97">
        <v>4.0</v>
      </c>
      <c r="E14" s="98">
        <v>43502.0</v>
      </c>
      <c r="F14" s="35" t="str">
        <f>HYPERLINK("https://www.liputan6.com/news/read/3888133/minggu-berdarah-jemaah-ahmadiyah-di-cikeusik-8-tahun-silam ","sumber")</f>
        <v>sumber</v>
      </c>
      <c r="G14" s="35" t="str">
        <f>HYPERLINK("https://drive.google.com/open?id=1AnF_hip8xsJGjg7coVAA49Qyd3SYIFva","lokasi")</f>
        <v>lokasi</v>
      </c>
      <c r="H14" s="97">
        <v>676.0</v>
      </c>
      <c r="I14" s="99">
        <v>1.0</v>
      </c>
      <c r="J14" s="33">
        <v>4.0</v>
      </c>
      <c r="K14" s="102" t="s">
        <v>1109</v>
      </c>
      <c r="L14" s="33">
        <v>0.0</v>
      </c>
      <c r="M14" s="33">
        <v>1.0</v>
      </c>
      <c r="N14" s="37">
        <v>0.0</v>
      </c>
      <c r="O14" s="33">
        <v>0.0</v>
      </c>
      <c r="P14" s="33">
        <v>0.0</v>
      </c>
      <c r="Q14" s="33" t="s">
        <v>53</v>
      </c>
      <c r="R14" s="33" t="s">
        <v>771</v>
      </c>
      <c r="S14" s="33"/>
      <c r="T14" s="33">
        <v>0.0</v>
      </c>
      <c r="U14" s="33">
        <v>0.0</v>
      </c>
      <c r="V14" s="33">
        <v>1.0</v>
      </c>
      <c r="W14" s="36"/>
      <c r="X14" s="36"/>
      <c r="Y14" s="36"/>
    </row>
    <row r="15">
      <c r="A15" s="105">
        <v>2.0</v>
      </c>
      <c r="B15" s="106" t="s">
        <v>1110</v>
      </c>
      <c r="C15" s="40">
        <v>12.0</v>
      </c>
      <c r="D15" s="107">
        <v>1.0</v>
      </c>
      <c r="E15" s="108">
        <v>43504.0</v>
      </c>
      <c r="F15" s="42" t="str">
        <f>HYPERLINK("https://news.detik.com/kolom/d-4419440/kotak-kotak-takdir ","sumber")</f>
        <v>sumber</v>
      </c>
      <c r="G15" s="40" t="s">
        <v>33</v>
      </c>
      <c r="H15" s="107">
        <v>1189.0</v>
      </c>
      <c r="I15" s="123"/>
      <c r="J15" s="40">
        <v>4.0</v>
      </c>
      <c r="K15" s="110"/>
      <c r="L15" s="41"/>
      <c r="M15" s="41"/>
      <c r="N15" s="41"/>
      <c r="O15" s="41"/>
      <c r="P15" s="41"/>
      <c r="Q15" s="40"/>
      <c r="R15" s="111"/>
      <c r="S15" s="40"/>
      <c r="T15" s="41"/>
      <c r="U15" s="41"/>
      <c r="V15" s="41"/>
      <c r="W15" s="41"/>
      <c r="X15" s="41"/>
      <c r="Y15" s="41"/>
    </row>
    <row r="16">
      <c r="A16" s="101">
        <v>1.0</v>
      </c>
      <c r="B16" s="96" t="s">
        <v>1111</v>
      </c>
      <c r="C16" s="33">
        <v>13.0</v>
      </c>
      <c r="D16" s="97">
        <v>1.0</v>
      </c>
      <c r="E16" s="98">
        <v>43508.0</v>
      </c>
      <c r="F16" s="35" t="str">
        <f>HYPERLINK("https://news.detik.com/bbc-world/d-4423984/beda-iran-sebelum-dan-sesudah-revolusi-tahun-1979 ","sumber")</f>
        <v>sumber</v>
      </c>
      <c r="G16" s="35" t="str">
        <f>HYPERLINK("https://drive.google.com/open?id=1DpPWD-DR19lab58JC10gnaSvbp78CQ4V","lokasi")</f>
        <v>lokasi</v>
      </c>
      <c r="H16" s="97">
        <v>799.0</v>
      </c>
      <c r="I16" s="99">
        <v>5.0</v>
      </c>
      <c r="J16" s="33">
        <v>4.0</v>
      </c>
      <c r="K16" s="33"/>
      <c r="L16" s="33">
        <v>0.0</v>
      </c>
      <c r="M16" s="33">
        <v>0.0</v>
      </c>
      <c r="N16" s="37">
        <v>0.0</v>
      </c>
      <c r="O16" s="33">
        <v>0.0</v>
      </c>
      <c r="P16" s="33">
        <v>0.0</v>
      </c>
      <c r="Q16" s="33"/>
      <c r="R16" s="33"/>
      <c r="S16" s="33"/>
      <c r="T16" s="33">
        <v>0.0</v>
      </c>
      <c r="U16" s="33">
        <v>0.0</v>
      </c>
      <c r="V16" s="33">
        <v>1.0</v>
      </c>
      <c r="W16" s="36"/>
      <c r="X16" s="36"/>
      <c r="Y16" s="36"/>
    </row>
    <row r="17">
      <c r="A17" s="95">
        <v>1.0</v>
      </c>
      <c r="B17" s="96" t="s">
        <v>1112</v>
      </c>
      <c r="C17" s="33">
        <v>14.0</v>
      </c>
      <c r="D17" s="97">
        <v>1.0</v>
      </c>
      <c r="E17" s="98">
        <v>43510.0</v>
      </c>
      <c r="F17" s="35" t="str">
        <f>HYPERLINK("https://news.detik.com/bbc-world/d-4427421/militan-sunni-klaim-aksi-bom-tewaskan-27-anggota-garda-revolusi-iran ","sumber")</f>
        <v>sumber</v>
      </c>
      <c r="G17" s="35" t="str">
        <f>HYPERLINK("https://drive.google.com/open?id=1BmSdJq_UwqVzOoIiDQ5vI8w0jxBu68GM","lokasi")</f>
        <v>lokasi</v>
      </c>
      <c r="H17" s="97">
        <v>465.0</v>
      </c>
      <c r="I17" s="99">
        <v>1.0</v>
      </c>
      <c r="J17" s="33">
        <v>4.0</v>
      </c>
      <c r="K17" s="102" t="s">
        <v>1113</v>
      </c>
      <c r="L17" s="33">
        <v>0.0</v>
      </c>
      <c r="M17" s="33">
        <v>1.0</v>
      </c>
      <c r="N17" s="37">
        <v>0.0</v>
      </c>
      <c r="O17" s="33">
        <v>0.0</v>
      </c>
      <c r="P17" s="33">
        <v>0.0</v>
      </c>
      <c r="Q17" s="33">
        <v>0.0</v>
      </c>
      <c r="R17" s="33">
        <v>0.0</v>
      </c>
      <c r="S17" s="33"/>
      <c r="T17" s="33">
        <v>0.0</v>
      </c>
      <c r="U17" s="33">
        <v>0.0</v>
      </c>
      <c r="V17" s="33">
        <v>1.0</v>
      </c>
      <c r="W17" s="36"/>
      <c r="X17" s="36"/>
      <c r="Y17" s="36"/>
    </row>
    <row r="18">
      <c r="A18" s="105">
        <v>2.0</v>
      </c>
      <c r="B18" s="106" t="s">
        <v>1114</v>
      </c>
      <c r="C18" s="40">
        <v>15.0</v>
      </c>
      <c r="D18" s="107">
        <v>3.0</v>
      </c>
      <c r="E18" s="108">
        <v>43510.0</v>
      </c>
      <c r="F18" s="42" t="str">
        <f>HYPERLINK("https://news.okezone.com/read/2019/02/14/18/2017695/pengebom-bunuh-diri-sasar-garda-revolusi-iran-kelompok-sunni-klaim-bertanggung-jawab ","sumber")</f>
        <v>sumber</v>
      </c>
      <c r="G18" s="42" t="str">
        <f>HYPERLINK("https://drive.google.com/open?id=1WSS9CBSssP8WrLTVsNvdzXSbTAcW7ybC","lokasi")</f>
        <v>lokasi</v>
      </c>
      <c r="H18" s="107">
        <v>464.0</v>
      </c>
      <c r="I18" s="123">
        <v>1.0</v>
      </c>
      <c r="J18" s="40">
        <v>4.0</v>
      </c>
      <c r="K18" s="124" t="s">
        <v>1113</v>
      </c>
      <c r="L18" s="40">
        <v>0.0</v>
      </c>
      <c r="M18" s="40">
        <v>1.0</v>
      </c>
      <c r="N18" s="49">
        <v>0.0</v>
      </c>
      <c r="O18" s="40">
        <v>0.0</v>
      </c>
      <c r="P18" s="40">
        <v>0.0</v>
      </c>
      <c r="Q18" s="40">
        <v>0.0</v>
      </c>
      <c r="R18" s="40">
        <v>0.0</v>
      </c>
      <c r="S18" s="40"/>
      <c r="T18" s="40">
        <v>0.0</v>
      </c>
      <c r="U18" s="40">
        <v>0.0</v>
      </c>
      <c r="V18" s="40">
        <v>1.0</v>
      </c>
      <c r="W18" s="41"/>
      <c r="X18" s="41"/>
      <c r="Y18" s="41"/>
    </row>
    <row r="19">
      <c r="A19" s="105">
        <v>2.0</v>
      </c>
      <c r="B19" s="106" t="s">
        <v>1115</v>
      </c>
      <c r="C19" s="40">
        <v>16.0</v>
      </c>
      <c r="D19" s="107">
        <v>4.0</v>
      </c>
      <c r="E19" s="108">
        <v>43518.0</v>
      </c>
      <c r="F19" s="42" t="str">
        <f>HYPERLINK("https://www.liputan6.com/regional/read/3901169/top-3-berita-hari-ini-warga-bandung-terima-e-ktp-pertama-dengan-kolom-kepercayaan ","sumber")</f>
        <v>sumber</v>
      </c>
      <c r="G19" s="40" t="s">
        <v>33</v>
      </c>
      <c r="H19" s="107">
        <v>421.0</v>
      </c>
      <c r="I19" s="109"/>
      <c r="J19" s="40">
        <v>4.0</v>
      </c>
      <c r="K19" s="110"/>
      <c r="L19" s="41"/>
      <c r="M19" s="41"/>
      <c r="N19" s="41"/>
      <c r="O19" s="41"/>
      <c r="P19" s="41"/>
      <c r="Q19" s="40"/>
      <c r="R19" s="111"/>
      <c r="S19" s="40"/>
      <c r="T19" s="41"/>
      <c r="U19" s="41"/>
      <c r="V19" s="41"/>
      <c r="W19" s="41"/>
      <c r="X19" s="41"/>
      <c r="Y19" s="41"/>
    </row>
    <row r="20">
      <c r="A20" s="105">
        <v>2.0</v>
      </c>
      <c r="B20" s="106" t="s">
        <v>1116</v>
      </c>
      <c r="C20" s="40">
        <v>17.0</v>
      </c>
      <c r="D20" s="107">
        <v>7.0</v>
      </c>
      <c r="E20" s="108">
        <v>43525.0</v>
      </c>
      <c r="F20" s="42" t="str">
        <f>HYPERLINK("http://www.tribunnews.com/section/2019/03/01/pendaftaran-utbk-dibuka-hari-ini-berikut-daftar-perguruan-tinggi-negeri-di-indonesia-beserta-link ","sumber")</f>
        <v>sumber</v>
      </c>
      <c r="G20" s="40" t="s">
        <v>33</v>
      </c>
      <c r="H20" s="107">
        <v>216.0</v>
      </c>
      <c r="I20" s="109"/>
      <c r="J20" s="40">
        <v>4.0</v>
      </c>
      <c r="K20" s="110"/>
      <c r="L20" s="41"/>
      <c r="M20" s="41"/>
      <c r="N20" s="41"/>
      <c r="O20" s="41"/>
      <c r="P20" s="41"/>
      <c r="Q20" s="40"/>
      <c r="R20" s="111"/>
      <c r="S20" s="40"/>
      <c r="T20" s="41"/>
      <c r="U20" s="41"/>
      <c r="V20" s="41"/>
      <c r="W20" s="41"/>
      <c r="X20" s="41"/>
      <c r="Y20" s="41"/>
    </row>
    <row r="21">
      <c r="A21" s="105">
        <v>2.0</v>
      </c>
      <c r="B21" s="106" t="s">
        <v>1117</v>
      </c>
      <c r="C21" s="40">
        <v>18.0</v>
      </c>
      <c r="D21" s="107">
        <v>9.0</v>
      </c>
      <c r="E21" s="108">
        <v>43529.0</v>
      </c>
      <c r="F21" s="42" t="str">
        <f>HYPERLINK("https://internasional.republika.co.id/berita/internasional/timur-tengah/pnw0r8377/houthi-inggris-coba-gelincirkan-kesepakatan-perdamaian ","sumber")</f>
        <v>sumber</v>
      </c>
      <c r="G21" s="42" t="str">
        <f>HYPERLINK("https://drive.google.com/open?id=1sEuMJMhvAZM4Y7Cdcp9HlSsCheNvdgOR","lokasi")</f>
        <v>lokasi</v>
      </c>
      <c r="H21" s="107">
        <v>291.0</v>
      </c>
      <c r="I21" s="123">
        <v>1.0</v>
      </c>
      <c r="J21" s="40">
        <v>4.0</v>
      </c>
      <c r="K21" s="124" t="s">
        <v>1118</v>
      </c>
      <c r="L21" s="40">
        <v>0.0</v>
      </c>
      <c r="M21" s="40">
        <v>1.0</v>
      </c>
      <c r="N21" s="49">
        <v>0.0</v>
      </c>
      <c r="O21" s="40">
        <v>0.0</v>
      </c>
      <c r="P21" s="40">
        <v>0.0</v>
      </c>
      <c r="Q21" s="40">
        <v>0.0</v>
      </c>
      <c r="R21" s="40">
        <v>1.0</v>
      </c>
      <c r="S21" s="40"/>
      <c r="T21" s="40">
        <v>0.0</v>
      </c>
      <c r="U21" s="40">
        <v>0.0</v>
      </c>
      <c r="V21" s="40">
        <v>1.0</v>
      </c>
      <c r="W21" s="41"/>
      <c r="X21" s="41"/>
      <c r="Y21" s="41"/>
    </row>
    <row r="22">
      <c r="A22" s="105">
        <v>2.0</v>
      </c>
      <c r="B22" s="106" t="s">
        <v>1119</v>
      </c>
      <c r="C22" s="40">
        <v>19.0</v>
      </c>
      <c r="D22" s="107">
        <v>3.0</v>
      </c>
      <c r="E22" s="108">
        <v>43535.0</v>
      </c>
      <c r="F22" s="42" t="str">
        <f>HYPERLINK("https://economy.okezone.com/read/2019/03/11/320/2028419/ada-jalan-rusak-menteri-basuki-minta-koordinasi-pusat-dan-daerah-ditingkatkan ","sumber")</f>
        <v>sumber</v>
      </c>
      <c r="G22" s="40" t="s">
        <v>33</v>
      </c>
      <c r="H22" s="107">
        <v>256.0</v>
      </c>
      <c r="I22" s="109"/>
      <c r="J22" s="40">
        <v>4.0</v>
      </c>
      <c r="K22" s="40"/>
      <c r="L22" s="41"/>
      <c r="M22" s="41"/>
      <c r="N22" s="41"/>
      <c r="O22" s="41"/>
      <c r="P22" s="41"/>
      <c r="Q22" s="40"/>
      <c r="R22" s="111"/>
      <c r="S22" s="40"/>
      <c r="T22" s="41"/>
      <c r="U22" s="41"/>
      <c r="V22" s="41"/>
      <c r="W22" s="41"/>
      <c r="X22" s="41"/>
      <c r="Y22" s="41"/>
    </row>
    <row r="23">
      <c r="A23" s="101">
        <v>1.0</v>
      </c>
      <c r="B23" s="96" t="s">
        <v>1120</v>
      </c>
      <c r="C23" s="33">
        <v>20.0</v>
      </c>
      <c r="D23" s="97">
        <v>7.0</v>
      </c>
      <c r="E23" s="98">
        <v>43537.0</v>
      </c>
      <c r="F23" s="35" t="str">
        <f>HYPERLINK("http://www.tribunnews.com/nasional/2019/03/13/abi-luncurkan-buku-manifesto-ormas-islam-ahlulbait ","sumber")</f>
        <v>sumber</v>
      </c>
      <c r="G23" s="35" t="str">
        <f>HYPERLINK("https://drive.google.com/open?id=163PtZz0sMBBDOF2xYnrRgi992aoiEEg-","lokasi")</f>
        <v>lokasi</v>
      </c>
      <c r="H23" s="97">
        <v>369.0</v>
      </c>
      <c r="I23" s="99">
        <v>2.0</v>
      </c>
      <c r="J23" s="33">
        <v>4.0</v>
      </c>
      <c r="K23" s="102" t="s">
        <v>1121</v>
      </c>
      <c r="L23" s="33">
        <v>0.0</v>
      </c>
      <c r="M23" s="33">
        <v>0.0</v>
      </c>
      <c r="N23" s="37">
        <v>0.0</v>
      </c>
      <c r="O23" s="33">
        <v>0.0</v>
      </c>
      <c r="P23" s="33">
        <v>0.0</v>
      </c>
      <c r="Q23" s="33" t="s">
        <v>192</v>
      </c>
      <c r="R23" s="33" t="s">
        <v>192</v>
      </c>
      <c r="S23" s="33"/>
      <c r="T23" s="33">
        <v>0.0</v>
      </c>
      <c r="U23" s="33">
        <v>0.0</v>
      </c>
      <c r="V23" s="33">
        <v>0.0</v>
      </c>
      <c r="W23" s="36"/>
      <c r="X23" s="36"/>
      <c r="Y23" s="36"/>
    </row>
    <row r="24">
      <c r="A24" s="101">
        <v>1.0</v>
      </c>
      <c r="B24" s="96" t="s">
        <v>1122</v>
      </c>
      <c r="C24" s="33">
        <v>21.0</v>
      </c>
      <c r="D24" s="97">
        <v>10.0</v>
      </c>
      <c r="E24" s="98">
        <v>43540.0</v>
      </c>
      <c r="F24" s="35" t="str">
        <f>HYPERLINK("https://dunia.tempo.co/read/1185878/4-masjid-ini-pernah-menjadi-sasaran-serangan-teror ","sumber")</f>
        <v>sumber</v>
      </c>
      <c r="G24" s="35" t="str">
        <f>HYPERLINK("https://drive.google.com/open?id=14oDsnM9gZMkz3BamNrrh7paeCATgq-Fb","lokasi")</f>
        <v>lokasi</v>
      </c>
      <c r="H24" s="97">
        <v>413.0</v>
      </c>
      <c r="I24" s="99">
        <v>1.0</v>
      </c>
      <c r="J24" s="33">
        <v>4.0</v>
      </c>
      <c r="K24" s="33"/>
      <c r="L24" s="33">
        <v>0.0</v>
      </c>
      <c r="M24" s="50">
        <v>0.0</v>
      </c>
      <c r="N24" s="37">
        <v>0.0</v>
      </c>
      <c r="O24" s="33">
        <v>0.0</v>
      </c>
      <c r="P24" s="33">
        <v>0.0</v>
      </c>
      <c r="Q24" s="33"/>
      <c r="R24" s="33"/>
      <c r="S24" s="33"/>
      <c r="T24" s="33">
        <v>0.0</v>
      </c>
      <c r="U24" s="33">
        <v>0.0</v>
      </c>
      <c r="V24" s="33">
        <v>1.0</v>
      </c>
      <c r="W24" s="36"/>
      <c r="X24" s="36"/>
      <c r="Y24" s="36"/>
    </row>
    <row r="25">
      <c r="A25" s="101">
        <v>1.0</v>
      </c>
      <c r="B25" s="96" t="s">
        <v>1123</v>
      </c>
      <c r="C25" s="33">
        <v>22.0</v>
      </c>
      <c r="D25" s="97">
        <v>5.0</v>
      </c>
      <c r="E25" s="98">
        <v>43541.0</v>
      </c>
      <c r="F25" s="35" t="str">
        <f>HYPERLINK("https://tirto.id/debat-cawapres-ma039ruf-negara-telah-hadir-untuk-atasi-masalah-djGN ","sumber")</f>
        <v>sumber</v>
      </c>
      <c r="G25" s="35" t="str">
        <f>HYPERLINK("https://drive.google.com/open?id=1Ta3dY0ieHYbdTUaDgmSIHncQNWqFUB-y","lokasi")</f>
        <v>lokasi</v>
      </c>
      <c r="H25" s="97">
        <v>420.0</v>
      </c>
      <c r="I25" s="99">
        <v>4.0</v>
      </c>
      <c r="J25" s="33">
        <v>4.0</v>
      </c>
      <c r="K25" s="102" t="s">
        <v>1124</v>
      </c>
      <c r="L25" s="33">
        <v>0.0</v>
      </c>
      <c r="M25" s="33">
        <v>0.0</v>
      </c>
      <c r="N25" s="37">
        <v>0.0</v>
      </c>
      <c r="O25" s="33">
        <v>0.0</v>
      </c>
      <c r="P25" s="33">
        <v>0.0</v>
      </c>
      <c r="Q25" s="33">
        <v>0.0</v>
      </c>
      <c r="R25" s="33">
        <v>1.0</v>
      </c>
      <c r="S25" s="33"/>
      <c r="T25" s="33">
        <v>0.0</v>
      </c>
      <c r="U25" s="33">
        <v>0.0</v>
      </c>
      <c r="V25" s="33">
        <v>1.0</v>
      </c>
      <c r="W25" s="36"/>
      <c r="X25" s="36"/>
      <c r="Y25" s="36"/>
    </row>
    <row r="26">
      <c r="A26" s="112">
        <v>1.0</v>
      </c>
      <c r="B26" s="113" t="s">
        <v>1125</v>
      </c>
      <c r="C26" s="114">
        <v>23.0</v>
      </c>
      <c r="D26" s="115">
        <v>1.0</v>
      </c>
      <c r="E26" s="116">
        <v>43537.0</v>
      </c>
      <c r="F26" s="117" t="str">
        <f>HYPERLINK("https://news.detik.com/abc-australia/d-4465345/mengapa-selalu-saja-ada-orang-yang-mengaku-nabi-di-indonesia","sumber")</f>
        <v>sumber</v>
      </c>
      <c r="G26" s="117" t="str">
        <f>HYPERLINK("https://drive.google.com/open?id=15K5sriRJOw0JTPqD9yRZzl0fwZcfdV8X","lokasi")</f>
        <v>lokasi</v>
      </c>
      <c r="H26" s="115">
        <v>743.0</v>
      </c>
      <c r="I26" s="118">
        <v>2.0</v>
      </c>
      <c r="J26" s="114">
        <v>4.0</v>
      </c>
      <c r="K26" s="119" t="s">
        <v>1126</v>
      </c>
      <c r="L26" s="114">
        <v>0.0</v>
      </c>
      <c r="M26" s="114">
        <v>0.0</v>
      </c>
      <c r="N26" s="120">
        <v>0.0</v>
      </c>
      <c r="O26" s="114">
        <v>0.0</v>
      </c>
      <c r="P26" s="114">
        <v>0.0</v>
      </c>
      <c r="Q26" s="114" t="s">
        <v>119</v>
      </c>
      <c r="R26" s="121" t="s">
        <v>214</v>
      </c>
      <c r="S26" s="114" t="s">
        <v>1127</v>
      </c>
      <c r="T26" s="114">
        <v>1.0</v>
      </c>
      <c r="U26" s="114">
        <v>-1.0</v>
      </c>
      <c r="V26" s="114">
        <v>1.0</v>
      </c>
      <c r="W26" s="122"/>
      <c r="X26" s="122"/>
      <c r="Y26" s="122"/>
    </row>
    <row r="27">
      <c r="A27" s="105">
        <v>2.0</v>
      </c>
      <c r="B27" s="106" t="s">
        <v>1128</v>
      </c>
      <c r="C27" s="40">
        <v>24.0</v>
      </c>
      <c r="D27" s="107">
        <v>7.0</v>
      </c>
      <c r="E27" s="108">
        <v>43548.0</v>
      </c>
      <c r="F27" s="42" t="str">
        <f>HYPERLINK("http://www.tribunnews.com/regional/2019/03/24/indonesia-one-health-university-network-gelar-pelatihan-manajemen-biorisiko-laboratorium ","sumber")</f>
        <v>sumber</v>
      </c>
      <c r="G27" s="40" t="s">
        <v>33</v>
      </c>
      <c r="H27" s="107">
        <v>365.0</v>
      </c>
      <c r="I27" s="109"/>
      <c r="J27" s="40">
        <v>4.0</v>
      </c>
      <c r="K27" s="40"/>
      <c r="L27" s="41"/>
      <c r="M27" s="41"/>
      <c r="N27" s="41"/>
      <c r="O27" s="41"/>
      <c r="P27" s="41"/>
      <c r="Q27" s="40"/>
      <c r="R27" s="111"/>
      <c r="S27" s="40"/>
      <c r="T27" s="41"/>
      <c r="U27" s="41"/>
      <c r="V27" s="41"/>
      <c r="W27" s="41"/>
      <c r="X27" s="41"/>
      <c r="Y27" s="41"/>
    </row>
    <row r="28">
      <c r="A28" s="112">
        <v>1.0</v>
      </c>
      <c r="B28" s="113" t="s">
        <v>1129</v>
      </c>
      <c r="C28" s="114">
        <v>25.0</v>
      </c>
      <c r="D28" s="115">
        <v>6.0</v>
      </c>
      <c r="E28" s="116">
        <v>43536.0</v>
      </c>
      <c r="F28" s="117" t="str">
        <f>HYPERLINK("https://nasional.kompas.com/read/2019/03/12/09305941/partai-partai-seharusnya-juga-diberi-kesempatan-debat-untuk-adu-gagasan","sumber")</f>
        <v>sumber</v>
      </c>
      <c r="G28" s="117" t="str">
        <f>HYPERLINK("https://drive.google.com/open?id=15K5sriRJOw0JTPqD9yRZzl0fwZcfdV8X","lokasi")</f>
        <v>lokasi</v>
      </c>
      <c r="H28" s="115">
        <v>264.0</v>
      </c>
      <c r="I28" s="118">
        <v>2.0</v>
      </c>
      <c r="J28" s="114">
        <v>4.0</v>
      </c>
      <c r="K28" s="119" t="s">
        <v>1130</v>
      </c>
      <c r="L28" s="114">
        <v>0.0</v>
      </c>
      <c r="M28" s="114">
        <v>0.0</v>
      </c>
      <c r="N28" s="120">
        <v>0.0</v>
      </c>
      <c r="O28" s="114">
        <v>0.0</v>
      </c>
      <c r="P28" s="114">
        <v>0.0</v>
      </c>
      <c r="Q28" s="114">
        <v>0.0</v>
      </c>
      <c r="R28" s="121">
        <v>0.0</v>
      </c>
      <c r="S28" s="114"/>
      <c r="T28" s="114">
        <v>0.0</v>
      </c>
      <c r="U28" s="114">
        <v>0.0</v>
      </c>
      <c r="V28" s="114">
        <v>1.0</v>
      </c>
      <c r="W28" s="122"/>
      <c r="X28" s="122"/>
      <c r="Y28" s="122"/>
    </row>
    <row r="29">
      <c r="A29" s="101">
        <v>1.0</v>
      </c>
      <c r="B29" s="96" t="s">
        <v>371</v>
      </c>
      <c r="C29" s="33">
        <v>26.0</v>
      </c>
      <c r="D29" s="97">
        <v>5.0</v>
      </c>
      <c r="E29" s="98">
        <v>43551.0</v>
      </c>
      <c r="F29" s="35" t="str">
        <f>HYPERLINK("https://tirto.id/kontras-nilai-hilangnya-ruth-rudangta-di-malaysia-bukan-kasus-biasa-dknP ","sumber")</f>
        <v>sumber</v>
      </c>
      <c r="G29" s="35" t="str">
        <f>HYPERLINK("https://drive.google.com/open?id=10282HITuM8KSSqmiI7-iVyRt9Ww8mBFN","lokasi")</f>
        <v>lokasi</v>
      </c>
      <c r="H29" s="97">
        <v>343.0</v>
      </c>
      <c r="I29" s="99">
        <v>1.0</v>
      </c>
      <c r="J29" s="33">
        <v>4.0</v>
      </c>
      <c r="K29" s="102" t="s">
        <v>1131</v>
      </c>
      <c r="L29" s="33">
        <v>0.0</v>
      </c>
      <c r="M29" s="33">
        <v>1.0</v>
      </c>
      <c r="N29" s="37">
        <v>0.0</v>
      </c>
      <c r="O29" s="33">
        <v>0.0</v>
      </c>
      <c r="P29" s="33">
        <v>0.0</v>
      </c>
      <c r="Q29" s="33" t="s">
        <v>61</v>
      </c>
      <c r="R29" s="33" t="s">
        <v>192</v>
      </c>
      <c r="S29" s="33"/>
      <c r="T29" s="33">
        <v>0.0</v>
      </c>
      <c r="U29" s="33">
        <v>0.0</v>
      </c>
      <c r="V29" s="33">
        <v>1.0</v>
      </c>
      <c r="W29" s="36"/>
      <c r="X29" s="36"/>
      <c r="Y29" s="36"/>
    </row>
    <row r="30">
      <c r="A30" s="101">
        <v>1.0</v>
      </c>
      <c r="B30" s="96" t="s">
        <v>1132</v>
      </c>
      <c r="C30" s="33">
        <v>27.0</v>
      </c>
      <c r="D30" s="97">
        <v>1.0</v>
      </c>
      <c r="E30" s="98">
        <v>43556.0</v>
      </c>
      <c r="F30" s="35" t="str">
        <f>HYPERLINK("https://news.detik.com/berita/d-4493134/kpu-akan-gelar-doa-bersama-di-debat-pamungkas-pilpres ","sumber")</f>
        <v>sumber</v>
      </c>
      <c r="G30" s="35" t="str">
        <f>HYPERLINK("https://drive.google.com/open?id=17M7mkqm4AoL6YI9eaeLRawKhe7-ocNf2","lokasi")</f>
        <v>lokasi</v>
      </c>
      <c r="H30" s="97">
        <v>273.0</v>
      </c>
      <c r="I30" s="99">
        <v>2.0</v>
      </c>
      <c r="J30" s="33">
        <v>4.0</v>
      </c>
      <c r="K30" s="102" t="s">
        <v>1133</v>
      </c>
      <c r="L30" s="33">
        <v>0.0</v>
      </c>
      <c r="M30" s="33">
        <v>0.0</v>
      </c>
      <c r="N30" s="37">
        <v>0.0</v>
      </c>
      <c r="O30" s="33">
        <v>0.0</v>
      </c>
      <c r="P30" s="33">
        <v>0.0</v>
      </c>
      <c r="Q30" s="33">
        <v>0.0</v>
      </c>
      <c r="R30" s="33">
        <v>0.0</v>
      </c>
      <c r="S30" s="33"/>
      <c r="T30" s="33">
        <v>0.0</v>
      </c>
      <c r="U30" s="33">
        <v>0.0</v>
      </c>
      <c r="V30" s="33">
        <v>1.0</v>
      </c>
      <c r="W30" s="36"/>
      <c r="X30" s="36"/>
      <c r="Y30" s="36"/>
    </row>
    <row r="31">
      <c r="A31" s="101">
        <v>1.0</v>
      </c>
      <c r="B31" s="96" t="s">
        <v>372</v>
      </c>
      <c r="C31" s="33">
        <v>28.0</v>
      </c>
      <c r="D31" s="97">
        <v>10.0</v>
      </c>
      <c r="E31" s="98">
        <v>43557.0</v>
      </c>
      <c r="F31" s="35" t="str">
        <f>HYPERLINK("https://nasional.tempo.co/read/1191776/pelukis-ditolak-ngontrak-di-yogyakarta-tokoh-kearifan-lokal ","sumber")</f>
        <v>sumber</v>
      </c>
      <c r="G31" s="35" t="str">
        <f>HYPERLINK("https://drive.google.com/open?id=1PzMzzTt1x_ZzrZ6X5_veNCdt4OzXVJv8","lokasi")</f>
        <v>lokasi</v>
      </c>
      <c r="H31" s="97">
        <v>656.0</v>
      </c>
      <c r="I31" s="99">
        <v>1.0</v>
      </c>
      <c r="J31" s="33">
        <v>4.0</v>
      </c>
      <c r="K31" s="102" t="s">
        <v>1134</v>
      </c>
      <c r="L31" s="33">
        <v>0.0</v>
      </c>
      <c r="M31" s="33">
        <v>-1.0</v>
      </c>
      <c r="N31" s="37">
        <v>0.0</v>
      </c>
      <c r="O31" s="33">
        <v>0.0</v>
      </c>
      <c r="P31" s="33">
        <v>0.0</v>
      </c>
      <c r="Q31" s="33" t="s">
        <v>61</v>
      </c>
      <c r="R31" s="33" t="s">
        <v>685</v>
      </c>
      <c r="S31" s="33"/>
      <c r="T31" s="33">
        <v>0.0</v>
      </c>
      <c r="U31" s="33">
        <v>0.0</v>
      </c>
      <c r="V31" s="33">
        <v>0.0</v>
      </c>
      <c r="W31" s="36"/>
      <c r="X31" s="36"/>
      <c r="Y31" s="36"/>
    </row>
    <row r="32">
      <c r="A32" s="101">
        <v>1.0</v>
      </c>
      <c r="B32" s="96" t="s">
        <v>1135</v>
      </c>
      <c r="C32" s="33">
        <v>29.0</v>
      </c>
      <c r="D32" s="97">
        <v>5.0</v>
      </c>
      <c r="E32" s="98">
        <v>43560.0</v>
      </c>
      <c r="F32" s="35" t="str">
        <f>HYPERLINK("https://tirto.id/sekda-diy-izin-perumahan-yang-diskriminatif-harus-dievaluasi-dlgF ","sumber")</f>
        <v>sumber</v>
      </c>
      <c r="G32" s="35" t="str">
        <f>HYPERLINK("https://drive.google.com/open?id=10OIyf8k_53bWN2O196DDLkHy1aLfRLpQ","lokasi")</f>
        <v>lokasi</v>
      </c>
      <c r="H32" s="97">
        <v>516.0</v>
      </c>
      <c r="I32" s="99">
        <v>4.0</v>
      </c>
      <c r="J32" s="33">
        <v>4.0</v>
      </c>
      <c r="K32" s="102" t="s">
        <v>1136</v>
      </c>
      <c r="L32" s="33">
        <v>0.0</v>
      </c>
      <c r="M32" s="33">
        <v>0.0</v>
      </c>
      <c r="N32" s="37">
        <v>0.0</v>
      </c>
      <c r="O32" s="33">
        <v>0.0</v>
      </c>
      <c r="P32" s="33">
        <v>0.0</v>
      </c>
      <c r="Q32" s="33">
        <v>0.0</v>
      </c>
      <c r="R32" s="33">
        <v>0.0</v>
      </c>
      <c r="S32" s="33"/>
      <c r="T32" s="33">
        <v>0.0</v>
      </c>
      <c r="U32" s="33">
        <v>0.0</v>
      </c>
      <c r="V32" s="33">
        <v>1.0</v>
      </c>
      <c r="W32" s="36"/>
      <c r="X32" s="36"/>
      <c r="Y32" s="36"/>
    </row>
    <row r="33">
      <c r="A33" s="105">
        <v>2.0</v>
      </c>
      <c r="B33" s="106" t="s">
        <v>1137</v>
      </c>
      <c r="C33" s="40">
        <v>30.0</v>
      </c>
      <c r="D33" s="107">
        <v>6.0</v>
      </c>
      <c r="E33" s="108">
        <v>43566.0</v>
      </c>
      <c r="F33" s="42" t="str">
        <f>HYPERLINK("https://regional.kompas.com/read/2019/04/11/14523361/5-fakta-demo-mahasiswa-di-aceh-tolak-izin-tambang-ricuh-hingga-9-kali-tak ","sumber")</f>
        <v>sumber</v>
      </c>
      <c r="G33" s="40" t="s">
        <v>33</v>
      </c>
      <c r="H33" s="107">
        <v>374.0</v>
      </c>
      <c r="I33" s="109"/>
      <c r="J33" s="40">
        <v>4.0</v>
      </c>
      <c r="K33" s="110"/>
      <c r="L33" s="41"/>
      <c r="M33" s="41"/>
      <c r="N33" s="41"/>
      <c r="O33" s="40"/>
      <c r="P33" s="41"/>
      <c r="Q33" s="40"/>
      <c r="R33" s="111"/>
      <c r="S33" s="40"/>
      <c r="T33" s="41"/>
      <c r="U33" s="41"/>
      <c r="V33" s="41"/>
      <c r="W33" s="41"/>
      <c r="X33" s="41"/>
      <c r="Y33" s="41"/>
    </row>
    <row r="34">
      <c r="A34" s="101">
        <v>1.0</v>
      </c>
      <c r="B34" s="96" t="s">
        <v>1138</v>
      </c>
      <c r="C34" s="33">
        <v>31.0</v>
      </c>
      <c r="D34" s="97">
        <v>9.0</v>
      </c>
      <c r="E34" s="98">
        <v>43569.0</v>
      </c>
      <c r="F34" s="35" t="str">
        <f>HYPERLINK("https://internasional.republika.co.id/berita/internasional/timur-tengah/ppwzlo377/milisi-irak-tolak-sebutan-teroris-buat-garda-revolusi-iran ","sumber")</f>
        <v>sumber</v>
      </c>
      <c r="G34" s="35" t="str">
        <f>HYPERLINK("https://drive.google.com/open?id=1qomdfdw9S57Nm3rP6N7XD-pd81pAvfU_","lokasi")</f>
        <v>lokasi</v>
      </c>
      <c r="H34" s="97">
        <v>232.0</v>
      </c>
      <c r="I34" s="99">
        <v>1.0</v>
      </c>
      <c r="J34" s="33">
        <v>4.0</v>
      </c>
      <c r="K34" s="102" t="s">
        <v>1139</v>
      </c>
      <c r="L34" s="33">
        <v>0.0</v>
      </c>
      <c r="M34" s="33">
        <v>1.0</v>
      </c>
      <c r="N34" s="37">
        <v>0.0</v>
      </c>
      <c r="O34" s="33">
        <v>0.0</v>
      </c>
      <c r="P34" s="33">
        <v>0.0</v>
      </c>
      <c r="Q34" s="33" t="s">
        <v>192</v>
      </c>
      <c r="R34" s="33" t="s">
        <v>61</v>
      </c>
      <c r="S34" s="33"/>
      <c r="T34" s="33">
        <v>0.0</v>
      </c>
      <c r="U34" s="33">
        <v>0.0</v>
      </c>
      <c r="V34" s="33">
        <v>1.0</v>
      </c>
      <c r="W34" s="36"/>
      <c r="X34" s="36"/>
      <c r="Y34" s="36"/>
    </row>
    <row r="35">
      <c r="A35" s="101">
        <v>1.0</v>
      </c>
      <c r="B35" s="96" t="s">
        <v>1140</v>
      </c>
      <c r="C35" s="33">
        <v>32.0</v>
      </c>
      <c r="D35" s="97">
        <v>8.0</v>
      </c>
      <c r="E35" s="98">
        <v>43569.0</v>
      </c>
      <c r="F35" s="35" t="str">
        <f>HYPERLINK("https://www.suara.com/news/2019/04/14/121658/warga-ahmadiyah-dilarang-golput ","sumber")</f>
        <v>sumber</v>
      </c>
      <c r="G35" s="35" t="str">
        <f>HYPERLINK("https://drive.google.com/open?id=1q4p2FNCYq1VGke7YKwjyUt23sTFaQoEu","lokasi")</f>
        <v>lokasi</v>
      </c>
      <c r="H35" s="97">
        <v>687.0</v>
      </c>
      <c r="I35" s="99">
        <v>2.0</v>
      </c>
      <c r="J35" s="33">
        <v>4.0</v>
      </c>
      <c r="K35" s="102" t="s">
        <v>1141</v>
      </c>
      <c r="L35" s="33">
        <v>0.0</v>
      </c>
      <c r="M35" s="33">
        <v>0.0</v>
      </c>
      <c r="N35" s="37">
        <v>0.0</v>
      </c>
      <c r="O35" s="33">
        <v>0.0</v>
      </c>
      <c r="P35" s="33">
        <v>0.0</v>
      </c>
      <c r="Q35" s="33">
        <v>2.0</v>
      </c>
      <c r="R35" s="33">
        <v>1.0</v>
      </c>
      <c r="S35" s="33"/>
      <c r="T35" s="33">
        <v>0.0</v>
      </c>
      <c r="U35" s="33">
        <v>0.0</v>
      </c>
      <c r="V35" s="33">
        <v>1.0</v>
      </c>
      <c r="W35" s="36"/>
      <c r="X35" s="36"/>
      <c r="Y35" s="36"/>
    </row>
    <row r="36">
      <c r="A36" s="105">
        <v>2.0</v>
      </c>
      <c r="B36" s="106" t="s">
        <v>1142</v>
      </c>
      <c r="C36" s="40">
        <v>33.0</v>
      </c>
      <c r="D36" s="107">
        <v>10.0</v>
      </c>
      <c r="E36" s="108">
        <v>43570.0</v>
      </c>
      <c r="F36" s="42" t="str">
        <f>HYPERLINK("https://kolom.tempo.co/read/1195914/sang-khalif ","sumber")</f>
        <v>sumber</v>
      </c>
      <c r="G36" s="40" t="s">
        <v>33</v>
      </c>
      <c r="H36" s="107">
        <v>722.0</v>
      </c>
      <c r="I36" s="109"/>
      <c r="J36" s="40">
        <v>4.0</v>
      </c>
      <c r="K36" s="110"/>
      <c r="L36" s="41"/>
      <c r="M36" s="41"/>
      <c r="N36" s="41"/>
      <c r="O36" s="41"/>
      <c r="P36" s="41"/>
      <c r="Q36" s="40"/>
      <c r="R36" s="111"/>
      <c r="S36" s="40"/>
      <c r="T36" s="41"/>
      <c r="U36" s="41"/>
      <c r="V36" s="41"/>
      <c r="W36" s="41"/>
      <c r="X36" s="41"/>
      <c r="Y36" s="41"/>
    </row>
    <row r="37">
      <c r="A37" s="101">
        <v>1.0</v>
      </c>
      <c r="B37" s="96" t="s">
        <v>1143</v>
      </c>
      <c r="C37" s="33">
        <v>34.0</v>
      </c>
      <c r="D37" s="97">
        <v>2.0</v>
      </c>
      <c r="E37" s="98">
        <v>43572.0</v>
      </c>
      <c r="F37" s="35" t="str">
        <f>HYPERLINK("https://www.cnnindonesia.com/nasional/20190416205841-32-386971/lbh-jakarta-kedua-capres-punya-catatan-buruk-soal-ham ","sumber")</f>
        <v>sumber</v>
      </c>
      <c r="G37" s="35" t="str">
        <f>HYPERLINK("https://drive.google.com/open?id=1Bm2UFvptPQv5OxIw7B3C_HYFDT1g108T","lokasi")</f>
        <v>lokasi</v>
      </c>
      <c r="H37" s="97">
        <v>496.0</v>
      </c>
      <c r="I37" s="99">
        <v>4.0</v>
      </c>
      <c r="J37" s="33">
        <v>4.0</v>
      </c>
      <c r="K37" s="102" t="s">
        <v>1144</v>
      </c>
      <c r="L37" s="33">
        <v>0.0</v>
      </c>
      <c r="M37" s="33">
        <v>0.0</v>
      </c>
      <c r="N37" s="37">
        <v>0.0</v>
      </c>
      <c r="O37" s="33">
        <v>0.0</v>
      </c>
      <c r="P37" s="33">
        <v>0.0</v>
      </c>
      <c r="Q37" s="33" t="s">
        <v>61</v>
      </c>
      <c r="R37" s="33" t="s">
        <v>192</v>
      </c>
      <c r="S37" s="33"/>
      <c r="T37" s="33">
        <v>0.0</v>
      </c>
      <c r="U37" s="33">
        <v>0.0</v>
      </c>
      <c r="V37" s="33">
        <v>1.0</v>
      </c>
      <c r="W37" s="36"/>
      <c r="X37" s="36"/>
      <c r="Y37" s="36"/>
    </row>
    <row r="38">
      <c r="A38" s="101">
        <v>1.0</v>
      </c>
      <c r="B38" s="96" t="s">
        <v>1145</v>
      </c>
      <c r="C38" s="33">
        <v>35.0</v>
      </c>
      <c r="D38" s="97">
        <v>6.0</v>
      </c>
      <c r="E38" s="98">
        <v>43578.0</v>
      </c>
      <c r="F38" s="35" t="str">
        <f>HYPERLINK("https://internasional.kompas.com/read/2019/04/23/23040221/arab-saudi-eksekusi-37-terpidana-mati-kasus-terorisme ","sumber")</f>
        <v>sumber</v>
      </c>
      <c r="G38" s="35" t="str">
        <f>HYPERLINK("https://drive.google.com/open?id=1eqOGCTavAMvwQ-JbqpYAJnd0e6hqfaBB","lokasi")</f>
        <v>lokasi</v>
      </c>
      <c r="H38" s="97">
        <v>296.0</v>
      </c>
      <c r="I38" s="99">
        <v>1.0</v>
      </c>
      <c r="J38" s="33">
        <v>4.0</v>
      </c>
      <c r="K38" s="102" t="s">
        <v>1146</v>
      </c>
      <c r="L38" s="33">
        <v>0.0</v>
      </c>
      <c r="M38" s="33">
        <v>-1.0</v>
      </c>
      <c r="N38" s="37">
        <v>0.0</v>
      </c>
      <c r="O38" s="33">
        <v>0.0</v>
      </c>
      <c r="P38" s="33">
        <v>0.0</v>
      </c>
      <c r="Q38" s="33">
        <v>0.0</v>
      </c>
      <c r="R38" s="33">
        <v>0.0</v>
      </c>
      <c r="S38" s="33"/>
      <c r="T38" s="33">
        <v>0.0</v>
      </c>
      <c r="U38" s="33">
        <v>-1.0</v>
      </c>
      <c r="V38" s="33">
        <v>1.0</v>
      </c>
      <c r="W38" s="36"/>
      <c r="X38" s="36"/>
      <c r="Y38" s="36"/>
    </row>
    <row r="39">
      <c r="A39" s="112">
        <v>1.0</v>
      </c>
      <c r="B39" s="113" t="s">
        <v>1147</v>
      </c>
      <c r="C39" s="114">
        <v>36.0</v>
      </c>
      <c r="D39" s="115">
        <v>1.0</v>
      </c>
      <c r="E39" s="116">
        <v>43580.0</v>
      </c>
      <c r="F39" s="117" t="str">
        <f>HYPERLINK("https://news.detik.com/bbc-world/d-4523945/pbb-desak-arab-saudi-tunda-semua-rencana-eksekusi-hukuman-mati","sumber")</f>
        <v>sumber</v>
      </c>
      <c r="G39" s="114" t="s">
        <v>33</v>
      </c>
      <c r="H39" s="115">
        <v>423.0</v>
      </c>
      <c r="I39" s="118">
        <v>4.0</v>
      </c>
      <c r="J39" s="114">
        <v>4.0</v>
      </c>
      <c r="K39" s="119" t="s">
        <v>1148</v>
      </c>
      <c r="L39" s="114">
        <v>0.0</v>
      </c>
      <c r="M39" s="114">
        <v>0.0</v>
      </c>
      <c r="N39" s="120">
        <v>0.0</v>
      </c>
      <c r="O39" s="114">
        <v>0.0</v>
      </c>
      <c r="P39" s="114">
        <v>0.0</v>
      </c>
      <c r="Q39" s="114">
        <v>0.0</v>
      </c>
      <c r="R39" s="121">
        <v>1.0</v>
      </c>
      <c r="S39" s="114"/>
      <c r="T39" s="114">
        <v>0.0</v>
      </c>
      <c r="U39" s="114">
        <v>0.0</v>
      </c>
      <c r="V39" s="114">
        <v>1.0</v>
      </c>
      <c r="W39" s="122"/>
      <c r="X39" s="122"/>
      <c r="Y39" s="122"/>
    </row>
    <row r="40">
      <c r="A40" s="101">
        <v>1.0</v>
      </c>
      <c r="B40" s="96" t="s">
        <v>1149</v>
      </c>
      <c r="C40" s="33">
        <v>37.0</v>
      </c>
      <c r="D40" s="97">
        <v>7.0</v>
      </c>
      <c r="E40" s="98">
        <v>43580.0</v>
      </c>
      <c r="F40" s="35" t="str">
        <f>HYPERLINK("http://www.tribunnews.com/nasional/2019/04/25/fatayat-nu-tugas-tokoh-agama-tebarkan-perdamaian ","sumber")</f>
        <v>sumber</v>
      </c>
      <c r="G40" s="35" t="str">
        <f t="shared" ref="G40:G42" si="1">HYPERLINK("https://drive.google.com/open?id=15K5sriRJOw0JTPqD9yRZzl0fwZcfdV8X","lokasi")</f>
        <v>lokasi</v>
      </c>
      <c r="H40" s="97">
        <v>365.0</v>
      </c>
      <c r="I40" s="99">
        <v>3.0</v>
      </c>
      <c r="J40" s="33">
        <v>4.0</v>
      </c>
      <c r="K40" s="102" t="s">
        <v>1150</v>
      </c>
      <c r="L40" s="33">
        <v>0.0</v>
      </c>
      <c r="M40" s="33">
        <v>0.0</v>
      </c>
      <c r="N40" s="37">
        <v>0.0</v>
      </c>
      <c r="O40" s="33">
        <v>0.0</v>
      </c>
      <c r="P40" s="33">
        <v>0.0</v>
      </c>
      <c r="Q40" s="33">
        <v>0.0</v>
      </c>
      <c r="R40" s="33">
        <v>-1.0</v>
      </c>
      <c r="S40" s="33"/>
      <c r="T40" s="33">
        <v>0.0</v>
      </c>
      <c r="U40" s="33">
        <v>0.0</v>
      </c>
      <c r="V40" s="33">
        <v>1.0</v>
      </c>
      <c r="W40" s="36"/>
      <c r="X40" s="36"/>
      <c r="Y40" s="36"/>
    </row>
    <row r="41">
      <c r="A41" s="101">
        <v>1.0</v>
      </c>
      <c r="B41" s="96" t="s">
        <v>1151</v>
      </c>
      <c r="C41" s="33">
        <v>38.0</v>
      </c>
      <c r="D41" s="97">
        <v>5.0</v>
      </c>
      <c r="E41" s="98">
        <v>43592.0</v>
      </c>
      <c r="F41" s="35" t="str">
        <f>HYPERLINK("https://tirto.id/sejarah-syiah-alasan-perbedaan-waktu-buka-puasa-dengan-sunni-drj9 ","sumber")</f>
        <v>sumber</v>
      </c>
      <c r="G41" s="35" t="str">
        <f t="shared" si="1"/>
        <v>lokasi</v>
      </c>
      <c r="H41" s="97">
        <v>499.0</v>
      </c>
      <c r="I41" s="99">
        <v>2.0</v>
      </c>
      <c r="J41" s="33">
        <v>4.0</v>
      </c>
      <c r="K41" s="102" t="s">
        <v>1152</v>
      </c>
      <c r="L41" s="33">
        <v>0.0</v>
      </c>
      <c r="M41" s="33">
        <v>0.0</v>
      </c>
      <c r="N41" s="37">
        <v>0.0</v>
      </c>
      <c r="O41" s="33">
        <v>0.0</v>
      </c>
      <c r="P41" s="33">
        <v>0.0</v>
      </c>
      <c r="Q41" s="33" t="s">
        <v>53</v>
      </c>
      <c r="R41" s="33" t="s">
        <v>53</v>
      </c>
      <c r="S41" s="33"/>
      <c r="T41" s="33">
        <v>0.0</v>
      </c>
      <c r="U41" s="33">
        <v>0.0</v>
      </c>
      <c r="V41" s="33">
        <v>1.0</v>
      </c>
      <c r="W41" s="36"/>
      <c r="X41" s="36"/>
      <c r="Y41" s="36"/>
    </row>
    <row r="42">
      <c r="A42" s="101">
        <v>1.0</v>
      </c>
      <c r="B42" s="96" t="s">
        <v>1153</v>
      </c>
      <c r="C42" s="33">
        <v>39.0</v>
      </c>
      <c r="D42" s="97">
        <v>4.0</v>
      </c>
      <c r="E42" s="98">
        <v>43593.0</v>
      </c>
      <c r="F42" s="35" t="str">
        <f>HYPERLINK("https://www.liputan6.com/global/read/3960480/bom-targetkan-tempat-ibadah-kaum-sufi-di-pakistan-4-orang-tewas ","sumber")</f>
        <v>sumber</v>
      </c>
      <c r="G42" s="35" t="str">
        <f t="shared" si="1"/>
        <v>lokasi</v>
      </c>
      <c r="H42" s="97">
        <v>386.0</v>
      </c>
      <c r="I42" s="99">
        <v>1.0</v>
      </c>
      <c r="J42" s="33">
        <v>4.0</v>
      </c>
      <c r="K42" s="102" t="s">
        <v>1154</v>
      </c>
      <c r="L42" s="33">
        <v>0.0</v>
      </c>
      <c r="M42" s="33">
        <v>-1.0</v>
      </c>
      <c r="N42" s="37">
        <v>0.0</v>
      </c>
      <c r="O42" s="33">
        <v>0.0</v>
      </c>
      <c r="P42" s="33">
        <v>0.0</v>
      </c>
      <c r="Q42" s="33">
        <v>0.0</v>
      </c>
      <c r="R42" s="33">
        <v>0.0</v>
      </c>
      <c r="S42" s="33"/>
      <c r="T42" s="33">
        <v>0.0</v>
      </c>
      <c r="U42" s="33">
        <v>0.0</v>
      </c>
      <c r="V42" s="33">
        <v>1.0</v>
      </c>
      <c r="W42" s="36"/>
      <c r="X42" s="36"/>
      <c r="Y42" s="36"/>
    </row>
    <row r="43">
      <c r="A43" s="105">
        <v>2.0</v>
      </c>
      <c r="B43" s="106" t="s">
        <v>1155</v>
      </c>
      <c r="C43" s="40">
        <v>40.0</v>
      </c>
      <c r="D43" s="107">
        <v>1.0</v>
      </c>
      <c r="E43" s="108">
        <v>43601.0</v>
      </c>
      <c r="F43" s="42" t="str">
        <f>HYPERLINK("https://news.detik.com/kolom/d-4552232/rekonsiliasi-iran-arab-saudi-mungkinkah ","sumber")</f>
        <v>sumber</v>
      </c>
      <c r="G43" s="40" t="s">
        <v>33</v>
      </c>
      <c r="H43" s="107">
        <v>822.0</v>
      </c>
      <c r="I43" s="109"/>
      <c r="J43" s="40">
        <v>4.0</v>
      </c>
      <c r="K43" s="110"/>
      <c r="L43" s="41"/>
      <c r="M43" s="41"/>
      <c r="N43" s="41"/>
      <c r="O43" s="41"/>
      <c r="P43" s="41"/>
      <c r="Q43" s="40"/>
      <c r="R43" s="111"/>
      <c r="S43" s="40"/>
      <c r="T43" s="41"/>
      <c r="U43" s="41"/>
      <c r="V43" s="41"/>
      <c r="W43" s="41"/>
      <c r="X43" s="41"/>
      <c r="Y43" s="41"/>
    </row>
    <row r="44">
      <c r="A44" s="101">
        <v>1.0</v>
      </c>
      <c r="B44" s="96" t="s">
        <v>1156</v>
      </c>
      <c r="C44" s="33">
        <v>41.0</v>
      </c>
      <c r="D44" s="97">
        <v>6.0</v>
      </c>
      <c r="E44" s="98">
        <v>43602.0</v>
      </c>
      <c r="F44" s="35" t="str">
        <f>HYPERLINK("https://regional.kompas.com/read/2019/05/17/17341761/kontras-kritik-penghargaan-timdu-penanganan-konflik-sosial-2019-untuk-jawa ","sumber")</f>
        <v>sumber</v>
      </c>
      <c r="G44" s="35" t="str">
        <f t="shared" ref="G44:G50" si="2">HYPERLINK("https://drive.google.com/open?id=15K5sriRJOw0JTPqD9yRZzl0fwZcfdV8X","lokasi")</f>
        <v>lokasi</v>
      </c>
      <c r="H44" s="97">
        <v>288.0</v>
      </c>
      <c r="I44" s="99">
        <v>4.0</v>
      </c>
      <c r="J44" s="33">
        <v>4.0</v>
      </c>
      <c r="K44" s="102" t="s">
        <v>1157</v>
      </c>
      <c r="L44" s="33">
        <v>0.0</v>
      </c>
      <c r="M44" s="33">
        <v>0.0</v>
      </c>
      <c r="N44" s="37">
        <v>0.0</v>
      </c>
      <c r="O44" s="33">
        <v>0.0</v>
      </c>
      <c r="P44" s="33">
        <v>0.0</v>
      </c>
      <c r="Q44" s="33">
        <v>0.0</v>
      </c>
      <c r="R44" s="33">
        <v>1.0</v>
      </c>
      <c r="S44" s="33"/>
      <c r="T44" s="33">
        <v>0.0</v>
      </c>
      <c r="U44" s="33">
        <v>0.0</v>
      </c>
      <c r="V44" s="33">
        <v>1.0</v>
      </c>
      <c r="W44" s="36"/>
      <c r="X44" s="36"/>
      <c r="Y44" s="36"/>
    </row>
    <row r="45">
      <c r="A45" s="101">
        <v>1.0</v>
      </c>
      <c r="B45" s="96" t="s">
        <v>1158</v>
      </c>
      <c r="C45" s="33">
        <v>42.0</v>
      </c>
      <c r="D45" s="97">
        <v>9.0</v>
      </c>
      <c r="E45" s="98">
        <v>43604.0</v>
      </c>
      <c r="F45" s="35" t="str">
        <f>HYPERLINK("https://internasional.republika.co.id/berita/internasional/timur-tengah/prqtib368/saudi-siap-cegah-peperangan-di-teluk ","sumber")</f>
        <v>sumber</v>
      </c>
      <c r="G45" s="35" t="str">
        <f t="shared" si="2"/>
        <v>lokasi</v>
      </c>
      <c r="H45" s="97">
        <v>402.0</v>
      </c>
      <c r="I45" s="99">
        <v>1.0</v>
      </c>
      <c r="J45" s="33">
        <v>4.0</v>
      </c>
      <c r="K45" s="102" t="s">
        <v>1159</v>
      </c>
      <c r="L45" s="33">
        <v>0.0</v>
      </c>
      <c r="M45" s="33">
        <v>-1.0</v>
      </c>
      <c r="N45" s="37">
        <v>0.0</v>
      </c>
      <c r="O45" s="33">
        <v>0.0</v>
      </c>
      <c r="P45" s="33">
        <v>0.0</v>
      </c>
      <c r="Q45" s="33">
        <v>0.0</v>
      </c>
      <c r="R45" s="33">
        <v>0.0</v>
      </c>
      <c r="S45" s="33"/>
      <c r="T45" s="33">
        <v>0.0</v>
      </c>
      <c r="U45" s="33">
        <v>-1.0</v>
      </c>
      <c r="V45" s="33">
        <v>1.0</v>
      </c>
      <c r="W45" s="36"/>
      <c r="X45" s="36"/>
      <c r="Y45" s="36"/>
    </row>
    <row r="46">
      <c r="A46" s="101">
        <v>1.0</v>
      </c>
      <c r="B46" s="96" t="s">
        <v>1160</v>
      </c>
      <c r="C46" s="33">
        <v>43.0</v>
      </c>
      <c r="D46" s="97">
        <v>8.0</v>
      </c>
      <c r="E46" s="98">
        <v>43605.0</v>
      </c>
      <c r="F46" s="35" t="str">
        <f>HYPERLINK("https://www.suara.com/news/2019/05/20/152225/bedah-isi-raperda-kota-religius-depok-psi-pasal-karet-dan-diskriminatif ","sumber")</f>
        <v>sumber</v>
      </c>
      <c r="G46" s="35" t="str">
        <f t="shared" si="2"/>
        <v>lokasi</v>
      </c>
      <c r="H46" s="97">
        <v>486.0</v>
      </c>
      <c r="I46" s="99">
        <v>4.0</v>
      </c>
      <c r="J46" s="33">
        <v>4.0</v>
      </c>
      <c r="K46" s="102" t="s">
        <v>1161</v>
      </c>
      <c r="L46" s="33">
        <v>0.0</v>
      </c>
      <c r="M46" s="33">
        <v>0.0</v>
      </c>
      <c r="N46" s="37">
        <v>0.0</v>
      </c>
      <c r="O46" s="33">
        <v>0.0</v>
      </c>
      <c r="P46" s="33">
        <v>0.0</v>
      </c>
      <c r="Q46" s="33">
        <v>0.0</v>
      </c>
      <c r="R46" s="33">
        <v>1.0</v>
      </c>
      <c r="S46" s="33"/>
      <c r="T46" s="33">
        <v>0.0</v>
      </c>
      <c r="U46" s="33">
        <v>0.0</v>
      </c>
      <c r="V46" s="33">
        <v>1.0</v>
      </c>
      <c r="W46" s="36"/>
      <c r="X46" s="36"/>
      <c r="Y46" s="36"/>
    </row>
    <row r="47">
      <c r="A47" s="101">
        <v>1.0</v>
      </c>
      <c r="B47" s="96" t="s">
        <v>1162</v>
      </c>
      <c r="C47" s="33">
        <v>44.0</v>
      </c>
      <c r="D47" s="97">
        <v>7.0</v>
      </c>
      <c r="E47" s="98">
        <v>43605.0</v>
      </c>
      <c r="F47" s="35" t="str">
        <f>HYPERLINK("http://www.tribunnews.com/internasional/2019/05/20/arab-saudi-tegaskan-siap-ladeni-perang-pasca-serangan-drone-atas-fasilitas-minyaknya ","sumber")</f>
        <v>sumber</v>
      </c>
      <c r="G47" s="35" t="str">
        <f t="shared" si="2"/>
        <v>lokasi</v>
      </c>
      <c r="H47" s="97">
        <v>275.0</v>
      </c>
      <c r="I47" s="99">
        <v>1.0</v>
      </c>
      <c r="J47" s="33">
        <v>4.0</v>
      </c>
      <c r="K47" s="102" t="s">
        <v>1163</v>
      </c>
      <c r="L47" s="33">
        <v>0.0</v>
      </c>
      <c r="M47" s="33">
        <v>-1.0</v>
      </c>
      <c r="N47" s="37">
        <v>0.0</v>
      </c>
      <c r="O47" s="33">
        <v>0.0</v>
      </c>
      <c r="P47" s="33">
        <v>0.0</v>
      </c>
      <c r="Q47" s="33" t="s">
        <v>61</v>
      </c>
      <c r="R47" s="33" t="s">
        <v>61</v>
      </c>
      <c r="S47" s="33"/>
      <c r="T47" s="33">
        <v>0.0</v>
      </c>
      <c r="U47" s="33">
        <v>-1.0</v>
      </c>
      <c r="V47" s="33">
        <v>1.0</v>
      </c>
      <c r="W47" s="36"/>
      <c r="X47" s="36"/>
      <c r="Y47" s="36"/>
    </row>
    <row r="48">
      <c r="A48" s="101">
        <v>1.0</v>
      </c>
      <c r="B48" s="96" t="s">
        <v>1164</v>
      </c>
      <c r="C48" s="33">
        <v>45.0</v>
      </c>
      <c r="D48" s="97">
        <v>4.0</v>
      </c>
      <c r="E48" s="98">
        <v>43606.0</v>
      </c>
      <c r="F48" s="35" t="str">
        <f>HYPERLINK("https://www.liputan6.com/global/read/3971441/ini-balasan-iran-atas-ancaman-genosida-oleh-donald-trump ","sumber")</f>
        <v>sumber</v>
      </c>
      <c r="G48" s="35" t="str">
        <f t="shared" si="2"/>
        <v>lokasi</v>
      </c>
      <c r="H48" s="97">
        <v>564.0</v>
      </c>
      <c r="I48" s="99">
        <v>1.0</v>
      </c>
      <c r="J48" s="33">
        <v>4.0</v>
      </c>
      <c r="K48" s="102" t="s">
        <v>1165</v>
      </c>
      <c r="L48" s="33">
        <v>0.0</v>
      </c>
      <c r="M48" s="33">
        <v>-1.0</v>
      </c>
      <c r="N48" s="37">
        <v>0.0</v>
      </c>
      <c r="O48" s="33">
        <v>0.0</v>
      </c>
      <c r="P48" s="33">
        <v>0.0</v>
      </c>
      <c r="Q48" s="33" t="s">
        <v>61</v>
      </c>
      <c r="R48" s="33" t="s">
        <v>85</v>
      </c>
      <c r="S48" s="33"/>
      <c r="T48" s="33">
        <v>0.0</v>
      </c>
      <c r="U48" s="33">
        <v>-1.0</v>
      </c>
      <c r="V48" s="33">
        <v>1.0</v>
      </c>
      <c r="W48" s="36"/>
      <c r="X48" s="36"/>
      <c r="Y48" s="36"/>
    </row>
    <row r="49">
      <c r="A49" s="101">
        <v>1.0</v>
      </c>
      <c r="B49" s="96" t="s">
        <v>1166</v>
      </c>
      <c r="C49" s="33">
        <v>46.0</v>
      </c>
      <c r="D49" s="97">
        <v>10.0</v>
      </c>
      <c r="E49" s="98">
        <v>43606.0</v>
      </c>
      <c r="F49" s="35" t="str">
        <f>HYPERLINK("https://dunia.tempo.co/read/1207407/dituding-tembakkan-rudal-balistik-ke-mekah-houthi-angkat-bicara ","sumber")</f>
        <v>sumber</v>
      </c>
      <c r="G49" s="35" t="str">
        <f t="shared" si="2"/>
        <v>lokasi</v>
      </c>
      <c r="H49" s="97">
        <v>456.0</v>
      </c>
      <c r="I49" s="99">
        <v>1.0</v>
      </c>
      <c r="J49" s="33">
        <v>4.0</v>
      </c>
      <c r="K49" s="102" t="s">
        <v>1167</v>
      </c>
      <c r="L49" s="33">
        <v>0.0</v>
      </c>
      <c r="M49" s="33">
        <v>1.0</v>
      </c>
      <c r="N49" s="37">
        <v>0.0</v>
      </c>
      <c r="O49" s="33">
        <v>0.0</v>
      </c>
      <c r="P49" s="33">
        <v>0.0</v>
      </c>
      <c r="Q49" s="33">
        <v>0.0</v>
      </c>
      <c r="R49" s="33">
        <v>0.0</v>
      </c>
      <c r="S49" s="33"/>
      <c r="T49" s="33">
        <v>0.0</v>
      </c>
      <c r="U49" s="33">
        <v>-1.0</v>
      </c>
      <c r="V49" s="33">
        <v>1.0</v>
      </c>
      <c r="W49" s="36"/>
      <c r="X49" s="36"/>
      <c r="Y49" s="36"/>
    </row>
    <row r="50">
      <c r="A50" s="101">
        <v>1.0</v>
      </c>
      <c r="B50" s="96" t="s">
        <v>1168</v>
      </c>
      <c r="C50" s="33">
        <v>47.0</v>
      </c>
      <c r="D50" s="97">
        <v>3.0</v>
      </c>
      <c r="E50" s="98">
        <v>43608.0</v>
      </c>
      <c r="F50" s="35" t="str">
        <f>HYPERLINK("https://news.okezone.com/read/2019/05/23/18/2059644/arab-saudi-akan-eksekusi-tiga-ulama-setelah-ramadan ","sumber")</f>
        <v>sumber</v>
      </c>
      <c r="G50" s="35" t="str">
        <f t="shared" si="2"/>
        <v>lokasi</v>
      </c>
      <c r="H50" s="97">
        <v>355.0</v>
      </c>
      <c r="I50" s="99">
        <v>1.0</v>
      </c>
      <c r="J50" s="33">
        <v>4.0</v>
      </c>
      <c r="K50" s="102" t="s">
        <v>1169</v>
      </c>
      <c r="L50" s="33">
        <v>0.0</v>
      </c>
      <c r="M50" s="33">
        <v>1.0</v>
      </c>
      <c r="N50" s="37">
        <v>0.0</v>
      </c>
      <c r="O50" s="33">
        <v>0.0</v>
      </c>
      <c r="P50" s="33">
        <v>0.0</v>
      </c>
      <c r="Q50" s="33">
        <v>0.0</v>
      </c>
      <c r="R50" s="33">
        <v>0.0</v>
      </c>
      <c r="S50" s="33"/>
      <c r="T50" s="33">
        <v>0.0</v>
      </c>
      <c r="U50" s="33">
        <v>-1.0</v>
      </c>
      <c r="V50" s="33">
        <v>1.0</v>
      </c>
      <c r="W50" s="36"/>
      <c r="X50" s="36"/>
      <c r="Y50" s="36"/>
    </row>
    <row r="51">
      <c r="A51" s="105">
        <v>2.0</v>
      </c>
      <c r="B51" s="106" t="s">
        <v>1170</v>
      </c>
      <c r="C51" s="40">
        <v>48.0</v>
      </c>
      <c r="D51" s="107">
        <v>9.0</v>
      </c>
      <c r="E51" s="108">
        <v>43609.0</v>
      </c>
      <c r="F51" s="42" t="str">
        <f>HYPERLINK("https://internasional.republika.co.id/berita/internasional/asia/ps0nf4320/bom-meledak-di-masjid-komunitas-sunni-quetta-pakistan ","sumber")</f>
        <v>sumber</v>
      </c>
      <c r="G51" s="40" t="s">
        <v>33</v>
      </c>
      <c r="H51" s="107">
        <v>164.0</v>
      </c>
      <c r="I51" s="109"/>
      <c r="J51" s="40">
        <v>4.0</v>
      </c>
      <c r="K51" s="110"/>
      <c r="L51" s="41"/>
      <c r="M51" s="41"/>
      <c r="N51" s="41"/>
      <c r="O51" s="40"/>
      <c r="P51" s="41"/>
      <c r="Q51" s="40"/>
      <c r="R51" s="111"/>
      <c r="S51" s="40"/>
      <c r="T51" s="41"/>
      <c r="U51" s="41"/>
      <c r="V51" s="41"/>
      <c r="W51" s="41"/>
      <c r="X51" s="41"/>
      <c r="Y51" s="41"/>
    </row>
    <row r="52">
      <c r="A52" s="105">
        <v>2.0</v>
      </c>
      <c r="B52" s="106" t="s">
        <v>1171</v>
      </c>
      <c r="C52" s="40">
        <v>49.0</v>
      </c>
      <c r="D52" s="107">
        <v>10.0</v>
      </c>
      <c r="E52" s="108">
        <v>43610.0</v>
      </c>
      <c r="F52" s="42" t="str">
        <f>HYPERLINK("https://dunia.tempo.co/read/1209229/warga-minta-irak-tak-campuri-perselisihan-iran-amerika ","sumber")</f>
        <v>sumber</v>
      </c>
      <c r="G52" s="40" t="s">
        <v>33</v>
      </c>
      <c r="H52" s="107">
        <v>304.0</v>
      </c>
      <c r="I52" s="109"/>
      <c r="J52" s="40">
        <v>4.0</v>
      </c>
      <c r="K52" s="110"/>
      <c r="L52" s="41"/>
      <c r="M52" s="41"/>
      <c r="N52" s="41"/>
      <c r="O52" s="41"/>
      <c r="P52" s="41"/>
      <c r="Q52" s="40"/>
      <c r="R52" s="111"/>
      <c r="S52" s="40"/>
      <c r="T52" s="41"/>
      <c r="U52" s="41"/>
      <c r="V52" s="41"/>
      <c r="W52" s="41"/>
      <c r="X52" s="41"/>
      <c r="Y52" s="41"/>
    </row>
    <row r="53">
      <c r="A53" s="101">
        <v>1.0</v>
      </c>
      <c r="B53" s="96" t="s">
        <v>1172</v>
      </c>
      <c r="C53" s="33">
        <v>50.0</v>
      </c>
      <c r="D53" s="97">
        <v>9.0</v>
      </c>
      <c r="E53" s="98">
        <v>43627.0</v>
      </c>
      <c r="F53" s="35" t="str">
        <f>HYPERLINK("https://khazanah.republika.co.id/berita/dunia-islam/dunia/psx0b1313/menelusuri-jejak-islam-di-kepulauan-solomon ","sumber")</f>
        <v>sumber</v>
      </c>
      <c r="G53" s="35" t="str">
        <f t="shared" ref="G53:G55" si="3">HYPERLINK("https://drive.google.com/open?id=15K5sriRJOw0JTPqD9yRZzl0fwZcfdV8X","lokasi")</f>
        <v>lokasi</v>
      </c>
      <c r="H53" s="97">
        <v>407.0</v>
      </c>
      <c r="I53" s="99">
        <v>2.0</v>
      </c>
      <c r="J53" s="33">
        <v>4.0</v>
      </c>
      <c r="K53" s="102" t="s">
        <v>1173</v>
      </c>
      <c r="L53" s="33">
        <v>0.0</v>
      </c>
      <c r="M53" s="33">
        <v>0.0</v>
      </c>
      <c r="N53" s="37">
        <v>0.0</v>
      </c>
      <c r="O53" s="33">
        <v>0.0</v>
      </c>
      <c r="P53" s="33">
        <v>0.0</v>
      </c>
      <c r="Q53" s="33">
        <v>0.0</v>
      </c>
      <c r="R53" s="33">
        <v>0.0</v>
      </c>
      <c r="S53" s="33"/>
      <c r="T53" s="33">
        <v>0.0</v>
      </c>
      <c r="U53" s="33">
        <v>0.0</v>
      </c>
      <c r="V53" s="33">
        <v>1.0</v>
      </c>
      <c r="W53" s="36"/>
      <c r="X53" s="36"/>
      <c r="Y53" s="36"/>
    </row>
    <row r="54">
      <c r="A54" s="112">
        <v>1.0</v>
      </c>
      <c r="B54" s="113" t="s">
        <v>1174</v>
      </c>
      <c r="C54" s="114">
        <v>51.0</v>
      </c>
      <c r="D54" s="115">
        <v>3.0</v>
      </c>
      <c r="E54" s="116">
        <v>43629.0</v>
      </c>
      <c r="F54" s="117" t="str">
        <f>HYPERLINK("https://index.okezone.com/read/2019/06/13/614/2065994/kontroversi-zakir-naik-penceramah-kondang-yang-bikin-malaysia-dan-india-memanas","sumber")</f>
        <v>sumber</v>
      </c>
      <c r="G54" s="117" t="str">
        <f t="shared" si="3"/>
        <v>lokasi</v>
      </c>
      <c r="H54" s="115">
        <v>333.0</v>
      </c>
      <c r="I54" s="118">
        <v>1.0</v>
      </c>
      <c r="J54" s="114">
        <v>4.0</v>
      </c>
      <c r="K54" s="119" t="s">
        <v>1175</v>
      </c>
      <c r="L54" s="114">
        <v>0.0</v>
      </c>
      <c r="M54" s="50">
        <v>0.0</v>
      </c>
      <c r="N54" s="120">
        <v>0.0</v>
      </c>
      <c r="O54" s="114">
        <v>0.0</v>
      </c>
      <c r="P54" s="114">
        <v>0.0</v>
      </c>
      <c r="Q54" s="114">
        <v>0.0</v>
      </c>
      <c r="R54" s="121">
        <v>0.0</v>
      </c>
      <c r="S54" s="114"/>
      <c r="T54" s="114">
        <v>0.0</v>
      </c>
      <c r="U54" s="114">
        <v>0.0</v>
      </c>
      <c r="V54" s="114">
        <v>1.0</v>
      </c>
      <c r="W54" s="122"/>
      <c r="X54" s="122"/>
      <c r="Y54" s="122"/>
    </row>
    <row r="55">
      <c r="A55" s="101">
        <v>1.0</v>
      </c>
      <c r="B55" s="96" t="s">
        <v>1176</v>
      </c>
      <c r="C55" s="33">
        <v>52.0</v>
      </c>
      <c r="D55" s="97">
        <v>5.0</v>
      </c>
      <c r="E55" s="98">
        <v>43630.0</v>
      </c>
      <c r="F55" s="35" t="str">
        <f>HYPERLINK("https://tirto.id/ikut-demo-di-usia-10-tahun-remaja-saudi-divonis-hukuman-mati-ecfY ","sumber")</f>
        <v>sumber</v>
      </c>
      <c r="G55" s="35" t="str">
        <f t="shared" si="3"/>
        <v>lokasi</v>
      </c>
      <c r="H55" s="97">
        <v>991.0</v>
      </c>
      <c r="I55" s="99">
        <v>1.0</v>
      </c>
      <c r="J55" s="33">
        <v>4.0</v>
      </c>
      <c r="K55" s="102" t="s">
        <v>1177</v>
      </c>
      <c r="L55" s="33">
        <v>0.0</v>
      </c>
      <c r="M55" s="33">
        <v>1.0</v>
      </c>
      <c r="N55" s="37">
        <v>0.0</v>
      </c>
      <c r="O55" s="33">
        <v>0.0</v>
      </c>
      <c r="P55" s="33">
        <v>0.0</v>
      </c>
      <c r="Q55" s="33">
        <v>0.0</v>
      </c>
      <c r="R55" s="33">
        <v>1.0</v>
      </c>
      <c r="S55" s="33"/>
      <c r="T55" s="33">
        <v>0.0</v>
      </c>
      <c r="U55" s="33">
        <v>0.0</v>
      </c>
      <c r="V55" s="33">
        <v>1.0</v>
      </c>
      <c r="W55" s="36"/>
      <c r="X55" s="36"/>
      <c r="Y55" s="36"/>
    </row>
    <row r="56">
      <c r="A56" s="105">
        <v>2.0</v>
      </c>
      <c r="B56" s="106" t="s">
        <v>1178</v>
      </c>
      <c r="C56" s="40">
        <v>53.0</v>
      </c>
      <c r="D56" s="107">
        <v>1.0</v>
      </c>
      <c r="E56" s="108">
        <v>43634.0</v>
      </c>
      <c r="F56" s="42" t="str">
        <f>HYPERLINK("https://news.detik.com/kolom/d-4590828/menolak-mantan-isis ","sumber")</f>
        <v>sumber</v>
      </c>
      <c r="G56" s="40" t="s">
        <v>33</v>
      </c>
      <c r="H56" s="107">
        <v>1401.0</v>
      </c>
      <c r="I56" s="109"/>
      <c r="J56" s="40">
        <v>4.0</v>
      </c>
      <c r="K56" s="110"/>
      <c r="L56" s="41"/>
      <c r="M56" s="41"/>
      <c r="N56" s="41"/>
      <c r="O56" s="41"/>
      <c r="P56" s="41"/>
      <c r="Q56" s="40"/>
      <c r="R56" s="111"/>
      <c r="S56" s="40"/>
      <c r="T56" s="41"/>
      <c r="U56" s="41"/>
      <c r="V56" s="41"/>
      <c r="W56" s="41"/>
      <c r="X56" s="41"/>
      <c r="Y56" s="41"/>
    </row>
    <row r="57">
      <c r="A57" s="101">
        <v>1.0</v>
      </c>
      <c r="B57" s="96" t="s">
        <v>1179</v>
      </c>
      <c r="C57" s="33">
        <v>54.0</v>
      </c>
      <c r="D57" s="97">
        <v>8.0</v>
      </c>
      <c r="E57" s="98">
        <v>43638.0</v>
      </c>
      <c r="F57" s="35" t="str">
        <f>HYPERLINK("https://www.suara.com/news/2019/06/22/070256/bom-meledak-di-masjid-syiah-7-orang-tewas ","sumber")</f>
        <v>sumber</v>
      </c>
      <c r="G57" s="35" t="str">
        <f t="shared" ref="G57:G61" si="4">HYPERLINK("https://drive.google.com/open?id=15K5sriRJOw0JTPqD9yRZzl0fwZcfdV8X","lokasi")</f>
        <v>lokasi</v>
      </c>
      <c r="H57" s="97">
        <v>112.0</v>
      </c>
      <c r="I57" s="99">
        <v>1.0</v>
      </c>
      <c r="J57" s="33">
        <v>4.0</v>
      </c>
      <c r="K57" s="102" t="s">
        <v>1180</v>
      </c>
      <c r="L57" s="33">
        <v>0.0</v>
      </c>
      <c r="M57" s="33">
        <v>1.0</v>
      </c>
      <c r="N57" s="37">
        <v>0.0</v>
      </c>
      <c r="O57" s="33">
        <v>0.0</v>
      </c>
      <c r="P57" s="33">
        <v>0.0</v>
      </c>
      <c r="Q57" s="33">
        <v>-1.0</v>
      </c>
      <c r="R57" s="33">
        <v>0.0</v>
      </c>
      <c r="S57" s="33"/>
      <c r="T57" s="33">
        <v>0.0</v>
      </c>
      <c r="U57" s="33">
        <v>0.0</v>
      </c>
      <c r="V57" s="33">
        <v>1.0</v>
      </c>
      <c r="W57" s="36"/>
      <c r="X57" s="36"/>
      <c r="Y57" s="36"/>
    </row>
    <row r="58">
      <c r="A58" s="101">
        <v>1.0</v>
      </c>
      <c r="B58" s="96" t="s">
        <v>1181</v>
      </c>
      <c r="C58" s="33">
        <v>55.0</v>
      </c>
      <c r="D58" s="97">
        <v>10.0</v>
      </c>
      <c r="E58" s="98">
        <v>43641.0</v>
      </c>
      <c r="F58" s="35" t="str">
        <f>HYPERLINK("https://difabel.tempo.co/read/1218143/menyesap-wangi-kopi-barista-inklusi ","sumber")</f>
        <v>sumber</v>
      </c>
      <c r="G58" s="35" t="str">
        <f t="shared" si="4"/>
        <v>lokasi</v>
      </c>
      <c r="H58" s="97">
        <v>790.0</v>
      </c>
      <c r="I58" s="99">
        <v>2.0</v>
      </c>
      <c r="J58" s="33">
        <v>4.0</v>
      </c>
      <c r="K58" s="102" t="s">
        <v>1182</v>
      </c>
      <c r="L58" s="33">
        <v>0.0</v>
      </c>
      <c r="M58" s="33">
        <v>0.0</v>
      </c>
      <c r="N58" s="37">
        <v>0.0</v>
      </c>
      <c r="O58" s="33">
        <v>0.0</v>
      </c>
      <c r="P58" s="33">
        <v>0.0</v>
      </c>
      <c r="Q58" s="33" t="s">
        <v>191</v>
      </c>
      <c r="R58" s="33" t="s">
        <v>192</v>
      </c>
      <c r="S58" s="33"/>
      <c r="T58" s="33">
        <v>0.0</v>
      </c>
      <c r="U58" s="33">
        <v>0.0</v>
      </c>
      <c r="V58" s="33">
        <v>1.0</v>
      </c>
      <c r="W58" s="36"/>
      <c r="X58" s="36"/>
      <c r="Y58" s="36"/>
    </row>
    <row r="59">
      <c r="A59" s="101">
        <v>1.0</v>
      </c>
      <c r="B59" s="96" t="s">
        <v>1183</v>
      </c>
      <c r="C59" s="33">
        <v>56.0</v>
      </c>
      <c r="D59" s="97">
        <v>3.0</v>
      </c>
      <c r="E59" s="98">
        <v>43642.0</v>
      </c>
      <c r="F59" s="35" t="str">
        <f>HYPERLINK("https://news.okezone.com/read/2019/06/26/605/2071277/isi-petisi-aksi-halalbihalal-tahlil-akbar-di-sekitar-gedung-mk ","sumber")</f>
        <v>sumber</v>
      </c>
      <c r="G59" s="35" t="str">
        <f t="shared" si="4"/>
        <v>lokasi</v>
      </c>
      <c r="H59" s="97">
        <v>447.0</v>
      </c>
      <c r="I59" s="99">
        <v>3.0</v>
      </c>
      <c r="J59" s="33">
        <v>4.0</v>
      </c>
      <c r="K59" s="102" t="s">
        <v>1184</v>
      </c>
      <c r="L59" s="33">
        <v>0.0</v>
      </c>
      <c r="M59" s="33">
        <v>0.0</v>
      </c>
      <c r="N59" s="37">
        <v>0.0</v>
      </c>
      <c r="O59" s="33">
        <v>0.0</v>
      </c>
      <c r="P59" s="33">
        <v>0.0</v>
      </c>
      <c r="Q59" s="33">
        <v>0.0</v>
      </c>
      <c r="R59" s="33">
        <v>-1.0</v>
      </c>
      <c r="S59" s="33"/>
      <c r="T59" s="33">
        <v>0.0</v>
      </c>
      <c r="U59" s="33">
        <v>0.0</v>
      </c>
      <c r="V59" s="33">
        <v>1.0</v>
      </c>
      <c r="W59" s="36"/>
      <c r="X59" s="36"/>
      <c r="Y59" s="36"/>
    </row>
    <row r="60">
      <c r="A60" s="101">
        <v>1.0</v>
      </c>
      <c r="B60" s="96" t="s">
        <v>1185</v>
      </c>
      <c r="C60" s="33">
        <v>57.0</v>
      </c>
      <c r="D60" s="97">
        <v>8.0</v>
      </c>
      <c r="E60" s="98">
        <v>43642.0</v>
      </c>
      <c r="F60" s="35" t="str">
        <f>HYPERLINK("https://www.suara.com/news/2019/06/26/185751/gabungan-ormas-islam-sampaikan-petisi-kedaulatan-rakyat-untuk-hakim-mk ","sumber")</f>
        <v>sumber</v>
      </c>
      <c r="G60" s="35" t="str">
        <f t="shared" si="4"/>
        <v>lokasi</v>
      </c>
      <c r="H60" s="97">
        <v>486.0</v>
      </c>
      <c r="I60" s="99">
        <v>3.0</v>
      </c>
      <c r="J60" s="33">
        <v>4.0</v>
      </c>
      <c r="K60" s="102" t="s">
        <v>1186</v>
      </c>
      <c r="L60" s="33">
        <v>0.0</v>
      </c>
      <c r="M60" s="33">
        <v>0.0</v>
      </c>
      <c r="N60" s="37">
        <v>0.0</v>
      </c>
      <c r="O60" s="33">
        <v>0.0</v>
      </c>
      <c r="P60" s="33">
        <v>0.0</v>
      </c>
      <c r="Q60" s="33" t="s">
        <v>61</v>
      </c>
      <c r="R60" s="33" t="s">
        <v>685</v>
      </c>
      <c r="S60" s="33"/>
      <c r="T60" s="33">
        <v>0.0</v>
      </c>
      <c r="U60" s="33">
        <v>0.0</v>
      </c>
      <c r="V60" s="33">
        <v>1.0</v>
      </c>
      <c r="W60" s="36"/>
      <c r="X60" s="36"/>
      <c r="Y60" s="36"/>
    </row>
    <row r="61">
      <c r="A61" s="112">
        <v>1.0</v>
      </c>
      <c r="B61" s="113" t="s">
        <v>1187</v>
      </c>
      <c r="C61" s="114">
        <v>58.0</v>
      </c>
      <c r="D61" s="115">
        <v>8.0</v>
      </c>
      <c r="E61" s="116">
        <v>43669.0</v>
      </c>
      <c r="F61" s="117" t="str">
        <f>HYPERLINK("https://www.suara.com/news/2019/07/23/181552/indonesia-akhirnya-akui-dan-atur-pernikahan-umat-penghayat-kepercayaan","sumber")</f>
        <v>sumber</v>
      </c>
      <c r="G61" s="117" t="str">
        <f t="shared" si="4"/>
        <v>lokasi</v>
      </c>
      <c r="H61" s="115">
        <v>312.0</v>
      </c>
      <c r="I61" s="118">
        <v>4.0</v>
      </c>
      <c r="J61" s="114">
        <v>4.0</v>
      </c>
      <c r="K61" s="119"/>
      <c r="L61" s="114">
        <v>0.0</v>
      </c>
      <c r="M61" s="114">
        <v>0.0</v>
      </c>
      <c r="N61" s="120">
        <v>0.0</v>
      </c>
      <c r="O61" s="114">
        <v>0.0</v>
      </c>
      <c r="P61" s="114">
        <v>0.0</v>
      </c>
      <c r="Q61" s="114"/>
      <c r="R61" s="121"/>
      <c r="S61" s="114"/>
      <c r="T61" s="114">
        <v>0.0</v>
      </c>
      <c r="U61" s="114">
        <v>0.0</v>
      </c>
      <c r="V61" s="114">
        <v>1.0</v>
      </c>
      <c r="W61" s="122"/>
      <c r="X61" s="122"/>
      <c r="Y61" s="122"/>
    </row>
    <row r="62">
      <c r="A62" s="105">
        <v>2.0</v>
      </c>
      <c r="B62" s="106" t="s">
        <v>1188</v>
      </c>
      <c r="C62" s="40">
        <v>59.0</v>
      </c>
      <c r="D62" s="107">
        <v>6.0</v>
      </c>
      <c r="E62" s="108">
        <v>43652.0</v>
      </c>
      <c r="F62" s="42" t="str">
        <f>HYPERLINK("https://internasional.kompas.com/read/2019/07/06/22033771/serangan-mortir-hantam-pasar-di-afghanistan-14-orang-tewas ","sumber")</f>
        <v>sumber</v>
      </c>
      <c r="G62" s="40" t="s">
        <v>33</v>
      </c>
      <c r="H62" s="107">
        <v>357.0</v>
      </c>
      <c r="I62" s="109"/>
      <c r="J62" s="40">
        <v>4.0</v>
      </c>
      <c r="K62" s="110"/>
      <c r="L62" s="41"/>
      <c r="M62" s="41"/>
      <c r="N62" s="41"/>
      <c r="O62" s="41"/>
      <c r="P62" s="41"/>
      <c r="Q62" s="40"/>
      <c r="R62" s="111"/>
      <c r="S62" s="40"/>
      <c r="T62" s="41"/>
      <c r="U62" s="41"/>
      <c r="V62" s="41"/>
      <c r="W62" s="41"/>
      <c r="X62" s="41"/>
      <c r="Y62" s="41"/>
    </row>
    <row r="63">
      <c r="A63" s="105">
        <v>2.0</v>
      </c>
      <c r="B63" s="106" t="s">
        <v>1189</v>
      </c>
      <c r="C63" s="40">
        <v>60.0</v>
      </c>
      <c r="D63" s="107">
        <v>6.0</v>
      </c>
      <c r="E63" s="108">
        <v>43668.0</v>
      </c>
      <c r="F63" s="42" t="str">
        <f>HYPERLINK("https://regional.kompas.com/read/2019/07/22/16595261/21-tahun-terpisah-dari-keluarga-tki-asal-cirebon-tiba-di-kampung-halaman ","sumber")</f>
        <v>sumber</v>
      </c>
      <c r="G63" s="40" t="s">
        <v>33</v>
      </c>
      <c r="H63" s="107">
        <v>354.0</v>
      </c>
      <c r="I63" s="109"/>
      <c r="J63" s="40">
        <v>4.0</v>
      </c>
      <c r="K63" s="110"/>
      <c r="L63" s="41"/>
      <c r="M63" s="41"/>
      <c r="N63" s="41"/>
      <c r="O63" s="41"/>
      <c r="P63" s="41"/>
      <c r="Q63" s="40"/>
      <c r="R63" s="111"/>
      <c r="S63" s="40"/>
      <c r="T63" s="41"/>
      <c r="U63" s="41"/>
      <c r="V63" s="41"/>
      <c r="W63" s="41"/>
      <c r="X63" s="41"/>
      <c r="Y63" s="41"/>
    </row>
    <row r="64">
      <c r="A64" s="101">
        <v>1.0</v>
      </c>
      <c r="B64" s="96" t="s">
        <v>1190</v>
      </c>
      <c r="C64" s="33">
        <v>61.0</v>
      </c>
      <c r="D64" s="97">
        <v>9.0</v>
      </c>
      <c r="E64" s="98">
        <v>43670.0</v>
      </c>
      <c r="F64" s="35" t="str">
        <f>HYPERLINK("https://internasional.republika.co.id/berita/pv54f4/pembakar-masjid-di-melbourne-dipenjara-lebih-dari-16-tahun ","sumber")</f>
        <v>sumber</v>
      </c>
      <c r="G64" s="35" t="str">
        <f t="shared" ref="G64:G65" si="5">HYPERLINK("https://drive.google.com/open?id=15K5sriRJOw0JTPqD9yRZzl0fwZcfdV8X","lokasi")</f>
        <v>lokasi</v>
      </c>
      <c r="H64" s="97">
        <v>427.0</v>
      </c>
      <c r="I64" s="99">
        <v>1.0</v>
      </c>
      <c r="J64" s="33">
        <v>4.0</v>
      </c>
      <c r="K64" s="102" t="s">
        <v>1191</v>
      </c>
      <c r="L64" s="33">
        <v>0.0</v>
      </c>
      <c r="M64" s="33">
        <v>1.0</v>
      </c>
      <c r="N64" s="37">
        <v>0.0</v>
      </c>
      <c r="O64" s="33">
        <v>0.0</v>
      </c>
      <c r="P64" s="33">
        <v>0.0</v>
      </c>
      <c r="Q64" s="33">
        <v>0.0</v>
      </c>
      <c r="R64" s="33">
        <v>1.0</v>
      </c>
      <c r="S64" s="33"/>
      <c r="T64" s="33">
        <v>0.0</v>
      </c>
      <c r="U64" s="33">
        <v>0.0</v>
      </c>
      <c r="V64" s="33">
        <v>1.0</v>
      </c>
      <c r="W64" s="36"/>
      <c r="X64" s="36"/>
      <c r="Y64" s="36"/>
    </row>
    <row r="65">
      <c r="A65" s="101">
        <v>1.0</v>
      </c>
      <c r="B65" s="96" t="s">
        <v>1192</v>
      </c>
      <c r="C65" s="33">
        <v>62.0</v>
      </c>
      <c r="D65" s="97">
        <v>6.0</v>
      </c>
      <c r="E65" s="98">
        <v>43672.0</v>
      </c>
      <c r="F65" s="35" t="str">
        <f>HYPERLINK("https://regional.kompas.com/read/2019/07/26/16030541/saat-perbedaan-keyakinan-tak-halangi-warga-blitar-bantu-bangun-pura-yang ","sumber")</f>
        <v>sumber</v>
      </c>
      <c r="G65" s="35" t="str">
        <f t="shared" si="5"/>
        <v>lokasi</v>
      </c>
      <c r="H65" s="97">
        <v>349.0</v>
      </c>
      <c r="I65" s="99">
        <v>2.0</v>
      </c>
      <c r="J65" s="33">
        <v>4.0</v>
      </c>
      <c r="K65" s="102" t="s">
        <v>1193</v>
      </c>
      <c r="L65" s="33">
        <v>0.0</v>
      </c>
      <c r="M65" s="33">
        <v>0.0</v>
      </c>
      <c r="N65" s="37">
        <v>0.0</v>
      </c>
      <c r="O65" s="33">
        <v>0.0</v>
      </c>
      <c r="P65" s="33">
        <v>0.0</v>
      </c>
      <c r="Q65" s="33" t="s">
        <v>61</v>
      </c>
      <c r="R65" s="33" t="s">
        <v>192</v>
      </c>
      <c r="S65" s="33"/>
      <c r="T65" s="33">
        <v>0.0</v>
      </c>
      <c r="U65" s="33">
        <v>0.0</v>
      </c>
      <c r="V65" s="33">
        <v>1.0</v>
      </c>
      <c r="W65" s="36"/>
      <c r="X65" s="36"/>
      <c r="Y65" s="36"/>
    </row>
    <row r="66">
      <c r="A66" s="105">
        <v>2.0</v>
      </c>
      <c r="B66" s="106" t="s">
        <v>1194</v>
      </c>
      <c r="C66" s="40">
        <v>63.0</v>
      </c>
      <c r="D66" s="107">
        <v>7.0</v>
      </c>
      <c r="E66" s="108">
        <v>43674.0</v>
      </c>
      <c r="F66" s="42" t="str">
        <f>HYPERLINK("https://www.tribunnews.com/regional/2019/07/28/ini-daftar-tkw-asal-cirebon-terjerat-masalah-di-arab-saudi-dua-orang-tak-diketahui-nasibnya ","sumber")</f>
        <v>sumber</v>
      </c>
      <c r="G66" s="40" t="s">
        <v>33</v>
      </c>
      <c r="H66" s="107">
        <v>230.0</v>
      </c>
      <c r="I66" s="109"/>
      <c r="J66" s="40">
        <v>4.0</v>
      </c>
      <c r="K66" s="110"/>
      <c r="L66" s="41"/>
      <c r="M66" s="41"/>
      <c r="N66" s="41"/>
      <c r="O66" s="41"/>
      <c r="P66" s="41"/>
      <c r="Q66" s="40"/>
      <c r="R66" s="111"/>
      <c r="S66" s="40"/>
      <c r="T66" s="41"/>
      <c r="U66" s="41"/>
      <c r="V66" s="41"/>
      <c r="W66" s="41"/>
      <c r="X66" s="41"/>
      <c r="Y66" s="41"/>
    </row>
    <row r="67">
      <c r="A67" s="105">
        <v>2.0</v>
      </c>
      <c r="B67" s="106" t="s">
        <v>1195</v>
      </c>
      <c r="C67" s="40">
        <v>64.0</v>
      </c>
      <c r="D67" s="107">
        <v>3.0</v>
      </c>
      <c r="E67" s="108">
        <v>43675.0</v>
      </c>
      <c r="F67" s="42" t="str">
        <f>HYPERLINK("https://news.okezone.com/read/2019/07/29/337/2084789/peristiwa-29-juli-kelahiran-diktator-italia-benito-mussolini-hingga-terbakarnya-kapal-as-di-pantai-vietnam ","sumber")</f>
        <v>sumber</v>
      </c>
      <c r="G67" s="40" t="s">
        <v>33</v>
      </c>
      <c r="H67" s="107">
        <v>370.0</v>
      </c>
      <c r="I67" s="109"/>
      <c r="J67" s="40">
        <v>4.0</v>
      </c>
      <c r="K67" s="110"/>
      <c r="L67" s="41"/>
      <c r="M67" s="41"/>
      <c r="N67" s="41"/>
      <c r="O67" s="41"/>
      <c r="P67" s="41"/>
      <c r="Q67" s="40"/>
      <c r="R67" s="111"/>
      <c r="S67" s="40"/>
      <c r="T67" s="41"/>
      <c r="U67" s="41"/>
      <c r="V67" s="41"/>
      <c r="W67" s="41"/>
      <c r="X67" s="41"/>
      <c r="Y67" s="41"/>
    </row>
    <row r="68">
      <c r="A68" s="105">
        <v>2.0</v>
      </c>
      <c r="B68" s="106" t="s">
        <v>1196</v>
      </c>
      <c r="C68" s="40">
        <v>65.0</v>
      </c>
      <c r="D68" s="107">
        <v>9.0</v>
      </c>
      <c r="E68" s="108">
        <v>43676.0</v>
      </c>
      <c r="F68" s="42" t="str">
        <f>HYPERLINK("https://khazanah.republika.co.id/berita/pvfkil313/mengenal-kafe-alfishawy ","sumber")</f>
        <v>sumber</v>
      </c>
      <c r="G68" s="40" t="s">
        <v>33</v>
      </c>
      <c r="H68" s="107">
        <v>408.0</v>
      </c>
      <c r="I68" s="109"/>
      <c r="J68" s="40">
        <v>4.0</v>
      </c>
      <c r="K68" s="110"/>
      <c r="L68" s="41"/>
      <c r="M68" s="41"/>
      <c r="N68" s="41"/>
      <c r="O68" s="41"/>
      <c r="P68" s="41"/>
      <c r="Q68" s="40"/>
      <c r="R68" s="111"/>
      <c r="S68" s="40"/>
      <c r="T68" s="41"/>
      <c r="U68" s="41"/>
      <c r="V68" s="41"/>
      <c r="W68" s="41"/>
      <c r="X68" s="41"/>
      <c r="Y68" s="41"/>
    </row>
    <row r="69">
      <c r="A69" s="105">
        <v>2.0</v>
      </c>
      <c r="B69" s="106" t="s">
        <v>1197</v>
      </c>
      <c r="C69" s="40">
        <v>66.0</v>
      </c>
      <c r="D69" s="107">
        <v>3.0</v>
      </c>
      <c r="E69" s="108">
        <v>43679.0</v>
      </c>
      <c r="F69" s="42" t="str">
        <f>HYPERLINK("https://news.okezone.com/read/2019/08/02/65/2086792/10-daftar-kampus-indonesia-di-world-class-university ","sumber")</f>
        <v>sumber</v>
      </c>
      <c r="G69" s="40" t="s">
        <v>33</v>
      </c>
      <c r="H69" s="107">
        <v>439.0</v>
      </c>
      <c r="I69" s="109"/>
      <c r="J69" s="40">
        <v>4.0</v>
      </c>
      <c r="K69" s="110"/>
      <c r="L69" s="41"/>
      <c r="M69" s="41"/>
      <c r="N69" s="41"/>
      <c r="O69" s="41"/>
      <c r="P69" s="41"/>
      <c r="Q69" s="40"/>
      <c r="R69" s="111"/>
      <c r="S69" s="40"/>
      <c r="T69" s="41"/>
      <c r="U69" s="41"/>
      <c r="V69" s="41"/>
      <c r="W69" s="41"/>
      <c r="X69" s="41"/>
      <c r="Y69" s="41"/>
    </row>
    <row r="70">
      <c r="A70" s="101">
        <v>1.0</v>
      </c>
      <c r="B70" s="96" t="s">
        <v>1198</v>
      </c>
      <c r="C70" s="33">
        <v>67.0</v>
      </c>
      <c r="D70" s="97">
        <v>3.0</v>
      </c>
      <c r="E70" s="98">
        <v>43685.0</v>
      </c>
      <c r="F70" s="35" t="str">
        <f>HYPERLINK("https://news.okezone.com/read/2019/08/08/340/2089480/mengaku-telah-mati-7-kali-dan-bertemu-allah-pria-di-aceh-ditangkap-polisi ","sumber")</f>
        <v>sumber</v>
      </c>
      <c r="G70" s="35" t="str">
        <f t="shared" ref="G70:G72" si="6">HYPERLINK("https://drive.google.com/open?id=15K5sriRJOw0JTPqD9yRZzl0fwZcfdV8X","lokasi")</f>
        <v>lokasi</v>
      </c>
      <c r="H70" s="97">
        <v>408.0</v>
      </c>
      <c r="I70" s="99">
        <v>2.0</v>
      </c>
      <c r="J70" s="33">
        <v>4.0</v>
      </c>
      <c r="K70" s="102" t="s">
        <v>1199</v>
      </c>
      <c r="L70" s="33">
        <v>0.0</v>
      </c>
      <c r="M70" s="33">
        <v>0.0</v>
      </c>
      <c r="N70" s="37">
        <v>0.0</v>
      </c>
      <c r="O70" s="33">
        <v>0.0</v>
      </c>
      <c r="P70" s="33">
        <v>0.0</v>
      </c>
      <c r="Q70" s="33">
        <v>0.0</v>
      </c>
      <c r="R70" s="33">
        <v>-1.0</v>
      </c>
      <c r="S70" s="33" t="s">
        <v>1200</v>
      </c>
      <c r="T70" s="33">
        <v>2.0</v>
      </c>
      <c r="U70" s="33">
        <v>0.0</v>
      </c>
      <c r="V70" s="33">
        <v>0.0</v>
      </c>
      <c r="W70" s="36"/>
      <c r="X70" s="36"/>
      <c r="Y70" s="36"/>
    </row>
    <row r="71">
      <c r="A71" s="101">
        <v>1.0</v>
      </c>
      <c r="B71" s="96" t="s">
        <v>1201</v>
      </c>
      <c r="C71" s="33">
        <v>68.0</v>
      </c>
      <c r="D71" s="97">
        <v>5.0</v>
      </c>
      <c r="E71" s="98">
        <v>43685.0</v>
      </c>
      <c r="F71" s="35" t="str">
        <f>HYPERLINK("https://tirto.id/kisah-pindah-agama-kegelisahan-iman-itu-normal-efSK ","sumber")</f>
        <v>sumber</v>
      </c>
      <c r="G71" s="35" t="str">
        <f t="shared" si="6"/>
        <v>lokasi</v>
      </c>
      <c r="H71" s="97">
        <v>2196.0</v>
      </c>
      <c r="I71" s="99">
        <v>2.0</v>
      </c>
      <c r="J71" s="33">
        <v>4.0</v>
      </c>
      <c r="K71" s="102" t="s">
        <v>1202</v>
      </c>
      <c r="L71" s="33">
        <v>0.0</v>
      </c>
      <c r="M71" s="33">
        <v>0.0</v>
      </c>
      <c r="N71" s="37">
        <v>0.0</v>
      </c>
      <c r="O71" s="33">
        <v>0.0</v>
      </c>
      <c r="P71" s="33">
        <v>0.0</v>
      </c>
      <c r="Q71" s="33" t="s">
        <v>202</v>
      </c>
      <c r="R71" s="33" t="s">
        <v>202</v>
      </c>
      <c r="S71" s="33"/>
      <c r="T71" s="33">
        <v>0.0</v>
      </c>
      <c r="U71" s="33">
        <v>0.0</v>
      </c>
      <c r="V71" s="33">
        <v>1.0</v>
      </c>
      <c r="W71" s="36"/>
      <c r="X71" s="36"/>
      <c r="Y71" s="36"/>
    </row>
    <row r="72">
      <c r="A72" s="101">
        <v>1.0</v>
      </c>
      <c r="B72" s="96" t="s">
        <v>1203</v>
      </c>
      <c r="C72" s="33">
        <v>69.0</v>
      </c>
      <c r="D72" s="97">
        <v>10.0</v>
      </c>
      <c r="E72" s="98">
        <v>43686.0</v>
      </c>
      <c r="F72" s="35" t="str">
        <f>HYPERLINK("https://nasional.tempo.co/read/1234101/9-isu-ham-dalam-surat-human-rights-watch-untuk-jokowi ","sumber")</f>
        <v>sumber</v>
      </c>
      <c r="G72" s="35" t="str">
        <f t="shared" si="6"/>
        <v>lokasi</v>
      </c>
      <c r="H72" s="97">
        <v>312.0</v>
      </c>
      <c r="I72" s="99">
        <v>4.0</v>
      </c>
      <c r="J72" s="33">
        <v>4.0</v>
      </c>
      <c r="K72" s="102" t="s">
        <v>1204</v>
      </c>
      <c r="L72" s="33">
        <v>0.0</v>
      </c>
      <c r="M72" s="33">
        <v>0.0</v>
      </c>
      <c r="N72" s="37">
        <v>0.0</v>
      </c>
      <c r="O72" s="33">
        <v>0.0</v>
      </c>
      <c r="P72" s="33">
        <v>0.0</v>
      </c>
      <c r="Q72" s="33">
        <v>0.0</v>
      </c>
      <c r="R72" s="33">
        <v>1.0</v>
      </c>
      <c r="S72" s="33"/>
      <c r="T72" s="33">
        <v>0.0</v>
      </c>
      <c r="U72" s="33">
        <v>0.0</v>
      </c>
      <c r="V72" s="33">
        <v>1.0</v>
      </c>
      <c r="W72" s="36"/>
      <c r="X72" s="36"/>
      <c r="Y72" s="36"/>
    </row>
    <row r="73">
      <c r="A73" s="105">
        <v>2.0</v>
      </c>
      <c r="B73" s="106" t="s">
        <v>1205</v>
      </c>
      <c r="C73" s="40">
        <v>70.0</v>
      </c>
      <c r="D73" s="107">
        <v>10.0</v>
      </c>
      <c r="E73" s="108">
        <v>43695.0</v>
      </c>
      <c r="F73" s="42" t="str">
        <f>HYPERLINK("https://dunia.tempo.co/read/1237460/bom-bunuh-diri-di-pernikahan-afganistan-63-tewas-dan-182-luka ","sumber")</f>
        <v>sumber</v>
      </c>
      <c r="G73" s="40" t="s">
        <v>33</v>
      </c>
      <c r="H73" s="107">
        <v>406.0</v>
      </c>
      <c r="I73" s="109"/>
      <c r="J73" s="40">
        <v>4.0</v>
      </c>
      <c r="K73" s="110"/>
      <c r="L73" s="41"/>
      <c r="M73" s="41"/>
      <c r="N73" s="41"/>
      <c r="O73" s="41"/>
      <c r="P73" s="41"/>
      <c r="Q73" s="40"/>
      <c r="R73" s="111"/>
      <c r="S73" s="40"/>
      <c r="T73" s="41"/>
      <c r="U73" s="41"/>
      <c r="V73" s="41"/>
      <c r="W73" s="41"/>
      <c r="X73" s="41"/>
      <c r="Y73" s="41"/>
    </row>
    <row r="74">
      <c r="A74" s="105">
        <v>2.0</v>
      </c>
      <c r="B74" s="106" t="s">
        <v>1206</v>
      </c>
      <c r="C74" s="40">
        <v>71.0</v>
      </c>
      <c r="D74" s="107">
        <v>1.0</v>
      </c>
      <c r="E74" s="108">
        <v>43696.0</v>
      </c>
      <c r="F74" s="42" t="str">
        <f>HYPERLINK("https://news.detik.com/bbc-world/d-4672349/pesta-pernikahan-disasar-bom-pengantin-pria-di-afganistan-hilang-harapan ","sumber")</f>
        <v>sumber</v>
      </c>
      <c r="G74" s="40" t="s">
        <v>33</v>
      </c>
      <c r="H74" s="107">
        <v>646.0</v>
      </c>
      <c r="I74" s="109"/>
      <c r="J74" s="40">
        <v>4.0</v>
      </c>
      <c r="K74" s="110"/>
      <c r="L74" s="41"/>
      <c r="M74" s="41"/>
      <c r="N74" s="41"/>
      <c r="O74" s="41"/>
      <c r="P74" s="41"/>
      <c r="Q74" s="40"/>
      <c r="R74" s="111"/>
      <c r="S74" s="40"/>
      <c r="T74" s="41"/>
      <c r="U74" s="41"/>
      <c r="V74" s="41"/>
      <c r="W74" s="41"/>
      <c r="X74" s="41"/>
      <c r="Y74" s="41"/>
    </row>
    <row r="75">
      <c r="A75" s="105">
        <v>2.0</v>
      </c>
      <c r="B75" s="106" t="s">
        <v>1207</v>
      </c>
      <c r="C75" s="40">
        <v>72.0</v>
      </c>
      <c r="D75" s="107">
        <v>7.0</v>
      </c>
      <c r="E75" s="108">
        <v>43709.0</v>
      </c>
      <c r="F75" s="42" t="str">
        <f>HYPERLINK("https://www.tribunnews.com/nasional/2019/09/01/pengamat-politik-dosen-universitas-syiah-kuala-jadi-tersangka-kasus-dugaan-pencemaran-nama-baik ","sumber")</f>
        <v>sumber</v>
      </c>
      <c r="G75" s="40" t="s">
        <v>33</v>
      </c>
      <c r="H75" s="107">
        <v>243.0</v>
      </c>
      <c r="I75" s="109"/>
      <c r="J75" s="40">
        <v>4.0</v>
      </c>
      <c r="K75" s="110"/>
      <c r="L75" s="41"/>
      <c r="M75" s="41"/>
      <c r="N75" s="41"/>
      <c r="O75" s="41"/>
      <c r="P75" s="41"/>
      <c r="Q75" s="40"/>
      <c r="R75" s="111"/>
      <c r="S75" s="40"/>
      <c r="T75" s="41"/>
      <c r="U75" s="41"/>
      <c r="V75" s="41"/>
      <c r="W75" s="41"/>
      <c r="X75" s="41"/>
      <c r="Y75" s="41"/>
    </row>
    <row r="76">
      <c r="A76" s="105">
        <v>2.0</v>
      </c>
      <c r="B76" s="106" t="s">
        <v>1208</v>
      </c>
      <c r="C76" s="40">
        <v>73.0</v>
      </c>
      <c r="D76" s="107">
        <v>1.0</v>
      </c>
      <c r="E76" s="108">
        <v>43710.0</v>
      </c>
      <c r="F76" s="42" t="str">
        <f>HYPERLINK("https://finance.detik.com/berita-ekonomi-bisnis/d-4690522/ajak-milenial-kuasai-teknologi-jk-contohkan-bos-gojek-dan-bukalapak ","sumber")</f>
        <v>sumber</v>
      </c>
      <c r="G76" s="40" t="s">
        <v>33</v>
      </c>
      <c r="H76" s="107">
        <v>335.0</v>
      </c>
      <c r="I76" s="109"/>
      <c r="J76" s="40">
        <v>4.0</v>
      </c>
      <c r="K76" s="110"/>
      <c r="L76" s="41"/>
      <c r="M76" s="41"/>
      <c r="N76" s="41"/>
      <c r="O76" s="41"/>
      <c r="P76" s="41"/>
      <c r="Q76" s="40"/>
      <c r="R76" s="111"/>
      <c r="S76" s="40"/>
      <c r="T76" s="41"/>
      <c r="U76" s="41"/>
      <c r="V76" s="41"/>
      <c r="W76" s="41"/>
      <c r="X76" s="41"/>
      <c r="Y76" s="41"/>
    </row>
    <row r="77">
      <c r="A77" s="105">
        <v>2.0</v>
      </c>
      <c r="B77" s="106" t="s">
        <v>1209</v>
      </c>
      <c r="C77" s="40">
        <v>74.0</v>
      </c>
      <c r="D77" s="107">
        <v>7.0</v>
      </c>
      <c r="E77" s="108">
        <v>43710.0</v>
      </c>
      <c r="F77" s="42" t="str">
        <f>HYPERLINK("https://www.tribunnews.com/internasional/2019/09/02/di-ambang-perang-israel-vs-hizbullah-saling-lepas-rudal-di-perbatasan-lebanon ","sumber")</f>
        <v>sumber</v>
      </c>
      <c r="G77" s="40" t="s">
        <v>33</v>
      </c>
      <c r="H77" s="107">
        <v>182.0</v>
      </c>
      <c r="I77" s="109"/>
      <c r="J77" s="40">
        <v>4.0</v>
      </c>
      <c r="K77" s="110"/>
      <c r="L77" s="41"/>
      <c r="M77" s="41"/>
      <c r="N77" s="41"/>
      <c r="O77" s="41"/>
      <c r="P77" s="41"/>
      <c r="Q77" s="40"/>
      <c r="R77" s="111"/>
      <c r="S77" s="40"/>
      <c r="T77" s="41"/>
      <c r="U77" s="41"/>
      <c r="V77" s="41"/>
      <c r="W77" s="41"/>
      <c r="X77" s="41"/>
      <c r="Y77" s="41"/>
    </row>
    <row r="78">
      <c r="A78" s="101">
        <v>1.0</v>
      </c>
      <c r="B78" s="96" t="s">
        <v>1210</v>
      </c>
      <c r="C78" s="33">
        <v>75.0</v>
      </c>
      <c r="D78" s="97">
        <v>6.0</v>
      </c>
      <c r="E78" s="98">
        <v>43473.0</v>
      </c>
      <c r="F78" s="35" t="str">
        <f>HYPERLINK("https://regional.kompas.com/read/2019/01/08/22255081/dua-bocah-tewas-dalam-kebakaran-di-ambon ","sumber")</f>
        <v>sumber</v>
      </c>
      <c r="G78" s="35" t="str">
        <f t="shared" ref="G78:G81" si="7">HYPERLINK("https://drive.google.com/open?id=15K5sriRJOw0JTPqD9yRZzl0fwZcfdV8X","lokasi")</f>
        <v>lokasi</v>
      </c>
      <c r="H78" s="97">
        <v>277.0</v>
      </c>
      <c r="I78" s="99">
        <v>1.0</v>
      </c>
      <c r="J78" s="33">
        <v>2.0</v>
      </c>
      <c r="K78" s="102" t="s">
        <v>1211</v>
      </c>
      <c r="L78" s="33">
        <v>0.0</v>
      </c>
      <c r="M78" s="50">
        <v>0.0</v>
      </c>
      <c r="N78" s="37">
        <v>0.0</v>
      </c>
      <c r="O78" s="33">
        <v>0.0</v>
      </c>
      <c r="P78" s="33">
        <v>0.0</v>
      </c>
      <c r="Q78" s="33" t="s">
        <v>61</v>
      </c>
      <c r="R78" s="33" t="s">
        <v>85</v>
      </c>
      <c r="S78" s="33" t="s">
        <v>1212</v>
      </c>
      <c r="T78" s="33">
        <v>1.0</v>
      </c>
      <c r="U78" s="33">
        <v>-1.0</v>
      </c>
      <c r="V78" s="33">
        <v>1.0</v>
      </c>
      <c r="W78" s="36"/>
      <c r="X78" s="36"/>
      <c r="Y78" s="36"/>
    </row>
    <row r="79">
      <c r="A79" s="112">
        <v>1.0</v>
      </c>
      <c r="B79" s="113" t="s">
        <v>1213</v>
      </c>
      <c r="C79" s="114">
        <v>76.0</v>
      </c>
      <c r="D79" s="115">
        <v>1.0</v>
      </c>
      <c r="E79" s="116">
        <v>43484.0</v>
      </c>
      <c r="F79" s="117" t="str">
        <f>HYPERLINK("https://news.detik.com/berita/d-4391652/sudah-lama-mati-hotline-cegah-bunuh-diri-akan-dihidupkan-lagi ","sumber")</f>
        <v>sumber</v>
      </c>
      <c r="G79" s="117" t="str">
        <f t="shared" si="7"/>
        <v>lokasi</v>
      </c>
      <c r="H79" s="115">
        <v>969.0</v>
      </c>
      <c r="I79" s="118">
        <v>4.0</v>
      </c>
      <c r="J79" s="114">
        <v>2.0</v>
      </c>
      <c r="K79" s="119" t="s">
        <v>1214</v>
      </c>
      <c r="L79" s="114">
        <v>0.0</v>
      </c>
      <c r="M79" s="114">
        <v>0.0</v>
      </c>
      <c r="N79" s="120">
        <v>0.0</v>
      </c>
      <c r="O79" s="114">
        <v>0.0</v>
      </c>
      <c r="P79" s="114">
        <v>0.0</v>
      </c>
      <c r="Q79" s="114" t="s">
        <v>61</v>
      </c>
      <c r="R79" s="121" t="s">
        <v>61</v>
      </c>
      <c r="S79" s="114"/>
      <c r="T79" s="114">
        <v>0.0</v>
      </c>
      <c r="U79" s="114">
        <v>0.0</v>
      </c>
      <c r="V79" s="114">
        <v>1.0</v>
      </c>
      <c r="W79" s="122"/>
      <c r="X79" s="122"/>
      <c r="Y79" s="122"/>
    </row>
    <row r="80">
      <c r="A80" s="112">
        <v>1.0</v>
      </c>
      <c r="B80" s="113" t="s">
        <v>1215</v>
      </c>
      <c r="C80" s="114">
        <v>77.0</v>
      </c>
      <c r="D80" s="115">
        <v>8.0</v>
      </c>
      <c r="E80" s="116">
        <v>43494.0</v>
      </c>
      <c r="F80" s="117" t="str">
        <f>HYPERLINK("https://www.suara.com/lifestyle/2019/01/29/100500/pengguna-kursi-roda-dilarang-naik-pesawat","sumber")</f>
        <v>sumber</v>
      </c>
      <c r="G80" s="117" t="str">
        <f t="shared" si="7"/>
        <v>lokasi</v>
      </c>
      <c r="H80" s="115">
        <v>292.0</v>
      </c>
      <c r="I80" s="118">
        <v>1.0</v>
      </c>
      <c r="J80" s="114">
        <v>2.0</v>
      </c>
      <c r="K80" s="119" t="s">
        <v>1216</v>
      </c>
      <c r="L80" s="114">
        <v>0.0</v>
      </c>
      <c r="M80" s="50">
        <v>0.0</v>
      </c>
      <c r="N80" s="120">
        <v>0.0</v>
      </c>
      <c r="O80" s="114">
        <v>0.0</v>
      </c>
      <c r="P80" s="114">
        <v>-1.0</v>
      </c>
      <c r="Q80" s="114">
        <v>2.0</v>
      </c>
      <c r="R80" s="121">
        <v>1.0</v>
      </c>
      <c r="S80" s="114"/>
      <c r="T80" s="114">
        <v>0.0</v>
      </c>
      <c r="U80" s="114">
        <v>0.0</v>
      </c>
      <c r="V80" s="114">
        <v>1.0</v>
      </c>
      <c r="W80" s="122"/>
      <c r="X80" s="122"/>
      <c r="Y80" s="122"/>
    </row>
    <row r="81">
      <c r="A81" s="112">
        <v>1.0</v>
      </c>
      <c r="B81" s="113" t="s">
        <v>1217</v>
      </c>
      <c r="C81" s="114">
        <v>78.0</v>
      </c>
      <c r="D81" s="115">
        <v>7.0</v>
      </c>
      <c r="E81" s="116">
        <v>43480.0</v>
      </c>
      <c r="F81" s="117" t="str">
        <f>HYPERLINK("http://www.tribunnews.com/regional/2019/01/15/seorang-kakek-tak-beridentitas-tiba-tiba-ambruk-lalu-meninggal-di-jalan-raya-babat-bojonegoro","sumber")</f>
        <v>sumber</v>
      </c>
      <c r="G81" s="117" t="str">
        <f t="shared" si="7"/>
        <v>lokasi</v>
      </c>
      <c r="H81" s="115">
        <v>218.0</v>
      </c>
      <c r="I81" s="118">
        <v>1.0</v>
      </c>
      <c r="J81" s="114">
        <v>2.0</v>
      </c>
      <c r="K81" s="119" t="s">
        <v>1218</v>
      </c>
      <c r="L81" s="114">
        <v>0.0</v>
      </c>
      <c r="M81" s="50">
        <v>0.0</v>
      </c>
      <c r="N81" s="120">
        <v>0.0</v>
      </c>
      <c r="O81" s="114">
        <v>0.0</v>
      </c>
      <c r="P81" s="114">
        <v>0.0</v>
      </c>
      <c r="Q81" s="114" t="s">
        <v>61</v>
      </c>
      <c r="R81" s="121" t="s">
        <v>85</v>
      </c>
      <c r="S81" s="114"/>
      <c r="T81" s="114">
        <v>0.0</v>
      </c>
      <c r="U81" s="114">
        <v>0.0</v>
      </c>
      <c r="V81" s="114">
        <v>0.0</v>
      </c>
      <c r="W81" s="122"/>
      <c r="X81" s="122"/>
      <c r="Y81" s="122"/>
    </row>
    <row r="82">
      <c r="A82" s="105">
        <v>2.0</v>
      </c>
      <c r="B82" s="106" t="s">
        <v>1219</v>
      </c>
      <c r="C82" s="40">
        <v>79.0</v>
      </c>
      <c r="D82" s="107">
        <v>4.0</v>
      </c>
      <c r="E82" s="108">
        <v>43486.0</v>
      </c>
      <c r="F82" s="42" t="str">
        <f>HYPERLINK("https://www.liputan6.com/news/read/3873235/teror-candi-borobudur-misteri-ledakan-9-bom-di-pagi-buta ","sumber")</f>
        <v>sumber</v>
      </c>
      <c r="G82" s="40" t="s">
        <v>33</v>
      </c>
      <c r="H82" s="107">
        <v>897.0</v>
      </c>
      <c r="I82" s="109"/>
      <c r="J82" s="40">
        <v>2.0</v>
      </c>
      <c r="K82" s="110"/>
      <c r="L82" s="41"/>
      <c r="M82" s="41"/>
      <c r="N82" s="41"/>
      <c r="O82" s="41"/>
      <c r="P82" s="41"/>
      <c r="Q82" s="40"/>
      <c r="R82" s="111"/>
      <c r="S82" s="40"/>
      <c r="T82" s="41"/>
      <c r="U82" s="41"/>
      <c r="V82" s="41"/>
      <c r="W82" s="41"/>
      <c r="X82" s="41"/>
      <c r="Y82" s="41"/>
    </row>
    <row r="83">
      <c r="A83" s="112">
        <v>1.0</v>
      </c>
      <c r="B83" s="113" t="s">
        <v>1220</v>
      </c>
      <c r="C83" s="114">
        <v>80.0</v>
      </c>
      <c r="D83" s="115">
        <v>7.0</v>
      </c>
      <c r="E83" s="116">
        <v>43468.0</v>
      </c>
      <c r="F83" s="117" t="str">
        <f>HYPERLINK("http://www.tribunnews.com/metropolitan/2019/01/03/pria-diduga-mengidap-gangguan-jiwa-aniaya-bayi-2-tahun-hingga-tewas-di-pasar-rebo","sumber")</f>
        <v>sumber</v>
      </c>
      <c r="G83" s="117" t="str">
        <f>HYPERLINK("https://drive.google.com/open?id=15K5sriRJOw0JTPqD9yRZzl0fwZcfdV8X","lokasi")</f>
        <v>lokasi</v>
      </c>
      <c r="H83" s="115">
        <v>307.0</v>
      </c>
      <c r="I83" s="118">
        <v>1.0</v>
      </c>
      <c r="J83" s="114">
        <v>2.0</v>
      </c>
      <c r="K83" s="119" t="s">
        <v>1221</v>
      </c>
      <c r="L83" s="114">
        <v>0.0</v>
      </c>
      <c r="M83" s="50">
        <v>0.0</v>
      </c>
      <c r="N83" s="120">
        <v>0.0</v>
      </c>
      <c r="O83" s="114">
        <v>0.0</v>
      </c>
      <c r="P83" s="114">
        <v>0.0</v>
      </c>
      <c r="Q83" s="114">
        <v>0.0</v>
      </c>
      <c r="R83" s="121">
        <v>0.0</v>
      </c>
      <c r="S83" s="114"/>
      <c r="T83" s="114">
        <v>0.0</v>
      </c>
      <c r="U83" s="114">
        <v>-1.0</v>
      </c>
      <c r="V83" s="114">
        <v>1.0</v>
      </c>
      <c r="W83" s="122"/>
      <c r="X83" s="122"/>
      <c r="Y83" s="122"/>
    </row>
    <row r="84">
      <c r="A84" s="105">
        <v>2.0</v>
      </c>
      <c r="B84" s="106" t="s">
        <v>1222</v>
      </c>
      <c r="C84" s="40">
        <v>81.0</v>
      </c>
      <c r="D84" s="107">
        <v>1.0</v>
      </c>
      <c r="E84" s="108">
        <v>43490.0</v>
      </c>
      <c r="F84" s="42" t="str">
        <f>HYPERLINK("https://finance.detik.com/foto-bisnis/d-4400403/kaki-palsu-buatan-penyandang-disabilitas-ini-tembus-malaysia ","sumber")</f>
        <v>sumber</v>
      </c>
      <c r="G84" s="40" t="s">
        <v>33</v>
      </c>
      <c r="H84" s="107">
        <v>6.0</v>
      </c>
      <c r="I84" s="109"/>
      <c r="J84" s="40">
        <v>2.0</v>
      </c>
      <c r="K84" s="110"/>
      <c r="L84" s="41"/>
      <c r="M84" s="41"/>
      <c r="N84" s="41"/>
      <c r="O84" s="41"/>
      <c r="P84" s="41"/>
      <c r="Q84" s="40"/>
      <c r="R84" s="111"/>
      <c r="S84" s="40"/>
      <c r="T84" s="41"/>
      <c r="U84" s="41"/>
      <c r="V84" s="41"/>
      <c r="W84" s="41"/>
      <c r="X84" s="41"/>
      <c r="Y84" s="41"/>
    </row>
    <row r="85">
      <c r="A85" s="101">
        <v>1.0</v>
      </c>
      <c r="B85" s="96" t="s">
        <v>1223</v>
      </c>
      <c r="C85" s="33">
        <v>82.0</v>
      </c>
      <c r="D85" s="97">
        <v>7.0</v>
      </c>
      <c r="E85" s="98">
        <v>43490.0</v>
      </c>
      <c r="F85" s="35" t="str">
        <f>HYPERLINK("http://www.tribunnews.com/regional/2019/01/25/bantu-warga-kuasai-tanah-penyandang-disabilitas-sejumlah-perangkat-desa-jadi-tersangka ","sumber")</f>
        <v>sumber</v>
      </c>
      <c r="G85" s="35" t="str">
        <f>HYPERLINK("https://drive.google.com/open?id=15K5sriRJOw0JTPqD9yRZzl0fwZcfdV8X","lokasi")</f>
        <v>lokasi</v>
      </c>
      <c r="H85" s="97">
        <v>201.0</v>
      </c>
      <c r="I85" s="99">
        <v>1.0</v>
      </c>
      <c r="J85" s="33">
        <v>2.0</v>
      </c>
      <c r="K85" s="102" t="s">
        <v>1224</v>
      </c>
      <c r="L85" s="33">
        <v>0.0</v>
      </c>
      <c r="M85" s="33">
        <v>1.0</v>
      </c>
      <c r="N85" s="37">
        <v>0.0</v>
      </c>
      <c r="O85" s="33">
        <v>0.0</v>
      </c>
      <c r="P85" s="33">
        <v>0.0</v>
      </c>
      <c r="Q85" s="33">
        <v>1.0</v>
      </c>
      <c r="R85" s="33">
        <v>1.0</v>
      </c>
      <c r="S85" s="33"/>
      <c r="T85" s="33">
        <v>0.0</v>
      </c>
      <c r="U85" s="33">
        <v>0.0</v>
      </c>
      <c r="V85" s="33">
        <v>1.0</v>
      </c>
      <c r="W85" s="36"/>
      <c r="X85" s="36"/>
      <c r="Y85" s="36"/>
    </row>
    <row r="86">
      <c r="A86" s="105">
        <v>2.0</v>
      </c>
      <c r="B86" s="106" t="s">
        <v>1225</v>
      </c>
      <c r="C86" s="40">
        <v>83.0</v>
      </c>
      <c r="D86" s="107">
        <v>7.0</v>
      </c>
      <c r="E86" s="108">
        <v>43492.0</v>
      </c>
      <c r="F86" s="42" t="str">
        <f>HYPERLINK("http://www.tribunnews.com/superskor/2019/01/27/conor-mcgregor-sebut-ole-gunnar-solskjaer-gila-usai-kalahkan-arsenal ","sumber")</f>
        <v>sumber</v>
      </c>
      <c r="G86" s="40" t="s">
        <v>33</v>
      </c>
      <c r="H86" s="107">
        <v>70.0</v>
      </c>
      <c r="I86" s="109"/>
      <c r="J86" s="40">
        <v>2.0</v>
      </c>
      <c r="K86" s="110"/>
      <c r="L86" s="41"/>
      <c r="M86" s="41"/>
      <c r="N86" s="41"/>
      <c r="O86" s="41"/>
      <c r="P86" s="41"/>
      <c r="Q86" s="40"/>
      <c r="R86" s="111"/>
      <c r="S86" s="40"/>
      <c r="T86" s="41"/>
      <c r="U86" s="41"/>
      <c r="V86" s="41"/>
      <c r="W86" s="41"/>
      <c r="X86" s="41"/>
      <c r="Y86" s="41"/>
    </row>
    <row r="87">
      <c r="A87" s="101">
        <v>1.0</v>
      </c>
      <c r="B87" s="96" t="s">
        <v>1226</v>
      </c>
      <c r="C87" s="33">
        <v>84.0</v>
      </c>
      <c r="D87" s="97">
        <v>2.0</v>
      </c>
      <c r="E87" s="98">
        <v>43493.0</v>
      </c>
      <c r="F87" s="35" t="str">
        <f>HYPERLINK("https://www.cnnindonesia.com/nasional/20190128182629-32-364530/said-aqil-tak-mau-didikte-mui-ketua-pbnu-harus-nekat ","sumber")</f>
        <v>sumber</v>
      </c>
      <c r="G87" s="35" t="str">
        <f t="shared" ref="G87:G90" si="8">HYPERLINK("https://drive.google.com/open?id=15K5sriRJOw0JTPqD9yRZzl0fwZcfdV8X","lokasi")</f>
        <v>lokasi</v>
      </c>
      <c r="H87" s="97">
        <v>501.0</v>
      </c>
      <c r="I87" s="99">
        <v>1.0</v>
      </c>
      <c r="J87" s="33">
        <v>2.0</v>
      </c>
      <c r="K87" s="102" t="s">
        <v>1227</v>
      </c>
      <c r="L87" s="33">
        <v>0.0</v>
      </c>
      <c r="M87" s="50">
        <v>0.0</v>
      </c>
      <c r="N87" s="37">
        <v>0.0</v>
      </c>
      <c r="O87" s="33">
        <v>0.0</v>
      </c>
      <c r="P87" s="33">
        <v>0.0</v>
      </c>
      <c r="Q87" s="33">
        <v>0.0</v>
      </c>
      <c r="R87" s="33">
        <v>-1.0</v>
      </c>
      <c r="S87" s="33" t="s">
        <v>1228</v>
      </c>
      <c r="T87" s="33">
        <v>1.0</v>
      </c>
      <c r="U87" s="33">
        <v>0.0</v>
      </c>
      <c r="V87" s="33">
        <v>1.0</v>
      </c>
      <c r="W87" s="36"/>
      <c r="X87" s="36"/>
      <c r="Y87" s="36"/>
    </row>
    <row r="88">
      <c r="A88" s="112">
        <v>1.0</v>
      </c>
      <c r="B88" s="113" t="s">
        <v>1229</v>
      </c>
      <c r="C88" s="114">
        <v>85.0</v>
      </c>
      <c r="D88" s="115">
        <v>8.0</v>
      </c>
      <c r="E88" s="116">
        <v>43497.0</v>
      </c>
      <c r="F88" s="117" t="str">
        <f>HYPERLINK("https://www.suara.com/lifestyle/2019/02/01/133702/kabar-baik-machu-piccu-bisa-diakses-pengunjung-berkursi-roda","sumber")</f>
        <v>sumber</v>
      </c>
      <c r="G88" s="117" t="str">
        <f t="shared" si="8"/>
        <v>lokasi</v>
      </c>
      <c r="H88" s="115">
        <v>418.0</v>
      </c>
      <c r="I88" s="118">
        <v>2.0</v>
      </c>
      <c r="J88" s="114">
        <v>2.0</v>
      </c>
      <c r="K88" s="119" t="s">
        <v>1230</v>
      </c>
      <c r="L88" s="114">
        <v>0.0</v>
      </c>
      <c r="M88" s="114">
        <v>0.0</v>
      </c>
      <c r="N88" s="120">
        <v>0.0</v>
      </c>
      <c r="O88" s="114">
        <v>0.0</v>
      </c>
      <c r="P88" s="114">
        <v>0.0</v>
      </c>
      <c r="Q88" s="114">
        <v>0.0</v>
      </c>
      <c r="R88" s="121">
        <v>1.0</v>
      </c>
      <c r="S88" s="114"/>
      <c r="T88" s="114">
        <v>0.0</v>
      </c>
      <c r="U88" s="114">
        <v>0.0</v>
      </c>
      <c r="V88" s="114">
        <v>1.0</v>
      </c>
      <c r="W88" s="122"/>
      <c r="X88" s="122"/>
      <c r="Y88" s="122"/>
    </row>
    <row r="89">
      <c r="A89" s="112">
        <v>1.0</v>
      </c>
      <c r="B89" s="113" t="s">
        <v>1231</v>
      </c>
      <c r="C89" s="114">
        <v>86.0</v>
      </c>
      <c r="D89" s="115">
        <v>4.0</v>
      </c>
      <c r="E89" s="116">
        <v>43505.0</v>
      </c>
      <c r="F89" s="117" t="str">
        <f>HYPERLINK("https://www.liputan6.com/health/read/3890746/kusta-bukan-penyakit-kutukan-dari-dewa-juga-bukan-karena-keturunan","sumber")</f>
        <v>sumber</v>
      </c>
      <c r="G89" s="117" t="str">
        <f t="shared" si="8"/>
        <v>lokasi</v>
      </c>
      <c r="H89" s="115">
        <v>344.0</v>
      </c>
      <c r="I89" s="118">
        <v>2.0</v>
      </c>
      <c r="J89" s="114">
        <v>2.0</v>
      </c>
      <c r="K89" s="119" t="s">
        <v>1232</v>
      </c>
      <c r="L89" s="114">
        <v>0.0</v>
      </c>
      <c r="M89" s="114">
        <v>0.0</v>
      </c>
      <c r="N89" s="120">
        <v>0.0</v>
      </c>
      <c r="O89" s="114">
        <v>0.0</v>
      </c>
      <c r="P89" s="114">
        <v>0.0</v>
      </c>
      <c r="Q89" s="114">
        <v>0.0</v>
      </c>
      <c r="R89" s="121">
        <v>1.0</v>
      </c>
      <c r="S89" s="114"/>
      <c r="T89" s="114">
        <v>0.0</v>
      </c>
      <c r="U89" s="114">
        <v>0.0</v>
      </c>
      <c r="V89" s="114">
        <v>1.0</v>
      </c>
      <c r="W89" s="122"/>
      <c r="X89" s="122"/>
      <c r="Y89" s="122"/>
    </row>
    <row r="90">
      <c r="A90" s="112">
        <v>1.0</v>
      </c>
      <c r="B90" s="113" t="s">
        <v>1233</v>
      </c>
      <c r="C90" s="114">
        <v>87.0</v>
      </c>
      <c r="D90" s="115">
        <v>6.0</v>
      </c>
      <c r="E90" s="116">
        <v>43509.0</v>
      </c>
      <c r="F90" s="117" t="str">
        <f>HYPERLINK("https://regional.kompas.com/read/2019/02/13/15354131/pengidap-gangguang-jiwa-mengamuk-kades-dan-warganya-dibacok","sumber")</f>
        <v>sumber</v>
      </c>
      <c r="G90" s="117" t="str">
        <f t="shared" si="8"/>
        <v>lokasi</v>
      </c>
      <c r="H90" s="115">
        <v>270.0</v>
      </c>
      <c r="I90" s="118">
        <v>1.0</v>
      </c>
      <c r="J90" s="114">
        <v>2.0</v>
      </c>
      <c r="K90" s="119" t="s">
        <v>1234</v>
      </c>
      <c r="L90" s="114">
        <v>0.0</v>
      </c>
      <c r="M90" s="50">
        <v>0.0</v>
      </c>
      <c r="N90" s="120">
        <v>0.0</v>
      </c>
      <c r="O90" s="114">
        <v>0.0</v>
      </c>
      <c r="P90" s="114">
        <v>0.0</v>
      </c>
      <c r="Q90" s="114">
        <v>0.0</v>
      </c>
      <c r="R90" s="121">
        <v>0.0</v>
      </c>
      <c r="S90" s="114"/>
      <c r="T90" s="114">
        <v>0.0</v>
      </c>
      <c r="U90" s="114">
        <v>0.0</v>
      </c>
      <c r="V90" s="114">
        <v>1.0</v>
      </c>
      <c r="W90" s="122"/>
      <c r="X90" s="122"/>
      <c r="Y90" s="122"/>
    </row>
    <row r="91">
      <c r="A91" s="105">
        <v>2.0</v>
      </c>
      <c r="B91" s="106" t="s">
        <v>1235</v>
      </c>
      <c r="C91" s="40">
        <v>88.0</v>
      </c>
      <c r="D91" s="107">
        <v>5.0</v>
      </c>
      <c r="E91" s="108">
        <v>43505.0</v>
      </c>
      <c r="F91" s="42" t="str">
        <f>HYPERLINK("https://tirto.id/bebe-rexha-emosional-di-spotifys-best-new-artist-grammy-party-dgqV ","sumber")</f>
        <v>sumber</v>
      </c>
      <c r="G91" s="40" t="s">
        <v>33</v>
      </c>
      <c r="H91" s="107">
        <v>289.0</v>
      </c>
      <c r="I91" s="109"/>
      <c r="J91" s="40">
        <v>2.0</v>
      </c>
      <c r="K91" s="110"/>
      <c r="L91" s="41"/>
      <c r="M91" s="41"/>
      <c r="N91" s="41"/>
      <c r="O91" s="41"/>
      <c r="P91" s="41"/>
      <c r="Q91" s="40"/>
      <c r="R91" s="111"/>
      <c r="S91" s="40"/>
      <c r="T91" s="41"/>
      <c r="U91" s="41"/>
      <c r="V91" s="41"/>
      <c r="W91" s="41"/>
      <c r="X91" s="41"/>
      <c r="Y91" s="41"/>
    </row>
    <row r="92">
      <c r="A92" s="105">
        <v>2.0</v>
      </c>
      <c r="B92" s="106" t="s">
        <v>1236</v>
      </c>
      <c r="C92" s="40">
        <v>89.0</v>
      </c>
      <c r="D92" s="107">
        <v>1.0</v>
      </c>
      <c r="E92" s="108">
        <v>43515.0</v>
      </c>
      <c r="F92" s="42" t="str">
        <f>HYPERLINK("https://news.detik.com/detiktv/d-4434040/belajar-dari-pematung-buta-dengan-karya-memesona","sumber")</f>
        <v>sumber</v>
      </c>
      <c r="G92" s="40" t="s">
        <v>33</v>
      </c>
      <c r="H92" s="107">
        <v>20.0</v>
      </c>
      <c r="I92" s="123"/>
      <c r="J92" s="40">
        <v>2.0</v>
      </c>
      <c r="K92" s="124"/>
      <c r="L92" s="40"/>
      <c r="M92" s="40"/>
      <c r="N92" s="40"/>
      <c r="O92" s="40"/>
      <c r="P92" s="40"/>
      <c r="Q92" s="40"/>
      <c r="R92" s="111"/>
      <c r="S92" s="40"/>
      <c r="T92" s="40"/>
      <c r="U92" s="40"/>
      <c r="V92" s="40"/>
      <c r="W92" s="41"/>
      <c r="X92" s="41"/>
      <c r="Y92" s="41"/>
    </row>
    <row r="93">
      <c r="A93" s="112">
        <v>1.0</v>
      </c>
      <c r="B93" s="113" t="s">
        <v>1237</v>
      </c>
      <c r="C93" s="114">
        <v>90.0</v>
      </c>
      <c r="D93" s="115">
        <v>10.0</v>
      </c>
      <c r="E93" s="116">
        <v>43501.0</v>
      </c>
      <c r="F93" s="117" t="str">
        <f>HYPERLINK("https://sport.tempo.co/read/1172315/ada-penghargaan-atlet-disabilitas-di-anugerah-olahraga-siwo-pwi","sumber")</f>
        <v>sumber</v>
      </c>
      <c r="G93" s="117" t="str">
        <f t="shared" ref="G93:G97" si="9">HYPERLINK("https://drive.google.com/open?id=15K5sriRJOw0JTPqD9yRZzl0fwZcfdV8X","lokasi")</f>
        <v>lokasi</v>
      </c>
      <c r="H93" s="115">
        <v>288.0</v>
      </c>
      <c r="I93" s="118">
        <v>3.0</v>
      </c>
      <c r="J93" s="114">
        <v>2.0</v>
      </c>
      <c r="K93" s="119" t="s">
        <v>1238</v>
      </c>
      <c r="L93" s="114">
        <v>0.0</v>
      </c>
      <c r="M93" s="114">
        <v>0.0</v>
      </c>
      <c r="N93" s="120">
        <v>0.0</v>
      </c>
      <c r="O93" s="114">
        <v>0.0</v>
      </c>
      <c r="P93" s="114">
        <v>0.0</v>
      </c>
      <c r="Q93" s="114" t="s">
        <v>61</v>
      </c>
      <c r="R93" s="121" t="s">
        <v>192</v>
      </c>
      <c r="S93" s="114"/>
      <c r="T93" s="114">
        <v>0.0</v>
      </c>
      <c r="U93" s="114">
        <v>0.0</v>
      </c>
      <c r="V93" s="114">
        <v>1.0</v>
      </c>
      <c r="W93" s="122"/>
      <c r="X93" s="122"/>
      <c r="Y93" s="122"/>
    </row>
    <row r="94">
      <c r="A94" s="101">
        <v>1.0</v>
      </c>
      <c r="B94" s="96" t="s">
        <v>1239</v>
      </c>
      <c r="C94" s="33">
        <v>91.0</v>
      </c>
      <c r="D94" s="97">
        <v>6.0</v>
      </c>
      <c r="E94" s="98">
        <v>43510.0</v>
      </c>
      <c r="F94" s="35" t="str">
        <f>HYPERLINK("https://regional.kompas.com/read/2019/02/14/06000061/kisah-sedih-orang-orang-terpasung-di-manggarai ","sumber")</f>
        <v>sumber</v>
      </c>
      <c r="G94" s="35" t="str">
        <f t="shared" si="9"/>
        <v>lokasi</v>
      </c>
      <c r="H94" s="97">
        <v>358.0</v>
      </c>
      <c r="I94" s="99">
        <v>2.0</v>
      </c>
      <c r="J94" s="33">
        <v>2.0</v>
      </c>
      <c r="K94" s="102" t="s">
        <v>1240</v>
      </c>
      <c r="L94" s="33">
        <v>0.0</v>
      </c>
      <c r="M94" s="33">
        <v>1.0</v>
      </c>
      <c r="N94" s="37">
        <v>0.0</v>
      </c>
      <c r="O94" s="33">
        <v>0.0</v>
      </c>
      <c r="P94" s="33">
        <v>0.0</v>
      </c>
      <c r="Q94" s="33" t="s">
        <v>1241</v>
      </c>
      <c r="R94" s="33" t="s">
        <v>1242</v>
      </c>
      <c r="S94" s="33"/>
      <c r="T94" s="33">
        <v>0.0</v>
      </c>
      <c r="U94" s="33">
        <v>0.0</v>
      </c>
      <c r="V94" s="33">
        <v>1.0</v>
      </c>
      <c r="W94" s="36"/>
      <c r="X94" s="36"/>
      <c r="Y94" s="36"/>
    </row>
    <row r="95">
      <c r="A95" s="112">
        <v>1.0</v>
      </c>
      <c r="B95" s="113" t="s">
        <v>1243</v>
      </c>
      <c r="C95" s="114">
        <v>92.0</v>
      </c>
      <c r="D95" s="115">
        <v>10.0</v>
      </c>
      <c r="E95" s="116">
        <v>43524.0</v>
      </c>
      <c r="F95" s="117" t="str">
        <f>HYPERLINK("https://difabel.tempo.co/read/1180487/ternyata-anak-jenius-masuk-anak-berkebutuhan-khusus","sumber")</f>
        <v>sumber</v>
      </c>
      <c r="G95" s="117" t="str">
        <f t="shared" si="9"/>
        <v>lokasi</v>
      </c>
      <c r="H95" s="115">
        <v>399.0</v>
      </c>
      <c r="I95" s="118">
        <v>2.0</v>
      </c>
      <c r="J95" s="114">
        <v>2.0</v>
      </c>
      <c r="K95" s="119" t="s">
        <v>1244</v>
      </c>
      <c r="L95" s="114">
        <v>0.0</v>
      </c>
      <c r="M95" s="114">
        <v>0.0</v>
      </c>
      <c r="N95" s="120">
        <v>0.0</v>
      </c>
      <c r="O95" s="114">
        <v>0.0</v>
      </c>
      <c r="P95" s="114">
        <v>0.0</v>
      </c>
      <c r="Q95" s="114" t="s">
        <v>61</v>
      </c>
      <c r="R95" s="121" t="s">
        <v>100</v>
      </c>
      <c r="S95" s="114"/>
      <c r="T95" s="114">
        <v>0.0</v>
      </c>
      <c r="U95" s="114">
        <v>0.0</v>
      </c>
      <c r="V95" s="114">
        <v>1.0</v>
      </c>
      <c r="W95" s="122"/>
      <c r="X95" s="122"/>
      <c r="Y95" s="122"/>
    </row>
    <row r="96">
      <c r="A96" s="101">
        <v>1.0</v>
      </c>
      <c r="B96" s="96" t="s">
        <v>1245</v>
      </c>
      <c r="C96" s="33">
        <v>93.0</v>
      </c>
      <c r="D96" s="97">
        <v>10.0</v>
      </c>
      <c r="E96" s="98">
        <v>43511.0</v>
      </c>
      <c r="F96" s="35" t="str">
        <f>HYPERLINK("https://metro.tempo.co/read/1175959/penderita-epilepsi-kumat-saat-anies-berpidato-ini-yang-terjadi ","sumber")</f>
        <v>sumber</v>
      </c>
      <c r="G96" s="35" t="str">
        <f t="shared" si="9"/>
        <v>lokasi</v>
      </c>
      <c r="H96" s="97">
        <v>281.0</v>
      </c>
      <c r="I96" s="99">
        <v>3.0</v>
      </c>
      <c r="J96" s="33">
        <v>2.0</v>
      </c>
      <c r="K96" s="102" t="s">
        <v>1246</v>
      </c>
      <c r="L96" s="33">
        <v>0.0</v>
      </c>
      <c r="M96" s="33">
        <v>0.0</v>
      </c>
      <c r="N96" s="37">
        <v>0.0</v>
      </c>
      <c r="O96" s="33">
        <v>0.0</v>
      </c>
      <c r="P96" s="33">
        <v>0.0</v>
      </c>
      <c r="Q96" s="33" t="s">
        <v>61</v>
      </c>
      <c r="R96" s="33" t="s">
        <v>61</v>
      </c>
      <c r="S96" s="33"/>
      <c r="T96" s="33">
        <v>0.0</v>
      </c>
      <c r="U96" s="33">
        <v>0.0</v>
      </c>
      <c r="V96" s="33">
        <v>1.0</v>
      </c>
      <c r="W96" s="36"/>
      <c r="X96" s="36"/>
      <c r="Y96" s="36"/>
    </row>
    <row r="97">
      <c r="A97" s="101">
        <v>1.0</v>
      </c>
      <c r="B97" s="96" t="s">
        <v>1247</v>
      </c>
      <c r="C97" s="33">
        <v>94.0</v>
      </c>
      <c r="D97" s="97">
        <v>7.0</v>
      </c>
      <c r="E97" s="98">
        <v>43511.0</v>
      </c>
      <c r="F97" s="35" t="str">
        <f>HYPERLINK("http://www.tribunnews.com/seleb/2019/02/15/meriahnya-fan-event-captain-marvel-para-pemain-selfie-dan-beri-tandatangan ","sumber")</f>
        <v>sumber</v>
      </c>
      <c r="G97" s="35" t="str">
        <f t="shared" si="9"/>
        <v>lokasi</v>
      </c>
      <c r="H97" s="97">
        <v>262.0</v>
      </c>
      <c r="I97" s="99">
        <v>2.0</v>
      </c>
      <c r="J97" s="33">
        <v>2.0</v>
      </c>
      <c r="K97" s="102" t="s">
        <v>1248</v>
      </c>
      <c r="L97" s="33">
        <v>0.0</v>
      </c>
      <c r="M97" s="33">
        <v>0.0</v>
      </c>
      <c r="N97" s="37">
        <v>0.0</v>
      </c>
      <c r="O97" s="33">
        <v>0.0</v>
      </c>
      <c r="P97" s="33">
        <v>0.0</v>
      </c>
      <c r="Q97" s="33">
        <v>0.0</v>
      </c>
      <c r="R97" s="33">
        <v>0.0</v>
      </c>
      <c r="S97" s="33"/>
      <c r="T97" s="33">
        <v>0.0</v>
      </c>
      <c r="U97" s="33">
        <v>0.0</v>
      </c>
      <c r="V97" s="33">
        <v>1.0</v>
      </c>
      <c r="W97" s="36"/>
      <c r="X97" s="36"/>
      <c r="Y97" s="36"/>
    </row>
    <row r="98">
      <c r="A98" s="105">
        <v>2.0</v>
      </c>
      <c r="B98" s="106" t="s">
        <v>1249</v>
      </c>
      <c r="C98" s="40">
        <v>95.0</v>
      </c>
      <c r="D98" s="107">
        <v>7.0</v>
      </c>
      <c r="E98" s="108">
        <v>43516.0</v>
      </c>
      <c r="F98" s="42" t="str">
        <f>HYPERLINK("http://www.tribunnews.com/superskor/2019/02/20/liverpool-vs-bayern-muenchen-leg-pertama-berakhir-0-0 ","sumber")</f>
        <v>sumber</v>
      </c>
      <c r="G98" s="40" t="s">
        <v>33</v>
      </c>
      <c r="H98" s="107">
        <v>154.0</v>
      </c>
      <c r="I98" s="109"/>
      <c r="J98" s="40">
        <v>2.0</v>
      </c>
      <c r="K98" s="110"/>
      <c r="L98" s="41"/>
      <c r="M98" s="41"/>
      <c r="N98" s="41"/>
      <c r="O98" s="41"/>
      <c r="P98" s="41"/>
      <c r="Q98" s="40"/>
      <c r="R98" s="111"/>
      <c r="S98" s="40"/>
      <c r="T98" s="41"/>
      <c r="U98" s="41"/>
      <c r="V98" s="41"/>
      <c r="W98" s="41"/>
      <c r="X98" s="41"/>
      <c r="Y98" s="41"/>
    </row>
    <row r="99">
      <c r="A99" s="112">
        <v>1.0</v>
      </c>
      <c r="B99" s="113" t="s">
        <v>1250</v>
      </c>
      <c r="C99" s="114">
        <v>96.0</v>
      </c>
      <c r="D99" s="115">
        <v>5.0</v>
      </c>
      <c r="E99" s="116">
        <v>43510.0</v>
      </c>
      <c r="F99" s="117" t="str">
        <f>HYPERLINK("https://tirto.id/kpu-diminta-lebih-perhatian-ke-pemilih-penyandang-disabilitas-dg2s","sumber")</f>
        <v>sumber</v>
      </c>
      <c r="G99" s="117" t="str">
        <f>HYPERLINK("https://drive.google.com/open?id=15K5sriRJOw0JTPqD9yRZzl0fwZcfdV8X","lokasi")</f>
        <v>lokasi</v>
      </c>
      <c r="H99" s="115">
        <v>305.0</v>
      </c>
      <c r="I99" s="118">
        <v>4.0</v>
      </c>
      <c r="J99" s="114">
        <v>2.0</v>
      </c>
      <c r="K99" s="119" t="s">
        <v>1251</v>
      </c>
      <c r="L99" s="114">
        <v>0.0</v>
      </c>
      <c r="M99" s="114">
        <v>0.0</v>
      </c>
      <c r="N99" s="120">
        <v>0.0</v>
      </c>
      <c r="O99" s="114">
        <v>0.0</v>
      </c>
      <c r="P99" s="114">
        <v>0.0</v>
      </c>
      <c r="Q99" s="114" t="s">
        <v>100</v>
      </c>
      <c r="R99" s="121" t="s">
        <v>192</v>
      </c>
      <c r="S99" s="114"/>
      <c r="T99" s="114">
        <v>0.0</v>
      </c>
      <c r="U99" s="114">
        <v>0.0</v>
      </c>
      <c r="V99" s="114">
        <v>1.0</v>
      </c>
      <c r="W99" s="122"/>
      <c r="X99" s="122"/>
      <c r="Y99" s="122"/>
    </row>
    <row r="100">
      <c r="A100" s="105">
        <v>2.0</v>
      </c>
      <c r="B100" s="106" t="s">
        <v>1252</v>
      </c>
      <c r="C100" s="40">
        <v>97.0</v>
      </c>
      <c r="D100" s="107">
        <v>2.0</v>
      </c>
      <c r="E100" s="108">
        <v>43518.0</v>
      </c>
      <c r="F100" s="42" t="str">
        <f>HYPERLINK("https://www.cnnindonesia.com/internasional/20190222192527-120-371939/latihan-perang-teluk-iran-uji-kapal-selam-rudal ","sumber")</f>
        <v>sumber</v>
      </c>
      <c r="G100" s="40" t="s">
        <v>33</v>
      </c>
      <c r="H100" s="107">
        <v>302.0</v>
      </c>
      <c r="I100" s="109"/>
      <c r="J100" s="40">
        <v>2.0</v>
      </c>
      <c r="K100" s="110"/>
      <c r="L100" s="41"/>
      <c r="M100" s="41"/>
      <c r="N100" s="41"/>
      <c r="O100" s="41"/>
      <c r="P100" s="41"/>
      <c r="Q100" s="40"/>
      <c r="R100" s="111"/>
      <c r="S100" s="40"/>
      <c r="T100" s="41"/>
      <c r="U100" s="41"/>
      <c r="V100" s="41"/>
      <c r="W100" s="41"/>
      <c r="X100" s="41"/>
      <c r="Y100" s="41"/>
    </row>
    <row r="101">
      <c r="A101" s="105">
        <v>2.0</v>
      </c>
      <c r="B101" s="106" t="s">
        <v>1253</v>
      </c>
      <c r="C101" s="40">
        <v>98.0</v>
      </c>
      <c r="D101" s="107">
        <v>8.0</v>
      </c>
      <c r="E101" s="108">
        <v>43520.0</v>
      </c>
      <c r="F101" s="42" t="str">
        <f>HYPERLINK("https://www.suara.com/lifestyle/2019/02/24/084338/salut-nenek-103-tahun-jadi-penjaga-grand-canyon-national-park ","sumber")</f>
        <v>sumber</v>
      </c>
      <c r="G101" s="40" t="s">
        <v>33</v>
      </c>
      <c r="H101" s="107">
        <v>216.0</v>
      </c>
      <c r="I101" s="109"/>
      <c r="J101" s="40">
        <v>2.0</v>
      </c>
      <c r="K101" s="110"/>
      <c r="L101" s="41"/>
      <c r="M101" s="41"/>
      <c r="N101" s="41"/>
      <c r="O101" s="41"/>
      <c r="P101" s="41"/>
      <c r="Q101" s="40"/>
      <c r="R101" s="111"/>
      <c r="S101" s="40"/>
      <c r="T101" s="41"/>
      <c r="U101" s="41"/>
      <c r="V101" s="41"/>
      <c r="W101" s="41"/>
      <c r="X101" s="41"/>
      <c r="Y101" s="41"/>
    </row>
    <row r="102">
      <c r="A102" s="105">
        <v>2.0</v>
      </c>
      <c r="B102" s="106" t="s">
        <v>1254</v>
      </c>
      <c r="C102" s="40">
        <v>99.0</v>
      </c>
      <c r="D102" s="107">
        <v>2.0</v>
      </c>
      <c r="E102" s="108">
        <v>43521.0</v>
      </c>
      <c r="F102" s="42" t="str">
        <f>HYPERLINK("https://www.cnnindonesia.com/ekonomi/20190225182102-532-372525/jokowi-minta-penerima-pkh-buat-perencanaan-keuangan ","sumber")</f>
        <v>sumber</v>
      </c>
      <c r="G102" s="40" t="s">
        <v>33</v>
      </c>
      <c r="H102" s="107">
        <v>419.0</v>
      </c>
      <c r="I102" s="109"/>
      <c r="J102" s="40">
        <v>2.0</v>
      </c>
      <c r="K102" s="110"/>
      <c r="L102" s="41"/>
      <c r="M102" s="41"/>
      <c r="N102" s="41"/>
      <c r="O102" s="41"/>
      <c r="P102" s="41"/>
      <c r="Q102" s="40"/>
      <c r="R102" s="111"/>
      <c r="S102" s="40"/>
      <c r="T102" s="41"/>
      <c r="U102" s="41"/>
      <c r="V102" s="41"/>
      <c r="W102" s="41"/>
      <c r="X102" s="41"/>
      <c r="Y102" s="41"/>
    </row>
    <row r="103">
      <c r="A103" s="105">
        <v>2.0</v>
      </c>
      <c r="B103" s="106" t="s">
        <v>1255</v>
      </c>
      <c r="C103" s="40">
        <v>100.0</v>
      </c>
      <c r="D103" s="107">
        <v>7.0</v>
      </c>
      <c r="E103" s="108">
        <v>43522.0</v>
      </c>
      <c r="F103" s="42" t="str">
        <f>HYPERLINK("http://www.tribunnews.com/seleb/2019/02/26/hamil-anak-pertama-adik-ipar-ayu-azhari-sampai-harus-pakai-kursi-roda ","sumber")</f>
        <v>sumber</v>
      </c>
      <c r="G103" s="40" t="s">
        <v>33</v>
      </c>
      <c r="H103" s="107">
        <v>116.0</v>
      </c>
      <c r="I103" s="109"/>
      <c r="J103" s="40">
        <v>2.0</v>
      </c>
      <c r="K103" s="110"/>
      <c r="L103" s="41"/>
      <c r="M103" s="41"/>
      <c r="N103" s="41"/>
      <c r="O103" s="41"/>
      <c r="P103" s="41"/>
      <c r="Q103" s="40"/>
      <c r="R103" s="111"/>
      <c r="S103" s="40"/>
      <c r="T103" s="41"/>
      <c r="U103" s="41"/>
      <c r="V103" s="41"/>
      <c r="W103" s="41"/>
      <c r="X103" s="41"/>
      <c r="Y103" s="41"/>
    </row>
    <row r="104">
      <c r="A104" s="101">
        <v>1.0</v>
      </c>
      <c r="B104" s="96" t="s">
        <v>1256</v>
      </c>
      <c r="C104" s="33">
        <v>101.0</v>
      </c>
      <c r="D104" s="97">
        <v>4.0</v>
      </c>
      <c r="E104" s="98">
        <v>43524.0</v>
      </c>
      <c r="F104" s="35" t="str">
        <f>HYPERLINK("https://www.liputan6.com/news/read/3906036/anies-resmikan-3-jembatan-penyeberangan-orang-di-jalan-jenderal-sudirman ","sumber")</f>
        <v>sumber</v>
      </c>
      <c r="G104" s="35" t="str">
        <f t="shared" ref="G104:G105" si="10">HYPERLINK("https://drive.google.com/open?id=15K5sriRJOw0JTPqD9yRZzl0fwZcfdV8X","lokasi")</f>
        <v>lokasi</v>
      </c>
      <c r="H104" s="97">
        <v>255.0</v>
      </c>
      <c r="I104" s="99">
        <v>4.0</v>
      </c>
      <c r="J104" s="33">
        <v>2.0</v>
      </c>
      <c r="K104" s="102" t="s">
        <v>1257</v>
      </c>
      <c r="L104" s="33">
        <v>0.0</v>
      </c>
      <c r="M104" s="33">
        <v>0.0</v>
      </c>
      <c r="N104" s="37">
        <v>0.0</v>
      </c>
      <c r="O104" s="33">
        <v>0.0</v>
      </c>
      <c r="P104" s="33">
        <v>0.0</v>
      </c>
      <c r="Q104" s="33" t="s">
        <v>61</v>
      </c>
      <c r="R104" s="33" t="s">
        <v>100</v>
      </c>
      <c r="S104" s="33"/>
      <c r="T104" s="33">
        <v>0.0</v>
      </c>
      <c r="U104" s="33">
        <v>0.0</v>
      </c>
      <c r="V104" s="33">
        <v>1.0</v>
      </c>
      <c r="W104" s="36"/>
      <c r="X104" s="36"/>
      <c r="Y104" s="36"/>
    </row>
    <row r="105">
      <c r="A105" s="101">
        <v>1.0</v>
      </c>
      <c r="B105" s="96" t="s">
        <v>1258</v>
      </c>
      <c r="C105" s="33">
        <v>102.0</v>
      </c>
      <c r="D105" s="97">
        <v>10.0</v>
      </c>
      <c r="E105" s="98">
        <v>43529.0</v>
      </c>
      <c r="F105" s="35" t="str">
        <f>HYPERLINK("https://sport.tempo.co/read/1182101/kisah-robert-kubica-pembalap-penyandang-disabilitas-di-formula-1 ","sumber")</f>
        <v>sumber</v>
      </c>
      <c r="G105" s="35" t="str">
        <f t="shared" si="10"/>
        <v>lokasi</v>
      </c>
      <c r="H105" s="97">
        <v>244.0</v>
      </c>
      <c r="I105" s="99">
        <v>2.0</v>
      </c>
      <c r="J105" s="33">
        <v>2.0</v>
      </c>
      <c r="K105" s="102" t="s">
        <v>1259</v>
      </c>
      <c r="L105" s="33">
        <v>0.0</v>
      </c>
      <c r="M105" s="33">
        <v>0.0</v>
      </c>
      <c r="N105" s="37">
        <v>0.0</v>
      </c>
      <c r="O105" s="33">
        <v>0.0</v>
      </c>
      <c r="P105" s="33">
        <v>0.0</v>
      </c>
      <c r="Q105" s="33" t="s">
        <v>80</v>
      </c>
      <c r="R105" s="33" t="s">
        <v>392</v>
      </c>
      <c r="S105" s="33"/>
      <c r="T105" s="33">
        <v>0.0</v>
      </c>
      <c r="U105" s="33">
        <v>0.0</v>
      </c>
      <c r="V105" s="33">
        <v>0.0</v>
      </c>
      <c r="W105" s="36"/>
      <c r="X105" s="36"/>
      <c r="Y105" s="36"/>
    </row>
    <row r="106">
      <c r="A106" s="105">
        <v>2.0</v>
      </c>
      <c r="B106" s="106" t="s">
        <v>1260</v>
      </c>
      <c r="C106" s="40">
        <v>103.0</v>
      </c>
      <c r="D106" s="107">
        <v>1.0</v>
      </c>
      <c r="E106" s="108">
        <v>43537.0</v>
      </c>
      <c r="F106" s="42" t="str">
        <f>HYPERLINK("https://news.detik.com/berita/d-4465670/kpu-temukan-ribuan-surat-suara-di-kabupaten-bekasi-rusak ","sumber")</f>
        <v>sumber</v>
      </c>
      <c r="G106" s="40" t="s">
        <v>33</v>
      </c>
      <c r="H106" s="107">
        <v>258.0</v>
      </c>
      <c r="I106" s="109"/>
      <c r="J106" s="40">
        <v>2.0</v>
      </c>
      <c r="K106" s="110"/>
      <c r="L106" s="41"/>
      <c r="M106" s="41"/>
      <c r="N106" s="41"/>
      <c r="O106" s="41"/>
      <c r="P106" s="41"/>
      <c r="Q106" s="40"/>
      <c r="R106" s="111"/>
      <c r="S106" s="40"/>
      <c r="T106" s="41"/>
      <c r="U106" s="41"/>
      <c r="V106" s="41"/>
      <c r="W106" s="41"/>
      <c r="X106" s="41"/>
      <c r="Y106" s="41"/>
    </row>
    <row r="107">
      <c r="A107" s="112">
        <v>1.0</v>
      </c>
      <c r="B107" s="125" t="s">
        <v>1261</v>
      </c>
      <c r="C107" s="114">
        <v>104.0</v>
      </c>
      <c r="D107" s="115">
        <v>6.0</v>
      </c>
      <c r="E107" s="126" t="s">
        <v>1262</v>
      </c>
      <c r="F107" s="117" t="str">
        <f>HYPERLINK("https://nasional.kompas.com/read/2019/03/21/20260691/jangan-salah-paham-tak-semua-orang-dengan-gangguan-jiwa-bisa-mencoblos ","sumber")</f>
        <v>sumber</v>
      </c>
      <c r="G107" s="117" t="str">
        <f>HYPERLINK("https://drive.google.com/open?id=15K5sriRJOw0JTPqD9yRZzl0fwZcfdV8X","lokasi")</f>
        <v>lokasi</v>
      </c>
      <c r="H107" s="115">
        <v>343.0</v>
      </c>
      <c r="I107" s="118">
        <v>4.0</v>
      </c>
      <c r="J107" s="114">
        <v>2.0</v>
      </c>
      <c r="K107" s="119" t="s">
        <v>1263</v>
      </c>
      <c r="L107" s="114">
        <v>0.0</v>
      </c>
      <c r="M107" s="114">
        <v>0.0</v>
      </c>
      <c r="N107" s="120">
        <v>0.0</v>
      </c>
      <c r="O107" s="114">
        <v>0.0</v>
      </c>
      <c r="P107" s="114">
        <v>0.0</v>
      </c>
      <c r="Q107" s="114" t="s">
        <v>61</v>
      </c>
      <c r="R107" s="121" t="s">
        <v>61</v>
      </c>
      <c r="S107" s="114" t="s">
        <v>1264</v>
      </c>
      <c r="T107" s="114">
        <v>1.0</v>
      </c>
      <c r="U107" s="114">
        <v>-1.0</v>
      </c>
      <c r="V107" s="114">
        <v>1.0</v>
      </c>
      <c r="W107" s="122"/>
      <c r="X107" s="122"/>
      <c r="Y107" s="122"/>
    </row>
    <row r="108">
      <c r="A108" s="105">
        <v>2.0</v>
      </c>
      <c r="B108" s="106" t="s">
        <v>1265</v>
      </c>
      <c r="C108" s="40">
        <v>105.0</v>
      </c>
      <c r="D108" s="107">
        <v>5.0</v>
      </c>
      <c r="E108" s="108">
        <v>43538.0</v>
      </c>
      <c r="F108" s="42" t="str">
        <f>HYPERLINK("https://tirto.id/jadwal-sholat-ashar-dan-info-masjid-di-kota-tarakan-hari-ini-djnU ","sumber")</f>
        <v>sumber</v>
      </c>
      <c r="G108" s="40" t="s">
        <v>33</v>
      </c>
      <c r="H108" s="107">
        <v>380.0</v>
      </c>
      <c r="I108" s="109"/>
      <c r="J108" s="40">
        <v>2.0</v>
      </c>
      <c r="K108" s="110"/>
      <c r="L108" s="41"/>
      <c r="M108" s="41"/>
      <c r="N108" s="41"/>
      <c r="O108" s="41"/>
      <c r="P108" s="41"/>
      <c r="Q108" s="40"/>
      <c r="R108" s="111"/>
      <c r="S108" s="40"/>
      <c r="T108" s="41"/>
      <c r="U108" s="41"/>
      <c r="V108" s="41"/>
      <c r="W108" s="41"/>
      <c r="X108" s="41"/>
      <c r="Y108" s="41"/>
    </row>
    <row r="109">
      <c r="A109" s="112">
        <v>1.0</v>
      </c>
      <c r="B109" s="113" t="s">
        <v>1266</v>
      </c>
      <c r="C109" s="114">
        <v>106.0</v>
      </c>
      <c r="D109" s="115">
        <v>7.0</v>
      </c>
      <c r="E109" s="116">
        <v>43534.0</v>
      </c>
      <c r="F109" s="117" t="str">
        <f>HYPERLINK("http://www.tribunnews.com/section/2019/03/10/dibuka-hingga-17-maret-simak-alur-pendaftaran-rekrutmen-bersama-bumn-2019","sumber")</f>
        <v>sumber</v>
      </c>
      <c r="G109" s="117" t="str">
        <f t="shared" ref="G109:G110" si="11">HYPERLINK("https://drive.google.com/open?id=15K5sriRJOw0JTPqD9yRZzl0fwZcfdV8X","lokasi")</f>
        <v>lokasi</v>
      </c>
      <c r="H109" s="115">
        <v>246.0</v>
      </c>
      <c r="I109" s="118">
        <v>2.0</v>
      </c>
      <c r="J109" s="114">
        <v>2.0</v>
      </c>
      <c r="K109" s="119" t="s">
        <v>1267</v>
      </c>
      <c r="L109" s="114">
        <v>0.0</v>
      </c>
      <c r="M109" s="114">
        <v>0.0</v>
      </c>
      <c r="N109" s="120">
        <v>0.0</v>
      </c>
      <c r="O109" s="114">
        <v>0.0</v>
      </c>
      <c r="P109" s="114">
        <v>0.0</v>
      </c>
      <c r="Q109" s="114">
        <v>0.0</v>
      </c>
      <c r="R109" s="121">
        <v>0.0</v>
      </c>
      <c r="S109" s="114"/>
      <c r="T109" s="114">
        <v>0.0</v>
      </c>
      <c r="U109" s="114">
        <v>0.0</v>
      </c>
      <c r="V109" s="114">
        <v>1.0</v>
      </c>
      <c r="W109" s="122"/>
      <c r="X109" s="122"/>
      <c r="Y109" s="122"/>
    </row>
    <row r="110">
      <c r="A110" s="112">
        <v>1.0</v>
      </c>
      <c r="B110" s="113" t="s">
        <v>1268</v>
      </c>
      <c r="C110" s="114">
        <v>107.0</v>
      </c>
      <c r="D110" s="115">
        <v>1.0</v>
      </c>
      <c r="E110" s="116">
        <v>43536.0</v>
      </c>
      <c r="F110" s="117" t="str">
        <f>HYPERLINK("https://news.detik.com/berita-jawa-timur/d-4464399/kaget-pria-berbaju-lusuh-ini-bawa-satu-karung-uang-koin","sumber")</f>
        <v>sumber</v>
      </c>
      <c r="G110" s="117" t="str">
        <f t="shared" si="11"/>
        <v>lokasi</v>
      </c>
      <c r="H110" s="115">
        <v>440.0</v>
      </c>
      <c r="I110" s="118">
        <v>2.0</v>
      </c>
      <c r="J110" s="114">
        <v>2.0</v>
      </c>
      <c r="K110" s="119" t="s">
        <v>1269</v>
      </c>
      <c r="L110" s="114">
        <v>0.0</v>
      </c>
      <c r="M110" s="114">
        <v>0.0</v>
      </c>
      <c r="N110" s="120">
        <v>0.0</v>
      </c>
      <c r="O110" s="114">
        <v>0.0</v>
      </c>
      <c r="P110" s="114">
        <v>0.0</v>
      </c>
      <c r="Q110" s="114" t="s">
        <v>61</v>
      </c>
      <c r="R110" s="121" t="s">
        <v>85</v>
      </c>
      <c r="S110" s="114"/>
      <c r="T110" s="114">
        <v>0.0</v>
      </c>
      <c r="U110" s="114">
        <v>-1.0</v>
      </c>
      <c r="V110" s="114">
        <v>1.0</v>
      </c>
      <c r="W110" s="122"/>
      <c r="X110" s="122"/>
      <c r="Y110" s="122"/>
    </row>
    <row r="111">
      <c r="A111" s="105">
        <v>2.0</v>
      </c>
      <c r="B111" s="106" t="s">
        <v>1270</v>
      </c>
      <c r="C111" s="40">
        <v>108.0</v>
      </c>
      <c r="D111" s="107">
        <v>9.0</v>
      </c>
      <c r="E111" s="108">
        <v>43544.0</v>
      </c>
      <c r="F111" s="42" t="str">
        <f>HYPERLINK("https://nasional.republika.co.id/berita/nasional/politik/pon6e9428/kpu-hindari-politik-uang-agar-tak-stres-jika-gagal ","sumber")</f>
        <v>sumber</v>
      </c>
      <c r="G111" s="40" t="s">
        <v>33</v>
      </c>
      <c r="H111" s="107">
        <v>271.0</v>
      </c>
      <c r="I111" s="109"/>
      <c r="J111" s="40">
        <v>2.0</v>
      </c>
      <c r="K111" s="110"/>
      <c r="L111" s="41"/>
      <c r="M111" s="41"/>
      <c r="N111" s="41"/>
      <c r="O111" s="41"/>
      <c r="P111" s="41"/>
      <c r="Q111" s="40"/>
      <c r="R111" s="111"/>
      <c r="S111" s="40"/>
      <c r="T111" s="41"/>
      <c r="U111" s="41"/>
      <c r="V111" s="41"/>
      <c r="W111" s="41"/>
      <c r="X111" s="41"/>
      <c r="Y111" s="41"/>
    </row>
    <row r="112">
      <c r="A112" s="112">
        <v>1.0</v>
      </c>
      <c r="B112" s="125" t="s">
        <v>1271</v>
      </c>
      <c r="C112" s="114">
        <v>109.0</v>
      </c>
      <c r="D112" s="115">
        <v>5.0</v>
      </c>
      <c r="E112" s="126" t="s">
        <v>1272</v>
      </c>
      <c r="F112" s="117" t="str">
        <f>HYPERLINK("https://tirto.id/kuhap-jadi-sumber-masalah-di-balik-sidang-wendra-purnama-dkmu ","sumber")</f>
        <v>sumber</v>
      </c>
      <c r="G112" s="117" t="str">
        <f t="shared" ref="G112:G115" si="12">HYPERLINK("https://drive.google.com/open?id=15K5sriRJOw0JTPqD9yRZzl0fwZcfdV8X","lokasi")</f>
        <v>lokasi</v>
      </c>
      <c r="H112" s="115">
        <v>700.0</v>
      </c>
      <c r="I112" s="118">
        <v>1.0</v>
      </c>
      <c r="J112" s="114">
        <v>2.0</v>
      </c>
      <c r="K112" s="119" t="s">
        <v>1273</v>
      </c>
      <c r="L112" s="114">
        <v>0.0</v>
      </c>
      <c r="M112" s="114">
        <v>1.0</v>
      </c>
      <c r="N112" s="120">
        <v>0.0</v>
      </c>
      <c r="O112" s="114">
        <v>0.0</v>
      </c>
      <c r="P112" s="114">
        <v>0.0</v>
      </c>
      <c r="Q112" s="114" t="s">
        <v>53</v>
      </c>
      <c r="R112" s="121" t="s">
        <v>392</v>
      </c>
      <c r="S112" s="114"/>
      <c r="T112" s="114">
        <v>0.0</v>
      </c>
      <c r="U112" s="114">
        <v>0.0</v>
      </c>
      <c r="V112" s="114">
        <v>1.0</v>
      </c>
      <c r="W112" s="122"/>
      <c r="X112" s="122"/>
      <c r="Y112" s="122"/>
    </row>
    <row r="113">
      <c r="A113" s="112">
        <v>1.0</v>
      </c>
      <c r="B113" s="113" t="s">
        <v>1274</v>
      </c>
      <c r="C113" s="114">
        <v>110.0</v>
      </c>
      <c r="D113" s="115">
        <v>3.0</v>
      </c>
      <c r="E113" s="116">
        <v>43542.0</v>
      </c>
      <c r="F113" s="117" t="str">
        <f>HYPERLINK("https://news.okezone.com/read/2019/03/18/65/2031561/13-anak-didik-disabilitas-ikuti-usbn","sumber")</f>
        <v>sumber</v>
      </c>
      <c r="G113" s="117" t="str">
        <f t="shared" si="12"/>
        <v>lokasi</v>
      </c>
      <c r="H113" s="115">
        <v>280.0</v>
      </c>
      <c r="I113" s="118">
        <v>2.0</v>
      </c>
      <c r="J113" s="114">
        <v>2.0</v>
      </c>
      <c r="K113" s="119" t="s">
        <v>1275</v>
      </c>
      <c r="L113" s="114">
        <v>0.0</v>
      </c>
      <c r="M113" s="114">
        <v>0.0</v>
      </c>
      <c r="N113" s="120">
        <v>0.0</v>
      </c>
      <c r="O113" s="114">
        <v>0.0</v>
      </c>
      <c r="P113" s="114">
        <v>0.0</v>
      </c>
      <c r="Q113" s="114" t="s">
        <v>61</v>
      </c>
      <c r="R113" s="121" t="s">
        <v>61</v>
      </c>
      <c r="S113" s="114"/>
      <c r="T113" s="114">
        <v>0.0</v>
      </c>
      <c r="U113" s="114">
        <v>0.0</v>
      </c>
      <c r="V113" s="114">
        <v>1.0</v>
      </c>
      <c r="W113" s="122"/>
      <c r="X113" s="122"/>
      <c r="Y113" s="122"/>
    </row>
    <row r="114">
      <c r="A114" s="112">
        <v>1.0</v>
      </c>
      <c r="B114" s="113" t="s">
        <v>1276</v>
      </c>
      <c r="C114" s="114">
        <v>111.0</v>
      </c>
      <c r="D114" s="115">
        <v>8.0</v>
      </c>
      <c r="E114" s="116">
        <v>43539.0</v>
      </c>
      <c r="F114" s="117" t="str">
        <f>HYPERLINK("https://banten.suara.com/read/2019/03/15/135237/kisah-keluarga-bocah-terpasung-ibunya-penyakitan-sang-ayah-doyan-ngutang","sumber")</f>
        <v>sumber</v>
      </c>
      <c r="G114" s="117" t="str">
        <f t="shared" si="12"/>
        <v>lokasi</v>
      </c>
      <c r="H114" s="115">
        <v>520.0</v>
      </c>
      <c r="I114" s="118">
        <v>2.0</v>
      </c>
      <c r="J114" s="114">
        <v>2.0</v>
      </c>
      <c r="K114" s="119" t="s">
        <v>1277</v>
      </c>
      <c r="L114" s="114">
        <v>0.0</v>
      </c>
      <c r="M114" s="114">
        <v>0.0</v>
      </c>
      <c r="N114" s="120">
        <v>0.0</v>
      </c>
      <c r="O114" s="114">
        <v>0.0</v>
      </c>
      <c r="P114" s="114">
        <v>0.0</v>
      </c>
      <c r="Q114" s="114" t="s">
        <v>53</v>
      </c>
      <c r="R114" s="121" t="s">
        <v>53</v>
      </c>
      <c r="S114" s="114" t="s">
        <v>1278</v>
      </c>
      <c r="T114" s="114">
        <v>1.0</v>
      </c>
      <c r="U114" s="114">
        <v>-1.0</v>
      </c>
      <c r="V114" s="114">
        <v>0.0</v>
      </c>
      <c r="W114" s="122"/>
      <c r="X114" s="122"/>
      <c r="Y114" s="122"/>
    </row>
    <row r="115">
      <c r="A115" s="101">
        <v>1.0</v>
      </c>
      <c r="B115" s="96" t="s">
        <v>1279</v>
      </c>
      <c r="C115" s="33">
        <v>112.0</v>
      </c>
      <c r="D115" s="97">
        <v>7.0</v>
      </c>
      <c r="E115" s="98">
        <v>43550.0</v>
      </c>
      <c r="F115" s="35" t="str">
        <f>HYPERLINK("http://www.tribunnews.com/regional/2019/03/26/mayat-tak-utuh-lagi-ditemukan-di-kawasan-hutan-kali-lunyu-lamongan ","sumber")</f>
        <v>sumber</v>
      </c>
      <c r="G115" s="35" t="str">
        <f t="shared" si="12"/>
        <v>lokasi</v>
      </c>
      <c r="H115" s="97">
        <v>234.0</v>
      </c>
      <c r="I115" s="99">
        <v>1.0</v>
      </c>
      <c r="J115" s="33">
        <v>2.0</v>
      </c>
      <c r="K115" s="102" t="s">
        <v>1280</v>
      </c>
      <c r="L115" s="33">
        <v>0.0</v>
      </c>
      <c r="M115" s="50">
        <v>0.0</v>
      </c>
      <c r="N115" s="37">
        <v>0.0</v>
      </c>
      <c r="O115" s="33">
        <v>0.0</v>
      </c>
      <c r="P115" s="33">
        <v>-1.0</v>
      </c>
      <c r="Q115" s="33">
        <v>0.0</v>
      </c>
      <c r="R115" s="33">
        <v>-1.0</v>
      </c>
      <c r="S115" s="33" t="s">
        <v>1281</v>
      </c>
      <c r="T115" s="33">
        <v>1.0</v>
      </c>
      <c r="U115" s="33">
        <v>0.0</v>
      </c>
      <c r="V115" s="33">
        <v>1.0</v>
      </c>
      <c r="W115" s="36"/>
      <c r="X115" s="36"/>
      <c r="Y115" s="36"/>
    </row>
    <row r="116">
      <c r="A116" s="105">
        <v>2.0</v>
      </c>
      <c r="B116" s="106" t="s">
        <v>533</v>
      </c>
      <c r="C116" s="40">
        <v>113.0</v>
      </c>
      <c r="D116" s="107">
        <v>4.0</v>
      </c>
      <c r="E116" s="108">
        <v>43552.0</v>
      </c>
      <c r="F116" s="42" t="str">
        <f>HYPERLINK("https://www.liputan6.com/news/read/3927592/acungan-jempol-hercules-usai-vonis-8-bulan-bui ","sumber")</f>
        <v>sumber</v>
      </c>
      <c r="G116" s="40" t="s">
        <v>33</v>
      </c>
      <c r="H116" s="107">
        <v>998.0</v>
      </c>
      <c r="I116" s="109"/>
      <c r="J116" s="40">
        <v>2.0</v>
      </c>
      <c r="K116" s="110"/>
      <c r="L116" s="41"/>
      <c r="M116" s="41"/>
      <c r="N116" s="41"/>
      <c r="O116" s="41"/>
      <c r="P116" s="41"/>
      <c r="Q116" s="40"/>
      <c r="R116" s="111"/>
      <c r="S116" s="40"/>
      <c r="T116" s="41"/>
      <c r="U116" s="41"/>
      <c r="V116" s="41"/>
      <c r="W116" s="41"/>
      <c r="X116" s="41"/>
      <c r="Y116" s="41"/>
    </row>
    <row r="117">
      <c r="A117" s="112">
        <v>1.0</v>
      </c>
      <c r="B117" s="125" t="s">
        <v>1282</v>
      </c>
      <c r="C117" s="114">
        <v>114.0</v>
      </c>
      <c r="D117" s="115">
        <v>1.0</v>
      </c>
      <c r="E117" s="126" t="s">
        <v>1283</v>
      </c>
      <c r="F117" s="117" t="str">
        <f>HYPERLINK("https://health.detik.com/diet/d-4514761/suara-pengidap-gangguan-jiwa-menangkan-jokowi-maruf-di-tps-ini ","sumber")</f>
        <v>sumber</v>
      </c>
      <c r="G117" s="117" t="str">
        <f t="shared" ref="G117:G118" si="13">HYPERLINK("https://drive.google.com/open?id=15K5sriRJOw0JTPqD9yRZzl0fwZcfdV8X","lokasi")</f>
        <v>lokasi</v>
      </c>
      <c r="H117" s="115">
        <v>197.0</v>
      </c>
      <c r="I117" s="118">
        <v>2.0</v>
      </c>
      <c r="J117" s="114">
        <v>2.0</v>
      </c>
      <c r="K117" s="119"/>
      <c r="L117" s="114">
        <v>0.0</v>
      </c>
      <c r="M117" s="114">
        <v>0.0</v>
      </c>
      <c r="N117" s="120">
        <v>0.0</v>
      </c>
      <c r="O117" s="114">
        <v>0.0</v>
      </c>
      <c r="P117" s="114">
        <v>0.0</v>
      </c>
      <c r="Q117" s="114"/>
      <c r="R117" s="121"/>
      <c r="S117" s="114"/>
      <c r="T117" s="114">
        <v>0.0</v>
      </c>
      <c r="U117" s="114">
        <v>0.0</v>
      </c>
      <c r="V117" s="114">
        <v>1.0</v>
      </c>
      <c r="W117" s="122"/>
      <c r="X117" s="122"/>
      <c r="Y117" s="122"/>
    </row>
    <row r="118">
      <c r="A118" s="101">
        <v>1.0</v>
      </c>
      <c r="B118" s="96" t="s">
        <v>1284</v>
      </c>
      <c r="C118" s="33">
        <v>115.0</v>
      </c>
      <c r="D118" s="97">
        <v>10.0</v>
      </c>
      <c r="E118" s="98">
        <v>43560.0</v>
      </c>
      <c r="F118" s="35" t="str">
        <f>HYPERLINK("https://difabel.tempo.co/read/1192635/ini-cara-canggih-disabilitas-ganda-buta-tuli-berkomunikasi ","sumber")</f>
        <v>sumber</v>
      </c>
      <c r="G118" s="35" t="str">
        <f t="shared" si="13"/>
        <v>lokasi</v>
      </c>
      <c r="H118" s="97">
        <v>288.0</v>
      </c>
      <c r="I118" s="99">
        <v>2.0</v>
      </c>
      <c r="J118" s="33">
        <v>2.0</v>
      </c>
      <c r="K118" s="102" t="s">
        <v>1285</v>
      </c>
      <c r="L118" s="33">
        <v>0.0</v>
      </c>
      <c r="M118" s="33">
        <v>0.0</v>
      </c>
      <c r="N118" s="37">
        <v>0.0</v>
      </c>
      <c r="O118" s="33">
        <v>0.0</v>
      </c>
      <c r="P118" s="33">
        <v>0.0</v>
      </c>
      <c r="Q118" s="33">
        <v>2.0</v>
      </c>
      <c r="R118" s="33">
        <v>1.0</v>
      </c>
      <c r="S118" s="33"/>
      <c r="T118" s="33">
        <v>0.0</v>
      </c>
      <c r="U118" s="33">
        <v>0.0</v>
      </c>
      <c r="V118" s="33">
        <v>1.0</v>
      </c>
      <c r="W118" s="36"/>
      <c r="X118" s="36"/>
      <c r="Y118" s="36"/>
    </row>
    <row r="119">
      <c r="A119" s="105">
        <v>2.0</v>
      </c>
      <c r="B119" s="106" t="s">
        <v>1286</v>
      </c>
      <c r="C119" s="40">
        <v>116.0</v>
      </c>
      <c r="D119" s="107">
        <v>9.0</v>
      </c>
      <c r="E119" s="108">
        <v>43561.0</v>
      </c>
      <c r="F119" s="42" t="str">
        <f>HYPERLINK("https://bola.republika.co.id/berita/sepakbola/liga-inggris/ppiivd438/klopp-liverpool-tak-perlu-bermain-seperti-manchester-city ","sumber")</f>
        <v>sumber</v>
      </c>
      <c r="G119" s="40" t="s">
        <v>33</v>
      </c>
      <c r="H119" s="107">
        <v>259.0</v>
      </c>
      <c r="I119" s="109"/>
      <c r="J119" s="40">
        <v>2.0</v>
      </c>
      <c r="K119" s="110"/>
      <c r="L119" s="41"/>
      <c r="M119" s="41"/>
      <c r="N119" s="41"/>
      <c r="O119" s="41"/>
      <c r="P119" s="41"/>
      <c r="Q119" s="40"/>
      <c r="R119" s="111"/>
      <c r="S119" s="40"/>
      <c r="T119" s="41"/>
      <c r="U119" s="41"/>
      <c r="V119" s="41"/>
      <c r="W119" s="41"/>
      <c r="X119" s="41"/>
      <c r="Y119" s="41"/>
    </row>
    <row r="120">
      <c r="A120" s="101">
        <v>1.0</v>
      </c>
      <c r="B120" s="96" t="s">
        <v>539</v>
      </c>
      <c r="C120" s="33">
        <v>117.0</v>
      </c>
      <c r="D120" s="97">
        <v>8.0</v>
      </c>
      <c r="E120" s="98">
        <v>43561.0</v>
      </c>
      <c r="F120" s="35" t="str">
        <f>HYPERLINK("https://www.suara.com/lifestyle/2019/04/06/080500/bikin-haru-bocah-ini-menggendong-teman-sekolahnya-setiap-hari ","sumber")</f>
        <v>sumber</v>
      </c>
      <c r="G120" s="35" t="str">
        <f t="shared" ref="G120:G122" si="14">HYPERLINK("https://drive.google.com/open?id=15K5sriRJOw0JTPqD9yRZzl0fwZcfdV8X","lokasi")</f>
        <v>lokasi</v>
      </c>
      <c r="H120" s="97">
        <v>235.0</v>
      </c>
      <c r="I120" s="99">
        <v>2.0</v>
      </c>
      <c r="J120" s="33">
        <v>2.0</v>
      </c>
      <c r="K120" s="102" t="s">
        <v>1287</v>
      </c>
      <c r="L120" s="33">
        <v>0.0</v>
      </c>
      <c r="M120" s="33">
        <v>0.0</v>
      </c>
      <c r="N120" s="37">
        <v>0.0</v>
      </c>
      <c r="O120" s="33">
        <v>0.0</v>
      </c>
      <c r="P120" s="33">
        <v>-1.0</v>
      </c>
      <c r="Q120" s="33">
        <v>2.0</v>
      </c>
      <c r="R120" s="33">
        <v>1.0</v>
      </c>
      <c r="S120" s="33" t="s">
        <v>1288</v>
      </c>
      <c r="T120" s="33">
        <v>1.0</v>
      </c>
      <c r="U120" s="33">
        <v>0.0</v>
      </c>
      <c r="V120" s="33">
        <v>0.0</v>
      </c>
      <c r="W120" s="36"/>
      <c r="X120" s="36"/>
      <c r="Y120" s="36"/>
    </row>
    <row r="121">
      <c r="A121" s="112">
        <v>1.0</v>
      </c>
      <c r="B121" s="125" t="s">
        <v>1289</v>
      </c>
      <c r="C121" s="114">
        <v>118.0</v>
      </c>
      <c r="D121" s="115">
        <v>9.0</v>
      </c>
      <c r="E121" s="116">
        <v>43563.0</v>
      </c>
      <c r="F121" s="117" t="str">
        <f>HYPERLINK("https://gayahidup.republika.co.id/berita/gaya-hidup/info-sehat/ppm9h7328/odgj-dipastikan-miliki-kesempatan-memilih-yang-sama ","sumber")</f>
        <v>sumber</v>
      </c>
      <c r="G121" s="117" t="str">
        <f t="shared" si="14"/>
        <v>lokasi</v>
      </c>
      <c r="H121" s="115">
        <v>466.0</v>
      </c>
      <c r="I121" s="118">
        <v>4.0</v>
      </c>
      <c r="J121" s="114">
        <v>2.0</v>
      </c>
      <c r="K121" s="119" t="s">
        <v>1290</v>
      </c>
      <c r="L121" s="114">
        <v>0.0</v>
      </c>
      <c r="M121" s="114">
        <v>0.0</v>
      </c>
      <c r="N121" s="120">
        <v>0.0</v>
      </c>
      <c r="O121" s="114">
        <v>0.0</v>
      </c>
      <c r="P121" s="114">
        <v>0.0</v>
      </c>
      <c r="Q121" s="114">
        <v>0.0</v>
      </c>
      <c r="R121" s="121">
        <v>1.0</v>
      </c>
      <c r="S121" s="114"/>
      <c r="T121" s="114">
        <v>0.0</v>
      </c>
      <c r="U121" s="114">
        <v>0.0</v>
      </c>
      <c r="V121" s="114">
        <v>1.0</v>
      </c>
      <c r="W121" s="122"/>
      <c r="X121" s="122"/>
      <c r="Y121" s="122"/>
    </row>
    <row r="122">
      <c r="A122" s="112">
        <v>1.0</v>
      </c>
      <c r="B122" s="113" t="s">
        <v>1291</v>
      </c>
      <c r="C122" s="114">
        <v>119.0</v>
      </c>
      <c r="D122" s="115">
        <v>4.0</v>
      </c>
      <c r="E122" s="116">
        <v>43564.0</v>
      </c>
      <c r="F122" s="117" t="str">
        <f>HYPERLINK("https://hot.liputan6.com/read/3937756/kisah-pilu-bayi-hasil-sewa-rahim-dibuang-karena-alami-kondisi-ini","sumber")</f>
        <v>sumber</v>
      </c>
      <c r="G122" s="117" t="str">
        <f t="shared" si="14"/>
        <v>lokasi</v>
      </c>
      <c r="H122" s="115">
        <v>518.0</v>
      </c>
      <c r="I122" s="118">
        <v>2.0</v>
      </c>
      <c r="J122" s="114">
        <v>2.0</v>
      </c>
      <c r="K122" s="119" t="s">
        <v>1292</v>
      </c>
      <c r="L122" s="114">
        <v>0.0</v>
      </c>
      <c r="M122" s="114">
        <v>0.0</v>
      </c>
      <c r="N122" s="120">
        <v>0.0</v>
      </c>
      <c r="O122" s="114">
        <v>0.0</v>
      </c>
      <c r="P122" s="114">
        <v>0.0</v>
      </c>
      <c r="Q122" s="114" t="s">
        <v>61</v>
      </c>
      <c r="R122" s="121" t="s">
        <v>780</v>
      </c>
      <c r="S122" s="114"/>
      <c r="T122" s="114">
        <v>0.0</v>
      </c>
      <c r="U122" s="114">
        <v>0.0</v>
      </c>
      <c r="V122" s="114">
        <v>1.0</v>
      </c>
      <c r="W122" s="122"/>
      <c r="X122" s="122"/>
      <c r="Y122" s="122"/>
    </row>
    <row r="123">
      <c r="A123" s="105">
        <v>2.0</v>
      </c>
      <c r="B123" s="106" t="s">
        <v>1293</v>
      </c>
      <c r="C123" s="40">
        <v>120.0</v>
      </c>
      <c r="D123" s="107">
        <v>9.0</v>
      </c>
      <c r="E123" s="108">
        <v>43567.0</v>
      </c>
      <c r="F123" s="42" t="str">
        <f>HYPERLINK("https://gayahidup.republika.co.id/berita/gaya-hidup/info-sehat/ppugh9423/ltemgtwinning-meal-projectltemgt-cara-ajinomoto-dongkrak-prestasi-atlet ","sumber")</f>
        <v>sumber</v>
      </c>
      <c r="G123" s="40" t="s">
        <v>33</v>
      </c>
      <c r="H123" s="107">
        <v>232.0</v>
      </c>
      <c r="I123" s="109"/>
      <c r="J123" s="40">
        <v>2.0</v>
      </c>
      <c r="K123" s="110"/>
      <c r="L123" s="41"/>
      <c r="M123" s="41"/>
      <c r="N123" s="41"/>
      <c r="O123" s="41"/>
      <c r="P123" s="41"/>
      <c r="Q123" s="40"/>
      <c r="R123" s="111"/>
      <c r="S123" s="40"/>
      <c r="T123" s="41"/>
      <c r="U123" s="41"/>
      <c r="V123" s="41"/>
      <c r="W123" s="41"/>
      <c r="X123" s="41"/>
      <c r="Y123" s="41"/>
    </row>
    <row r="124">
      <c r="A124" s="101">
        <v>1.0</v>
      </c>
      <c r="B124" s="96" t="s">
        <v>1294</v>
      </c>
      <c r="C124" s="33">
        <v>121.0</v>
      </c>
      <c r="D124" s="97">
        <v>5.0</v>
      </c>
      <c r="E124" s="98">
        <v>43571.0</v>
      </c>
      <c r="F124" s="35" t="str">
        <f>HYPERLINK("https://tirto.id/iklan-televisi-parpol-perindo-juara-psi-kedua-gerindra-terhemat-dmdw ","sumber")</f>
        <v>sumber</v>
      </c>
      <c r="G124" s="35" t="str">
        <f t="shared" ref="G124:G127" si="15">HYPERLINK("https://drive.google.com/open?id=15K5sriRJOw0JTPqD9yRZzl0fwZcfdV8X","lokasi")</f>
        <v>lokasi</v>
      </c>
      <c r="H124" s="97">
        <v>693.0</v>
      </c>
      <c r="I124" s="99">
        <v>4.0</v>
      </c>
      <c r="J124" s="33">
        <v>2.0</v>
      </c>
      <c r="K124" s="33"/>
      <c r="L124" s="33">
        <v>0.0</v>
      </c>
      <c r="M124" s="33">
        <v>0.0</v>
      </c>
      <c r="N124" s="37">
        <v>0.0</v>
      </c>
      <c r="O124" s="33">
        <v>0.0</v>
      </c>
      <c r="P124" s="33">
        <v>0.0</v>
      </c>
      <c r="Q124" s="33"/>
      <c r="R124" s="33"/>
      <c r="S124" s="33"/>
      <c r="T124" s="33">
        <v>0.0</v>
      </c>
      <c r="U124" s="33">
        <v>0.0</v>
      </c>
      <c r="V124" s="33">
        <v>1.0</v>
      </c>
      <c r="W124" s="36"/>
      <c r="X124" s="36"/>
      <c r="Y124" s="36"/>
    </row>
    <row r="125">
      <c r="A125" s="112">
        <v>1.0</v>
      </c>
      <c r="B125" s="113" t="s">
        <v>1295</v>
      </c>
      <c r="C125" s="114">
        <v>122.0</v>
      </c>
      <c r="D125" s="115">
        <v>4.0</v>
      </c>
      <c r="E125" s="116">
        <v>43582.0</v>
      </c>
      <c r="F125" s="117" t="str">
        <f>HYPERLINK("https://www.liputan6.com/news/read/3951152/headline-kisah-caleg-gagal-di-pemilu-2019-siap-menang-tapi-tak-siap-kalah","sumber")</f>
        <v>sumber</v>
      </c>
      <c r="G125" s="117" t="str">
        <f t="shared" si="15"/>
        <v>lokasi</v>
      </c>
      <c r="H125" s="115">
        <v>1537.0</v>
      </c>
      <c r="I125" s="118">
        <v>2.0</v>
      </c>
      <c r="J125" s="114">
        <v>2.0</v>
      </c>
      <c r="K125" s="119" t="s">
        <v>1296</v>
      </c>
      <c r="L125" s="114">
        <v>0.0</v>
      </c>
      <c r="M125" s="114">
        <v>0.0</v>
      </c>
      <c r="N125" s="120">
        <v>0.0</v>
      </c>
      <c r="O125" s="114">
        <v>0.0</v>
      </c>
      <c r="P125" s="114">
        <v>0.0</v>
      </c>
      <c r="Q125" s="114" t="s">
        <v>144</v>
      </c>
      <c r="R125" s="114" t="s">
        <v>144</v>
      </c>
      <c r="S125" s="114"/>
      <c r="T125" s="114">
        <v>0.0</v>
      </c>
      <c r="U125" s="114">
        <v>0.0</v>
      </c>
      <c r="V125" s="114">
        <v>1.0</v>
      </c>
      <c r="W125" s="122"/>
      <c r="X125" s="122"/>
      <c r="Y125" s="122"/>
    </row>
    <row r="126">
      <c r="A126" s="112">
        <v>1.0</v>
      </c>
      <c r="B126" s="113" t="s">
        <v>1297</v>
      </c>
      <c r="C126" s="114">
        <v>123.0</v>
      </c>
      <c r="D126" s="115">
        <v>2.0</v>
      </c>
      <c r="E126" s="116">
        <v>43563.0</v>
      </c>
      <c r="F126" s="117" t="str">
        <f>HYPERLINK("https://www.cnnindonesia.com/nasional/20190408090548-32-384176/dokter-jiwa-hak-pilih-bagi-gangguan-jiwa-sudah-sejak-95","sumber")</f>
        <v>sumber</v>
      </c>
      <c r="G126" s="117" t="str">
        <f t="shared" si="15"/>
        <v>lokasi</v>
      </c>
      <c r="H126" s="115">
        <v>451.0</v>
      </c>
      <c r="I126" s="118">
        <v>4.0</v>
      </c>
      <c r="J126" s="114">
        <v>2.0</v>
      </c>
      <c r="K126" s="119" t="s">
        <v>1298</v>
      </c>
      <c r="L126" s="114">
        <v>0.0</v>
      </c>
      <c r="M126" s="114">
        <v>0.0</v>
      </c>
      <c r="N126" s="120">
        <v>0.0</v>
      </c>
      <c r="O126" s="114">
        <v>0.0</v>
      </c>
      <c r="P126" s="114">
        <v>0.0</v>
      </c>
      <c r="Q126" s="114">
        <v>0.0</v>
      </c>
      <c r="R126" s="121">
        <v>1.0</v>
      </c>
      <c r="S126" s="114"/>
      <c r="T126" s="114">
        <v>0.0</v>
      </c>
      <c r="U126" s="114">
        <v>0.0</v>
      </c>
      <c r="V126" s="114">
        <v>1.0</v>
      </c>
      <c r="W126" s="122"/>
      <c r="X126" s="122"/>
      <c r="Y126" s="122"/>
    </row>
    <row r="127">
      <c r="A127" s="101">
        <v>1.0</v>
      </c>
      <c r="B127" s="96" t="s">
        <v>1299</v>
      </c>
      <c r="C127" s="33">
        <v>124.0</v>
      </c>
      <c r="D127" s="97">
        <v>1.0</v>
      </c>
      <c r="E127" s="98">
        <v>43578.0</v>
      </c>
      <c r="F127" s="35" t="str">
        <f>HYPERLINK("https://news.detik.com/berita-jawa-timur/d-4521059/rs-jiwa-penyuntikan-obat-apapun-harus-dilakukan-petugas-medis ","sumber")</f>
        <v>sumber</v>
      </c>
      <c r="G127" s="35" t="str">
        <f t="shared" si="15"/>
        <v>lokasi</v>
      </c>
      <c r="H127" s="97">
        <v>263.0</v>
      </c>
      <c r="I127" s="99">
        <v>1.0</v>
      </c>
      <c r="J127" s="33">
        <v>2.0</v>
      </c>
      <c r="K127" s="102" t="s">
        <v>1300</v>
      </c>
      <c r="L127" s="33">
        <v>0.0</v>
      </c>
      <c r="M127" s="50">
        <v>0.0</v>
      </c>
      <c r="N127" s="37">
        <v>0.0</v>
      </c>
      <c r="O127" s="33">
        <v>0.0</v>
      </c>
      <c r="P127" s="33">
        <v>0.0</v>
      </c>
      <c r="Q127" s="33" t="s">
        <v>61</v>
      </c>
      <c r="R127" s="33" t="s">
        <v>214</v>
      </c>
      <c r="S127" s="33"/>
      <c r="T127" s="33">
        <v>0.0</v>
      </c>
      <c r="U127" s="33">
        <v>0.0</v>
      </c>
      <c r="V127" s="33">
        <v>1.0</v>
      </c>
      <c r="W127" s="36"/>
      <c r="X127" s="36"/>
      <c r="Y127" s="36"/>
    </row>
    <row r="128">
      <c r="A128" s="105">
        <v>2.0</v>
      </c>
      <c r="B128" s="106" t="s">
        <v>1301</v>
      </c>
      <c r="C128" s="40">
        <v>125.0</v>
      </c>
      <c r="D128" s="107">
        <v>6.0</v>
      </c>
      <c r="E128" s="108">
        <v>43580.0</v>
      </c>
      <c r="F128" s="42" t="str">
        <f>HYPERLINK("https://entertainment.kompas.com/read/2019/04/25/164739610/banyak-permintaan-yura-yunita-bikin-merakit-konser-di-jakarta ","sumber")</f>
        <v>sumber</v>
      </c>
      <c r="G128" s="40" t="s">
        <v>33</v>
      </c>
      <c r="H128" s="107">
        <v>222.0</v>
      </c>
      <c r="I128" s="109"/>
      <c r="J128" s="40">
        <v>2.0</v>
      </c>
      <c r="K128" s="110"/>
      <c r="L128" s="41"/>
      <c r="M128" s="41"/>
      <c r="N128" s="41"/>
      <c r="O128" s="41"/>
      <c r="P128" s="41"/>
      <c r="Q128" s="40"/>
      <c r="R128" s="111"/>
      <c r="S128" s="40"/>
      <c r="T128" s="41"/>
      <c r="U128" s="41"/>
      <c r="V128" s="41"/>
      <c r="W128" s="41"/>
      <c r="X128" s="41"/>
      <c r="Y128" s="41"/>
    </row>
    <row r="129">
      <c r="A129" s="112">
        <v>1.0</v>
      </c>
      <c r="B129" s="125" t="s">
        <v>1302</v>
      </c>
      <c r="C129" s="114">
        <v>126.0</v>
      </c>
      <c r="D129" s="115">
        <v>5.0</v>
      </c>
      <c r="E129" s="126" t="s">
        <v>1303</v>
      </c>
      <c r="F129" s="117" t="str">
        <f>HYPERLINK("https://tirto.id/kampanye-pks-singgung-disabilitas-aliansi-kok-dijadikan-lelucon-dlgw ","sumber")</f>
        <v>sumber</v>
      </c>
      <c r="G129" s="117" t="str">
        <f t="shared" ref="G129:G135" si="16">HYPERLINK("https://drive.google.com/open?id=15K5sriRJOw0JTPqD9yRZzl0fwZcfdV8X","lokasi")</f>
        <v>lokasi</v>
      </c>
      <c r="H129" s="115">
        <v>786.0</v>
      </c>
      <c r="I129" s="118">
        <v>2.0</v>
      </c>
      <c r="J129" s="114">
        <v>2.0</v>
      </c>
      <c r="K129" s="119" t="s">
        <v>1304</v>
      </c>
      <c r="L129" s="114">
        <v>0.0</v>
      </c>
      <c r="M129" s="114">
        <v>0.0</v>
      </c>
      <c r="N129" s="120">
        <v>0.0</v>
      </c>
      <c r="O129" s="114">
        <v>0.0</v>
      </c>
      <c r="P129" s="114">
        <v>0.0</v>
      </c>
      <c r="Q129" s="114" t="s">
        <v>217</v>
      </c>
      <c r="R129" s="121" t="s">
        <v>1305</v>
      </c>
      <c r="S129" s="114"/>
      <c r="T129" s="114">
        <v>0.0</v>
      </c>
      <c r="U129" s="114">
        <v>0.0</v>
      </c>
      <c r="V129" s="114">
        <v>1.0</v>
      </c>
      <c r="W129" s="122"/>
      <c r="X129" s="122"/>
      <c r="Y129" s="122"/>
    </row>
    <row r="130">
      <c r="A130" s="101">
        <v>1.0</v>
      </c>
      <c r="B130" s="96" t="s">
        <v>1306</v>
      </c>
      <c r="C130" s="33">
        <v>127.0</v>
      </c>
      <c r="D130" s="97">
        <v>7.0</v>
      </c>
      <c r="E130" s="98">
        <v>43582.0</v>
      </c>
      <c r="F130" s="35" t="str">
        <f>HYPERLINK("http://www.tribunnews.com/kesehatan/2019/04/27/hilangkan-citra-buruk-gangguan-jiwa-sejumlah-dokter-resmikan-komunitas-sahitya ","sumber")</f>
        <v>sumber</v>
      </c>
      <c r="G130" s="35" t="str">
        <f t="shared" si="16"/>
        <v>lokasi</v>
      </c>
      <c r="H130" s="97">
        <v>477.0</v>
      </c>
      <c r="I130" s="99">
        <v>2.0</v>
      </c>
      <c r="J130" s="33">
        <v>2.0</v>
      </c>
      <c r="K130" s="102" t="s">
        <v>1307</v>
      </c>
      <c r="L130" s="33">
        <v>0.0</v>
      </c>
      <c r="M130" s="33">
        <v>0.0</v>
      </c>
      <c r="N130" s="37">
        <v>0.0</v>
      </c>
      <c r="O130" s="33">
        <v>0.0</v>
      </c>
      <c r="P130" s="33">
        <v>0.0</v>
      </c>
      <c r="Q130" s="33" t="s">
        <v>61</v>
      </c>
      <c r="R130" s="33" t="s">
        <v>192</v>
      </c>
      <c r="S130" s="33"/>
      <c r="T130" s="33">
        <v>0.0</v>
      </c>
      <c r="U130" s="33">
        <v>0.0</v>
      </c>
      <c r="V130" s="33">
        <v>1.0</v>
      </c>
      <c r="W130" s="36"/>
      <c r="X130" s="36"/>
      <c r="Y130" s="36"/>
    </row>
    <row r="131">
      <c r="A131" s="101">
        <v>1.0</v>
      </c>
      <c r="B131" s="96" t="s">
        <v>1308</v>
      </c>
      <c r="C131" s="33">
        <v>128.0</v>
      </c>
      <c r="D131" s="97">
        <v>10.0</v>
      </c>
      <c r="E131" s="98">
        <v>43588.0</v>
      </c>
      <c r="F131" s="35" t="str">
        <f>HYPERLINK("https://difabel.tempo.co/read/1201719/bantu-difabel-tuli-petugas-lrt-jakarta-kuasai-bahasa-isyarat ","sumber")</f>
        <v>sumber</v>
      </c>
      <c r="G131" s="35" t="str">
        <f t="shared" si="16"/>
        <v>lokasi</v>
      </c>
      <c r="H131" s="97">
        <v>249.0</v>
      </c>
      <c r="I131" s="99">
        <v>2.0</v>
      </c>
      <c r="J131" s="33">
        <v>2.0</v>
      </c>
      <c r="K131" s="102" t="s">
        <v>1309</v>
      </c>
      <c r="L131" s="33">
        <v>0.0</v>
      </c>
      <c r="M131" s="33">
        <v>0.0</v>
      </c>
      <c r="N131" s="37">
        <v>0.0</v>
      </c>
      <c r="O131" s="33">
        <v>0.0</v>
      </c>
      <c r="P131" s="33">
        <v>0.0</v>
      </c>
      <c r="Q131" s="33" t="s">
        <v>53</v>
      </c>
      <c r="R131" s="33" t="s">
        <v>1078</v>
      </c>
      <c r="S131" s="33"/>
      <c r="T131" s="33">
        <v>0.0</v>
      </c>
      <c r="U131" s="33">
        <v>0.0</v>
      </c>
      <c r="V131" s="33">
        <v>1.0</v>
      </c>
      <c r="W131" s="36"/>
      <c r="X131" s="36"/>
      <c r="Y131" s="36"/>
    </row>
    <row r="132">
      <c r="A132" s="101">
        <v>1.0</v>
      </c>
      <c r="B132" s="96" t="s">
        <v>1310</v>
      </c>
      <c r="C132" s="33">
        <v>129.0</v>
      </c>
      <c r="D132" s="97">
        <v>1.0</v>
      </c>
      <c r="E132" s="98">
        <v>43593.0</v>
      </c>
      <c r="F132" s="35" t="str">
        <f>HYPERLINK("https://news.detik.com/berita/d-4541291/terima-wapres-argentina-mensos-bicara-sukses-ri-gelar-asian-para-games ","sumber")</f>
        <v>sumber</v>
      </c>
      <c r="G132" s="35" t="str">
        <f t="shared" si="16"/>
        <v>lokasi</v>
      </c>
      <c r="H132" s="97">
        <v>505.0</v>
      </c>
      <c r="I132" s="99">
        <v>4.0</v>
      </c>
      <c r="J132" s="33">
        <v>2.0</v>
      </c>
      <c r="K132" s="102" t="s">
        <v>1311</v>
      </c>
      <c r="L132" s="33">
        <v>0.0</v>
      </c>
      <c r="M132" s="33">
        <v>0.0</v>
      </c>
      <c r="N132" s="37">
        <v>0.0</v>
      </c>
      <c r="O132" s="33">
        <v>0.0</v>
      </c>
      <c r="P132" s="33">
        <v>0.0</v>
      </c>
      <c r="Q132" s="33">
        <v>0.0</v>
      </c>
      <c r="R132" s="33">
        <v>0.0</v>
      </c>
      <c r="S132" s="33"/>
      <c r="T132" s="33">
        <v>0.0</v>
      </c>
      <c r="U132" s="33">
        <v>0.0</v>
      </c>
      <c r="V132" s="33">
        <v>1.0</v>
      </c>
      <c r="W132" s="36"/>
      <c r="X132" s="36"/>
      <c r="Y132" s="36"/>
    </row>
    <row r="133">
      <c r="A133" s="112">
        <v>1.0</v>
      </c>
      <c r="B133" s="125" t="s">
        <v>1312</v>
      </c>
      <c r="C133" s="114">
        <v>130.0</v>
      </c>
      <c r="D133" s="115">
        <v>3.0</v>
      </c>
      <c r="E133" s="126" t="s">
        <v>1313</v>
      </c>
      <c r="F133" s="117" t="str">
        <f>HYPERLINK("https://news.okezone.com/read/2019/05/16/519/2056327/pelaku-mutilasi-malang-diduga-alami-gangguan-jiwa-polisi-sulit-ungkap-identitas-korban ","sumber")</f>
        <v>sumber</v>
      </c>
      <c r="G133" s="117" t="str">
        <f t="shared" si="16"/>
        <v>lokasi</v>
      </c>
      <c r="H133" s="115">
        <v>401.0</v>
      </c>
      <c r="I133" s="118">
        <v>1.0</v>
      </c>
      <c r="J133" s="114">
        <v>2.0</v>
      </c>
      <c r="K133" s="119" t="s">
        <v>1314</v>
      </c>
      <c r="L133" s="114">
        <v>0.0</v>
      </c>
      <c r="M133" s="114">
        <v>-1.0</v>
      </c>
      <c r="N133" s="120">
        <v>0.0</v>
      </c>
      <c r="O133" s="114">
        <v>0.0</v>
      </c>
      <c r="P133" s="114">
        <v>0.0</v>
      </c>
      <c r="Q133" s="114">
        <v>0.0</v>
      </c>
      <c r="R133" s="121">
        <v>0.0</v>
      </c>
      <c r="S133" s="114" t="s">
        <v>1315</v>
      </c>
      <c r="T133" s="114">
        <v>1.0</v>
      </c>
      <c r="U133" s="114">
        <v>-1.0</v>
      </c>
      <c r="V133" s="114">
        <v>1.0</v>
      </c>
      <c r="W133" s="122"/>
      <c r="X133" s="122"/>
      <c r="Y133" s="122"/>
    </row>
    <row r="134">
      <c r="A134" s="112">
        <v>1.0</v>
      </c>
      <c r="B134" s="125" t="s">
        <v>1316</v>
      </c>
      <c r="C134" s="114">
        <v>131.0</v>
      </c>
      <c r="D134" s="115">
        <v>7.0</v>
      </c>
      <c r="E134" s="126" t="s">
        <v>1317</v>
      </c>
      <c r="F134" s="117" t="str">
        <f>HYPERLINK("http://www.tribunnews.com/regional/2019/05/06/mayat-gelandangan-yang-diduga-gila-ditemukan-tergeletak-di-jalan-gus-dur-jombang ","sumber")</f>
        <v>sumber</v>
      </c>
      <c r="G134" s="117" t="str">
        <f t="shared" si="16"/>
        <v>lokasi</v>
      </c>
      <c r="H134" s="115">
        <v>259.0</v>
      </c>
      <c r="I134" s="118">
        <v>1.0</v>
      </c>
      <c r="J134" s="114">
        <v>2.0</v>
      </c>
      <c r="K134" s="119" t="s">
        <v>1318</v>
      </c>
      <c r="L134" s="114">
        <v>0.0</v>
      </c>
      <c r="M134" s="50">
        <v>0.0</v>
      </c>
      <c r="N134" s="120">
        <v>0.0</v>
      </c>
      <c r="O134" s="114">
        <v>0.0</v>
      </c>
      <c r="P134" s="114">
        <v>0.0</v>
      </c>
      <c r="Q134" s="114" t="s">
        <v>61</v>
      </c>
      <c r="R134" s="121" t="s">
        <v>61</v>
      </c>
      <c r="S134" s="114"/>
      <c r="T134" s="114">
        <v>0.0</v>
      </c>
      <c r="U134" s="114">
        <v>0.0</v>
      </c>
      <c r="V134" s="114">
        <v>1.0</v>
      </c>
      <c r="W134" s="122"/>
      <c r="X134" s="122"/>
      <c r="Y134" s="122"/>
    </row>
    <row r="135">
      <c r="A135" s="112">
        <v>1.0</v>
      </c>
      <c r="B135" s="125" t="s">
        <v>1319</v>
      </c>
      <c r="C135" s="114">
        <v>132.0</v>
      </c>
      <c r="D135" s="115">
        <v>1.0</v>
      </c>
      <c r="E135" s="126" t="s">
        <v>1320</v>
      </c>
      <c r="F135" s="117" t="str">
        <f>HYPERLINK("https://news.detik.com/berita-jawa-barat/d-4547181/pria-diduga-odgj-alami-koma-setelah-jadi-korban-tabrak-lari ","sumber")</f>
        <v>sumber</v>
      </c>
      <c r="G135" s="117" t="str">
        <f t="shared" si="16"/>
        <v>lokasi</v>
      </c>
      <c r="H135" s="115">
        <v>222.0</v>
      </c>
      <c r="I135" s="118">
        <v>1.0</v>
      </c>
      <c r="J135" s="114">
        <v>2.0</v>
      </c>
      <c r="K135" s="119" t="s">
        <v>1321</v>
      </c>
      <c r="L135" s="114">
        <v>0.0</v>
      </c>
      <c r="M135" s="50">
        <v>0.0</v>
      </c>
      <c r="N135" s="120">
        <v>0.0</v>
      </c>
      <c r="O135" s="114">
        <v>0.0</v>
      </c>
      <c r="P135" s="114">
        <v>0.0</v>
      </c>
      <c r="Q135" s="114" t="s">
        <v>61</v>
      </c>
      <c r="R135" s="121" t="s">
        <v>61</v>
      </c>
      <c r="S135" s="114"/>
      <c r="T135" s="114">
        <v>0.0</v>
      </c>
      <c r="U135" s="114">
        <v>-1.0</v>
      </c>
      <c r="V135" s="114">
        <v>1.0</v>
      </c>
      <c r="W135" s="122"/>
      <c r="X135" s="122"/>
      <c r="Y135" s="122"/>
    </row>
    <row r="136">
      <c r="A136" s="105">
        <v>2.0</v>
      </c>
      <c r="B136" s="106" t="s">
        <v>1322</v>
      </c>
      <c r="C136" s="40">
        <v>133.0</v>
      </c>
      <c r="D136" s="107">
        <v>2.0</v>
      </c>
      <c r="E136" s="108">
        <v>43611.0</v>
      </c>
      <c r="F136" s="42" t="str">
        <f>HYPERLINK("https://www.cnnindonesia.com/hiburan/20190526053434-220-398432/parasite-berjaya-di-cannes-banderas-dan-beecham-terbaik ","sumber")</f>
        <v>sumber</v>
      </c>
      <c r="G136" s="40" t="s">
        <v>33</v>
      </c>
      <c r="H136" s="107">
        <v>711.0</v>
      </c>
      <c r="I136" s="109"/>
      <c r="J136" s="40">
        <v>2.0</v>
      </c>
      <c r="K136" s="110"/>
      <c r="L136" s="41"/>
      <c r="M136" s="41"/>
      <c r="N136" s="41"/>
      <c r="O136" s="41"/>
      <c r="P136" s="41"/>
      <c r="Q136" s="40"/>
      <c r="R136" s="111"/>
      <c r="S136" s="40"/>
      <c r="T136" s="41"/>
      <c r="U136" s="41"/>
      <c r="V136" s="41"/>
      <c r="W136" s="41"/>
      <c r="X136" s="41"/>
      <c r="Y136" s="41"/>
    </row>
    <row r="137">
      <c r="A137" s="105">
        <v>2.0</v>
      </c>
      <c r="B137" s="106" t="s">
        <v>1323</v>
      </c>
      <c r="C137" s="40">
        <v>134.0</v>
      </c>
      <c r="D137" s="107">
        <v>8.0</v>
      </c>
      <c r="E137" s="108">
        <v>43611.0</v>
      </c>
      <c r="F137" s="42" t="str">
        <f>HYPERLINK("https://www.suara.com/news/2019/05/26/104647/ada-korban-kerusuhan-22-mei-ferdinand-presiden-lebih-peduli-tabung-gas ","sumber")</f>
        <v>sumber</v>
      </c>
      <c r="G137" s="40" t="s">
        <v>33</v>
      </c>
      <c r="H137" s="107">
        <v>230.0</v>
      </c>
      <c r="I137" s="109"/>
      <c r="J137" s="40">
        <v>2.0</v>
      </c>
      <c r="K137" s="110"/>
      <c r="L137" s="41"/>
      <c r="M137" s="41"/>
      <c r="N137" s="41"/>
      <c r="O137" s="41"/>
      <c r="P137" s="41"/>
      <c r="Q137" s="40"/>
      <c r="R137" s="111"/>
      <c r="S137" s="40"/>
      <c r="T137" s="41"/>
      <c r="U137" s="41"/>
      <c r="V137" s="41"/>
      <c r="W137" s="41"/>
      <c r="X137" s="41"/>
      <c r="Y137" s="41"/>
    </row>
    <row r="138">
      <c r="A138" s="112">
        <v>1.0</v>
      </c>
      <c r="B138" s="113" t="s">
        <v>1324</v>
      </c>
      <c r="C138" s="114">
        <v>135.0</v>
      </c>
      <c r="D138" s="115">
        <v>5.0</v>
      </c>
      <c r="E138" s="116">
        <v>43611.0</v>
      </c>
      <c r="F138" s="117" t="str">
        <f>HYPERLINK("https://tirto.id/down-swan-gambaran-down-syndrome-dan-empati-tanpa-konteks-d3wL ","sumber")</f>
        <v>sumber</v>
      </c>
      <c r="G138" s="117" t="str">
        <f>HYPERLINK("https://drive.google.com/open?id=15K5sriRJOw0JTPqD9yRZzl0fwZcfdV8X","lokasi")</f>
        <v>lokasi</v>
      </c>
      <c r="H138" s="115">
        <v>651.0</v>
      </c>
      <c r="I138" s="118">
        <v>2.0</v>
      </c>
      <c r="J138" s="114">
        <v>2.0</v>
      </c>
      <c r="K138" s="119"/>
      <c r="L138" s="114">
        <v>0.0</v>
      </c>
      <c r="M138" s="114">
        <v>0.0</v>
      </c>
      <c r="N138" s="120">
        <v>0.0</v>
      </c>
      <c r="O138" s="114">
        <v>0.0</v>
      </c>
      <c r="P138" s="114">
        <v>0.0</v>
      </c>
      <c r="Q138" s="114"/>
      <c r="R138" s="114"/>
      <c r="S138" s="114"/>
      <c r="T138" s="114">
        <v>0.0</v>
      </c>
      <c r="U138" s="114">
        <v>0.0</v>
      </c>
      <c r="V138" s="114">
        <v>1.0</v>
      </c>
      <c r="W138" s="122"/>
      <c r="X138" s="122"/>
      <c r="Y138" s="122"/>
    </row>
    <row r="139">
      <c r="A139" s="105">
        <v>2.0</v>
      </c>
      <c r="B139" s="106" t="s">
        <v>1325</v>
      </c>
      <c r="C139" s="40">
        <v>136.0</v>
      </c>
      <c r="D139" s="107">
        <v>2.0</v>
      </c>
      <c r="E139" s="108">
        <v>43614.0</v>
      </c>
      <c r="F139" s="42" t="str">
        <f>HYPERLINK("https://www.cnnindonesia.com/internasional/20190529114654-113-399405/polisi-jepang-geledah-rumah-pelaku-penikaman-massal ","sumber")</f>
        <v>sumber</v>
      </c>
      <c r="G139" s="40" t="s">
        <v>33</v>
      </c>
      <c r="H139" s="107">
        <v>242.0</v>
      </c>
      <c r="I139" s="109"/>
      <c r="J139" s="40">
        <v>2.0</v>
      </c>
      <c r="K139" s="110"/>
      <c r="L139" s="41"/>
      <c r="M139" s="41"/>
      <c r="N139" s="41"/>
      <c r="O139" s="41"/>
      <c r="P139" s="41"/>
      <c r="Q139" s="40"/>
      <c r="R139" s="111"/>
      <c r="S139" s="40"/>
      <c r="T139" s="41"/>
      <c r="U139" s="41"/>
      <c r="V139" s="41"/>
      <c r="W139" s="41"/>
      <c r="X139" s="41"/>
      <c r="Y139" s="41"/>
    </row>
    <row r="140">
      <c r="A140" s="105">
        <v>2.0</v>
      </c>
      <c r="B140" s="106" t="s">
        <v>1326</v>
      </c>
      <c r="C140" s="40">
        <v>137.0</v>
      </c>
      <c r="D140" s="107">
        <v>3.0</v>
      </c>
      <c r="E140" s="108">
        <v>43616.0</v>
      </c>
      <c r="F140" s="42" t="str">
        <f>HYPERLINK("https://bola.okezone.com/read/2019/05/31/261/2062469/ambisi-vertonghen-tutup-musim-gila-tottenham-dengan-trofi-liga-champions ","sumber")</f>
        <v>sumber</v>
      </c>
      <c r="G140" s="40" t="s">
        <v>33</v>
      </c>
      <c r="H140" s="107">
        <v>298.0</v>
      </c>
      <c r="I140" s="109"/>
      <c r="J140" s="40">
        <v>2.0</v>
      </c>
      <c r="K140" s="110"/>
      <c r="L140" s="41"/>
      <c r="M140" s="41"/>
      <c r="N140" s="41"/>
      <c r="O140" s="41"/>
      <c r="P140" s="41"/>
      <c r="Q140" s="40"/>
      <c r="R140" s="111"/>
      <c r="S140" s="40"/>
      <c r="T140" s="41"/>
      <c r="U140" s="41"/>
      <c r="V140" s="41"/>
      <c r="W140" s="41"/>
      <c r="X140" s="41"/>
      <c r="Y140" s="41"/>
    </row>
    <row r="141">
      <c r="A141" s="101">
        <v>1.0</v>
      </c>
      <c r="B141" s="96" t="s">
        <v>1327</v>
      </c>
      <c r="C141" s="33">
        <v>138.0</v>
      </c>
      <c r="D141" s="97">
        <v>9.0</v>
      </c>
      <c r="E141" s="98">
        <v>43617.0</v>
      </c>
      <c r="F141" s="35" t="str">
        <f>HYPERLINK("https://republika.co.id/berita/ramadhan/kabar-ramadhan/psexp3416/mandiri-syariah-berangkatkan-ratusan-pemudik-difabel ","sumber")</f>
        <v>sumber</v>
      </c>
      <c r="G141" s="35" t="str">
        <f>HYPERLINK("https://drive.google.com/open?id=15K5sriRJOw0JTPqD9yRZzl0fwZcfdV8X","lokasi")</f>
        <v>lokasi</v>
      </c>
      <c r="H141" s="97">
        <v>285.0</v>
      </c>
      <c r="I141" s="99">
        <v>2.0</v>
      </c>
      <c r="J141" s="33">
        <v>2.0</v>
      </c>
      <c r="K141" s="102" t="s">
        <v>1328</v>
      </c>
      <c r="L141" s="33">
        <v>0.0</v>
      </c>
      <c r="M141" s="33">
        <v>0.0</v>
      </c>
      <c r="N141" s="33">
        <v>-1.0</v>
      </c>
      <c r="O141" s="33">
        <v>0.0</v>
      </c>
      <c r="P141" s="33">
        <v>0.0</v>
      </c>
      <c r="Q141" s="33" t="s">
        <v>119</v>
      </c>
      <c r="R141" s="33" t="s">
        <v>192</v>
      </c>
      <c r="S141" s="33"/>
      <c r="T141" s="33">
        <v>0.0</v>
      </c>
      <c r="U141" s="33">
        <v>0.0</v>
      </c>
      <c r="V141" s="33">
        <v>1.0</v>
      </c>
      <c r="W141" s="36"/>
      <c r="X141" s="36"/>
      <c r="Y141" s="36"/>
    </row>
    <row r="142">
      <c r="A142" s="105">
        <v>2.0</v>
      </c>
      <c r="B142" s="106" t="s">
        <v>1329</v>
      </c>
      <c r="C142" s="40">
        <v>139.0</v>
      </c>
      <c r="D142" s="107">
        <v>3.0</v>
      </c>
      <c r="E142" s="108">
        <v>43628.0</v>
      </c>
      <c r="F142" s="42" t="str">
        <f>HYPERLINK("https://economy.okezone.com/read/2019/06/12/320/2065789/tiket-pesawat-mahal-sri-mulyani-minta-kementerian-lembaga-hemat-perjalanan-dinas ","sumber")</f>
        <v>sumber</v>
      </c>
      <c r="G142" s="40" t="s">
        <v>33</v>
      </c>
      <c r="H142" s="107">
        <v>228.0</v>
      </c>
      <c r="I142" s="109"/>
      <c r="J142" s="40">
        <v>2.0</v>
      </c>
      <c r="K142" s="110"/>
      <c r="L142" s="41"/>
      <c r="M142" s="41"/>
      <c r="N142" s="41"/>
      <c r="O142" s="41"/>
      <c r="P142" s="41"/>
      <c r="Q142" s="40"/>
      <c r="R142" s="111"/>
      <c r="S142" s="40"/>
      <c r="T142" s="41"/>
      <c r="U142" s="41"/>
      <c r="V142" s="41"/>
      <c r="W142" s="41"/>
      <c r="X142" s="41"/>
      <c r="Y142" s="41"/>
    </row>
    <row r="143">
      <c r="A143" s="112">
        <v>1.0</v>
      </c>
      <c r="B143" s="125" t="s">
        <v>1330</v>
      </c>
      <c r="C143" s="114">
        <v>140.0</v>
      </c>
      <c r="D143" s="115">
        <v>9.0</v>
      </c>
      <c r="E143" s="126" t="s">
        <v>1331</v>
      </c>
      <c r="F143" s="117" t="str">
        <f>HYPERLINK("https://nasional.republika.co.id/berita/nasional/daerah/ptchht396/pertamina-ru-vi-latih-kemandirian-siswa-disabilitas ","sumber")</f>
        <v>sumber</v>
      </c>
      <c r="G143" s="117" t="str">
        <f>HYPERLINK("https://drive.google.com/open?id=15K5sriRJOw0JTPqD9yRZzl0fwZcfdV8X","lokasi")</f>
        <v>lokasi</v>
      </c>
      <c r="H143" s="115">
        <v>282.0</v>
      </c>
      <c r="I143" s="118">
        <v>2.0</v>
      </c>
      <c r="J143" s="114">
        <v>2.0</v>
      </c>
      <c r="K143" s="119" t="s">
        <v>1332</v>
      </c>
      <c r="L143" s="114">
        <v>0.0</v>
      </c>
      <c r="M143" s="114">
        <v>0.0</v>
      </c>
      <c r="N143" s="120">
        <v>0.0</v>
      </c>
      <c r="O143" s="114">
        <v>0.0</v>
      </c>
      <c r="P143" s="114">
        <v>0.0</v>
      </c>
      <c r="Q143" s="114" t="s">
        <v>1078</v>
      </c>
      <c r="R143" s="121" t="s">
        <v>131</v>
      </c>
      <c r="S143" s="114"/>
      <c r="T143" s="114">
        <v>0.0</v>
      </c>
      <c r="U143" s="114">
        <v>0.0</v>
      </c>
      <c r="V143" s="114">
        <v>1.0</v>
      </c>
      <c r="W143" s="122"/>
      <c r="X143" s="122"/>
      <c r="Y143" s="122"/>
    </row>
    <row r="144">
      <c r="A144" s="105">
        <v>2.0</v>
      </c>
      <c r="B144" s="106" t="s">
        <v>1333</v>
      </c>
      <c r="C144" s="40">
        <v>141.0</v>
      </c>
      <c r="D144" s="107">
        <v>4.0</v>
      </c>
      <c r="E144" s="108">
        <v>43629.0</v>
      </c>
      <c r="F144" s="42" t="str">
        <f>HYPERLINK("https://www.liputan6.com/bola/read/3988802/kiper-barcelona-sebut-bursa-transfer-sekarang-gila ","sumber")</f>
        <v>sumber</v>
      </c>
      <c r="G144" s="40" t="s">
        <v>33</v>
      </c>
      <c r="H144" s="107">
        <v>258.0</v>
      </c>
      <c r="I144" s="109"/>
      <c r="J144" s="40">
        <v>2.0</v>
      </c>
      <c r="K144" s="110"/>
      <c r="L144" s="41"/>
      <c r="M144" s="41"/>
      <c r="N144" s="41"/>
      <c r="O144" s="41"/>
      <c r="P144" s="41"/>
      <c r="Q144" s="40"/>
      <c r="R144" s="111"/>
      <c r="S144" s="40"/>
      <c r="T144" s="41"/>
      <c r="U144" s="41"/>
      <c r="V144" s="41"/>
      <c r="W144" s="41"/>
      <c r="X144" s="41"/>
      <c r="Y144" s="41"/>
    </row>
    <row r="145">
      <c r="A145" s="112">
        <v>1.0</v>
      </c>
      <c r="B145" s="125" t="s">
        <v>1334</v>
      </c>
      <c r="C145" s="114">
        <v>142.0</v>
      </c>
      <c r="D145" s="115">
        <v>6.0</v>
      </c>
      <c r="E145" s="126" t="s">
        <v>1335</v>
      </c>
      <c r="F145" s="117" t="str">
        <f>HYPERLINK("https://entertainment.kompas.com/read/2019/06/17/133544610/ini-yang-akan-dilakukan-baim-wong-bila-bertemu-warganet-yang-terima ","sumber")</f>
        <v>sumber</v>
      </c>
      <c r="G145" s="117" t="str">
        <f t="shared" ref="G145:G146" si="17">HYPERLINK("https://drive.google.com/open?id=15K5sriRJOw0JTPqD9yRZzl0fwZcfdV8X","lokasi")</f>
        <v>lokasi</v>
      </c>
      <c r="H145" s="115">
        <v>196.0</v>
      </c>
      <c r="I145" s="118">
        <v>2.0</v>
      </c>
      <c r="J145" s="114">
        <v>2.0</v>
      </c>
      <c r="K145" s="119" t="s">
        <v>1336</v>
      </c>
      <c r="L145" s="114">
        <v>0.0</v>
      </c>
      <c r="M145" s="114">
        <v>0.0</v>
      </c>
      <c r="N145" s="120">
        <v>0.0</v>
      </c>
      <c r="O145" s="114">
        <v>0.0</v>
      </c>
      <c r="P145" s="114">
        <v>-1.0</v>
      </c>
      <c r="Q145" s="114">
        <v>0.0</v>
      </c>
      <c r="R145" s="121">
        <v>0.0</v>
      </c>
      <c r="S145" s="114" t="s">
        <v>1337</v>
      </c>
      <c r="T145" s="114">
        <v>1.0</v>
      </c>
      <c r="U145" s="114">
        <v>0.0</v>
      </c>
      <c r="V145" s="114">
        <v>0.0</v>
      </c>
      <c r="W145" s="122"/>
      <c r="X145" s="122"/>
      <c r="Y145" s="122"/>
    </row>
    <row r="146">
      <c r="A146" s="101">
        <v>1.0</v>
      </c>
      <c r="B146" s="96" t="s">
        <v>1338</v>
      </c>
      <c r="C146" s="33">
        <v>143.0</v>
      </c>
      <c r="D146" s="97">
        <v>1.0</v>
      </c>
      <c r="E146" s="98">
        <v>43634.0</v>
      </c>
      <c r="F146" s="35" t="str">
        <f>HYPERLINK("https://news.detik.com/berita-jawa-barat/d-4589900/pembuat-surat-sensen-presiden-republik-indonesia-akhirnya-kena-batunya ","sumber")</f>
        <v>sumber</v>
      </c>
      <c r="G146" s="35" t="str">
        <f t="shared" si="17"/>
        <v>lokasi</v>
      </c>
      <c r="H146" s="97">
        <v>417.0</v>
      </c>
      <c r="I146" s="99">
        <v>1.0</v>
      </c>
      <c r="J146" s="33">
        <v>2.0</v>
      </c>
      <c r="K146" s="102" t="s">
        <v>1339</v>
      </c>
      <c r="L146" s="33">
        <v>0.0</v>
      </c>
      <c r="M146" s="33">
        <v>-1.0</v>
      </c>
      <c r="N146" s="33">
        <v>-1.0</v>
      </c>
      <c r="O146" s="33">
        <v>0.0</v>
      </c>
      <c r="P146" s="33">
        <v>0.0</v>
      </c>
      <c r="Q146" s="33">
        <v>0.0</v>
      </c>
      <c r="R146" s="33">
        <v>-1.0</v>
      </c>
      <c r="S146" s="33"/>
      <c r="T146" s="33">
        <v>0.0</v>
      </c>
      <c r="U146" s="33">
        <v>-1.0</v>
      </c>
      <c r="V146" s="33">
        <v>1.0</v>
      </c>
      <c r="W146" s="36"/>
      <c r="X146" s="36"/>
      <c r="Y146" s="36"/>
    </row>
    <row r="147">
      <c r="A147" s="105">
        <v>2.0</v>
      </c>
      <c r="B147" s="106" t="s">
        <v>1340</v>
      </c>
      <c r="C147" s="40">
        <v>144.0</v>
      </c>
      <c r="D147" s="107">
        <v>2.0</v>
      </c>
      <c r="E147" s="108">
        <v>43635.0</v>
      </c>
      <c r="F147" s="42" t="str">
        <f>HYPERLINK("https://www.cnnindonesia.com/nasional/20190618211954-20-404427/kisruh-ppdb-2019-komisi-x-dpr-akan-panggil-mendikbud ","sumber")</f>
        <v>sumber</v>
      </c>
      <c r="G147" s="40" t="s">
        <v>33</v>
      </c>
      <c r="H147" s="107">
        <v>467.0</v>
      </c>
      <c r="I147" s="109"/>
      <c r="J147" s="40">
        <v>2.0</v>
      </c>
      <c r="K147" s="110"/>
      <c r="L147" s="41"/>
      <c r="M147" s="41"/>
      <c r="N147" s="41"/>
      <c r="O147" s="41"/>
      <c r="P147" s="41"/>
      <c r="Q147" s="40"/>
      <c r="R147" s="111"/>
      <c r="S147" s="40"/>
      <c r="T147" s="41"/>
      <c r="U147" s="41"/>
      <c r="V147" s="41"/>
      <c r="W147" s="41"/>
      <c r="X147" s="41"/>
      <c r="Y147" s="41"/>
    </row>
    <row r="148">
      <c r="A148" s="101">
        <v>1.0</v>
      </c>
      <c r="B148" s="96" t="s">
        <v>1341</v>
      </c>
      <c r="C148" s="33">
        <v>145.0</v>
      </c>
      <c r="D148" s="97">
        <v>2.0</v>
      </c>
      <c r="E148" s="98">
        <v>43636.0</v>
      </c>
      <c r="F148" s="35" t="str">
        <f>HYPERLINK("https://www.cnnindonesia.com/hiburan/20190620194330-227-405099/we-the-fest-2019-rangkul-kaum-difabel ","sumber")</f>
        <v>sumber</v>
      </c>
      <c r="G148" s="35" t="str">
        <f t="shared" ref="G148:G149" si="18">HYPERLINK("https://drive.google.com/open?id=15K5sriRJOw0JTPqD9yRZzl0fwZcfdV8X","lokasi")</f>
        <v>lokasi</v>
      </c>
      <c r="H148" s="97">
        <v>414.0</v>
      </c>
      <c r="I148" s="99">
        <v>2.0</v>
      </c>
      <c r="J148" s="33">
        <v>2.0</v>
      </c>
      <c r="K148" s="102" t="s">
        <v>1342</v>
      </c>
      <c r="L148" s="33">
        <v>0.0</v>
      </c>
      <c r="M148" s="33">
        <v>0.0</v>
      </c>
      <c r="N148" s="37">
        <v>0.0</v>
      </c>
      <c r="O148" s="33">
        <v>0.0</v>
      </c>
      <c r="P148" s="33">
        <v>0.0</v>
      </c>
      <c r="Q148" s="33" t="s">
        <v>61</v>
      </c>
      <c r="R148" s="33" t="s">
        <v>100</v>
      </c>
      <c r="S148" s="33"/>
      <c r="T148" s="33">
        <v>0.0</v>
      </c>
      <c r="U148" s="33">
        <v>0.0</v>
      </c>
      <c r="V148" s="33">
        <v>1.0</v>
      </c>
      <c r="W148" s="36"/>
      <c r="X148" s="36"/>
      <c r="Y148" s="36"/>
    </row>
    <row r="149">
      <c r="A149" s="101">
        <v>1.0</v>
      </c>
      <c r="B149" s="96" t="s">
        <v>1343</v>
      </c>
      <c r="C149" s="33">
        <v>146.0</v>
      </c>
      <c r="D149" s="97">
        <v>8.0</v>
      </c>
      <c r="E149" s="98">
        <v>43637.0</v>
      </c>
      <c r="F149" s="35" t="str">
        <f>HYPERLINK("https://www.suara.com/health/2019/06/21/155626/studi-anak-dengan-cacat-lahir-12-kali-berisiko-menderita-kanker ","sumber")</f>
        <v>sumber</v>
      </c>
      <c r="G149" s="35" t="str">
        <f t="shared" si="18"/>
        <v>lokasi</v>
      </c>
      <c r="H149" s="97">
        <v>374.0</v>
      </c>
      <c r="I149" s="99">
        <v>2.0</v>
      </c>
      <c r="J149" s="33">
        <v>2.0</v>
      </c>
      <c r="K149" s="102" t="s">
        <v>1344</v>
      </c>
      <c r="L149" s="33">
        <v>0.0</v>
      </c>
      <c r="M149" s="33">
        <v>0.0</v>
      </c>
      <c r="N149" s="37">
        <v>0.0</v>
      </c>
      <c r="O149" s="33">
        <v>0.0</v>
      </c>
      <c r="P149" s="33">
        <v>0.0</v>
      </c>
      <c r="Q149" s="33">
        <v>0.0</v>
      </c>
      <c r="R149" s="33">
        <v>0.0</v>
      </c>
      <c r="S149" s="33" t="s">
        <v>1345</v>
      </c>
      <c r="T149" s="33">
        <v>1.0</v>
      </c>
      <c r="U149" s="33">
        <v>0.0</v>
      </c>
      <c r="V149" s="33">
        <v>1.0</v>
      </c>
      <c r="W149" s="36"/>
      <c r="X149" s="36"/>
      <c r="Y149" s="36"/>
    </row>
    <row r="150">
      <c r="A150" s="105">
        <v>2.0</v>
      </c>
      <c r="B150" s="106" t="s">
        <v>1346</v>
      </c>
      <c r="C150" s="40">
        <v>147.0</v>
      </c>
      <c r="D150" s="107">
        <v>2.0</v>
      </c>
      <c r="E150" s="108">
        <v>43639.0</v>
      </c>
      <c r="F150" s="42" t="str">
        <f>HYPERLINK("https://www.cnnindonesia.com/olahraga/20190621192002-142-405416/liga-1-ipo-arema-persija-menyusul-persib-belum-tertarik ","sumber")</f>
        <v>sumber</v>
      </c>
      <c r="G150" s="40" t="s">
        <v>33</v>
      </c>
      <c r="H150" s="107">
        <v>913.0</v>
      </c>
      <c r="I150" s="109"/>
      <c r="J150" s="40">
        <v>2.0</v>
      </c>
      <c r="K150" s="110"/>
      <c r="L150" s="41"/>
      <c r="M150" s="41"/>
      <c r="N150" s="41"/>
      <c r="O150" s="41"/>
      <c r="P150" s="41"/>
      <c r="Q150" s="40"/>
      <c r="R150" s="111"/>
      <c r="S150" s="40"/>
      <c r="T150" s="41"/>
      <c r="U150" s="41"/>
      <c r="V150" s="41"/>
      <c r="W150" s="41"/>
      <c r="X150" s="41"/>
      <c r="Y150" s="41"/>
    </row>
    <row r="151">
      <c r="A151" s="112">
        <v>1.0</v>
      </c>
      <c r="B151" s="125" t="s">
        <v>1347</v>
      </c>
      <c r="C151" s="114">
        <v>148.0</v>
      </c>
      <c r="D151" s="115">
        <v>1.0</v>
      </c>
      <c r="E151" s="126" t="s">
        <v>1348</v>
      </c>
      <c r="F151" s="117" t="str">
        <f>HYPERLINK("https://news.detik.com/berita/d-4598497/di-tempat-ini-disabilitas-diajari-kerajinan-yang-asah-kreativitas ","sumber")</f>
        <v>sumber</v>
      </c>
      <c r="G151" s="117" t="str">
        <f>HYPERLINK("https://drive.google.com/open?id=15K5sriRJOw0JTPqD9yRZzl0fwZcfdV8X","lokasi")</f>
        <v>lokasi</v>
      </c>
      <c r="H151" s="115">
        <v>349.0</v>
      </c>
      <c r="I151" s="118">
        <v>2.0</v>
      </c>
      <c r="J151" s="114">
        <v>2.0</v>
      </c>
      <c r="K151" s="119" t="s">
        <v>1349</v>
      </c>
      <c r="L151" s="114">
        <v>0.0</v>
      </c>
      <c r="M151" s="114">
        <v>0.0</v>
      </c>
      <c r="N151" s="120">
        <v>0.0</v>
      </c>
      <c r="O151" s="114">
        <v>0.0</v>
      </c>
      <c r="P151" s="114">
        <v>0.0</v>
      </c>
      <c r="Q151" s="114" t="s">
        <v>651</v>
      </c>
      <c r="R151" s="121" t="s">
        <v>214</v>
      </c>
      <c r="S151" s="114"/>
      <c r="T151" s="114">
        <v>0.0</v>
      </c>
      <c r="U151" s="114">
        <v>0.0</v>
      </c>
      <c r="V151" s="114">
        <v>1.0</v>
      </c>
      <c r="W151" s="122"/>
      <c r="X151" s="122"/>
      <c r="Y151" s="122"/>
    </row>
    <row r="152">
      <c r="A152" s="105">
        <v>2.0</v>
      </c>
      <c r="B152" s="106" t="s">
        <v>1350</v>
      </c>
      <c r="C152" s="40">
        <v>149.0</v>
      </c>
      <c r="D152" s="107">
        <v>1.0</v>
      </c>
      <c r="E152" s="108">
        <v>43644.0</v>
      </c>
      <c r="F152" s="42" t="str">
        <f>HYPERLINK("https://finance.detik.com/bursa-dan-valas/d-4603666/terbukti-cacat-status-laporan-keuangan-garuda-rugi ","sumber")</f>
        <v>sumber</v>
      </c>
      <c r="G152" s="40" t="s">
        <v>33</v>
      </c>
      <c r="H152" s="107">
        <v>441.0</v>
      </c>
      <c r="I152" s="109"/>
      <c r="J152" s="40">
        <v>2.0</v>
      </c>
      <c r="K152" s="110"/>
      <c r="L152" s="41"/>
      <c r="M152" s="41"/>
      <c r="N152" s="41"/>
      <c r="O152" s="41"/>
      <c r="P152" s="41"/>
      <c r="Q152" s="40"/>
      <c r="R152" s="111"/>
      <c r="S152" s="40"/>
      <c r="T152" s="41"/>
      <c r="U152" s="41"/>
      <c r="V152" s="41"/>
      <c r="W152" s="41"/>
      <c r="X152" s="41"/>
      <c r="Y152" s="41"/>
    </row>
    <row r="153">
      <c r="A153" s="112">
        <v>1.0</v>
      </c>
      <c r="B153" s="125" t="s">
        <v>1351</v>
      </c>
      <c r="C153" s="114">
        <v>150.0</v>
      </c>
      <c r="D153" s="115">
        <v>8.0</v>
      </c>
      <c r="E153" s="126" t="s">
        <v>1352</v>
      </c>
      <c r="F153" s="117" t="str">
        <f>HYPERLINK("https://www.suara.com/health/2019/07/01/180000/pentingnya-ikut-kelas-zumba-bagi-anak-dengan-gangguan-spektrum-autisme ","sumber")</f>
        <v>sumber</v>
      </c>
      <c r="G153" s="117" t="str">
        <f t="shared" ref="G153:G154" si="19">HYPERLINK("https://drive.google.com/open?id=15K5sriRJOw0JTPqD9yRZzl0fwZcfdV8X","lokasi")</f>
        <v>lokasi</v>
      </c>
      <c r="H153" s="115">
        <v>427.0</v>
      </c>
      <c r="I153" s="118">
        <v>2.0</v>
      </c>
      <c r="J153" s="114">
        <v>2.0</v>
      </c>
      <c r="K153" s="119" t="s">
        <v>1353</v>
      </c>
      <c r="L153" s="114">
        <v>0.0</v>
      </c>
      <c r="M153" s="114">
        <v>0.0</v>
      </c>
      <c r="N153" s="120">
        <v>0.0</v>
      </c>
      <c r="O153" s="114">
        <v>0.0</v>
      </c>
      <c r="P153" s="114">
        <v>0.0</v>
      </c>
      <c r="Q153" s="114" t="s">
        <v>61</v>
      </c>
      <c r="R153" s="121" t="s">
        <v>192</v>
      </c>
      <c r="S153" s="114"/>
      <c r="T153" s="114">
        <v>0.0</v>
      </c>
      <c r="U153" s="114">
        <v>0.0</v>
      </c>
      <c r="V153" s="114">
        <v>1.0</v>
      </c>
      <c r="W153" s="122"/>
      <c r="X153" s="122"/>
      <c r="Y153" s="122"/>
    </row>
    <row r="154">
      <c r="A154" s="101">
        <v>1.0</v>
      </c>
      <c r="B154" s="96" t="s">
        <v>1354</v>
      </c>
      <c r="C154" s="33">
        <v>151.0</v>
      </c>
      <c r="D154" s="97">
        <v>3.0</v>
      </c>
      <c r="E154" s="98">
        <v>43648.0</v>
      </c>
      <c r="F154" s="35" t="str">
        <f>HYPERLINK("https://lifestyle.okezone.com/read/2019/07/02/194/2073666/aaron-philip-transgender-kulit-hitam-dan-difabel-pertama-yang-sukses-jadi-model-cover-majalah ","sumber")</f>
        <v>sumber</v>
      </c>
      <c r="G154" s="35" t="str">
        <f t="shared" si="19"/>
        <v>lokasi</v>
      </c>
      <c r="H154" s="97">
        <v>295.0</v>
      </c>
      <c r="I154" s="99">
        <v>2.0</v>
      </c>
      <c r="J154" s="33">
        <v>2.0</v>
      </c>
      <c r="K154" s="102" t="s">
        <v>1355</v>
      </c>
      <c r="L154" s="33">
        <v>0.0</v>
      </c>
      <c r="M154" s="33">
        <v>0.0</v>
      </c>
      <c r="N154" s="37">
        <v>0.0</v>
      </c>
      <c r="O154" s="33">
        <v>0.0</v>
      </c>
      <c r="P154" s="33">
        <v>0.0</v>
      </c>
      <c r="Q154" s="33">
        <v>2.0</v>
      </c>
      <c r="R154" s="33">
        <v>1.0</v>
      </c>
      <c r="S154" s="33"/>
      <c r="T154" s="33">
        <v>0.0</v>
      </c>
      <c r="U154" s="33">
        <v>0.0</v>
      </c>
      <c r="V154" s="33">
        <v>1.0</v>
      </c>
      <c r="W154" s="36"/>
      <c r="X154" s="36"/>
      <c r="Y154" s="36"/>
    </row>
    <row r="155">
      <c r="A155" s="105">
        <v>2.0</v>
      </c>
      <c r="B155" s="106" t="s">
        <v>1356</v>
      </c>
      <c r="C155" s="40">
        <v>152.0</v>
      </c>
      <c r="D155" s="107">
        <v>6.0</v>
      </c>
      <c r="E155" s="108">
        <v>43652.0</v>
      </c>
      <c r="F155" s="42" t="str">
        <f>HYPERLINK("https://megapolitan.kompas.com/read/2019/07/06/08475931/tiga-fakta-menarik-pemilik-jayabaya-burung-elite-seharga-rp-1-miliar ","sumber")</f>
        <v>sumber</v>
      </c>
      <c r="G155" s="40" t="s">
        <v>33</v>
      </c>
      <c r="H155" s="107">
        <v>219.0</v>
      </c>
      <c r="I155" s="109"/>
      <c r="J155" s="40">
        <v>2.0</v>
      </c>
      <c r="K155" s="110"/>
      <c r="L155" s="41"/>
      <c r="M155" s="41"/>
      <c r="N155" s="41"/>
      <c r="O155" s="41"/>
      <c r="P155" s="41"/>
      <c r="Q155" s="40"/>
      <c r="R155" s="111"/>
      <c r="S155" s="40"/>
      <c r="T155" s="41"/>
      <c r="U155" s="41"/>
      <c r="V155" s="41"/>
      <c r="W155" s="41"/>
      <c r="X155" s="41"/>
      <c r="Y155" s="41"/>
    </row>
    <row r="156">
      <c r="A156" s="105">
        <v>2.0</v>
      </c>
      <c r="B156" s="106" t="s">
        <v>1357</v>
      </c>
      <c r="C156" s="40">
        <v>153.0</v>
      </c>
      <c r="D156" s="107">
        <v>10.0</v>
      </c>
      <c r="E156" s="108">
        <v>43653.0</v>
      </c>
      <c r="F156" s="42" t="str">
        <f>HYPERLINK("https://sport.tempo.co/read/1221891/dikabarkan-bakal-jadi-menteri-begini-jawaban-ketua-kpsn ","sumber")</f>
        <v>sumber</v>
      </c>
      <c r="G156" s="40" t="s">
        <v>33</v>
      </c>
      <c r="H156" s="107">
        <v>151.0</v>
      </c>
      <c r="I156" s="109"/>
      <c r="J156" s="40">
        <v>2.0</v>
      </c>
      <c r="K156" s="110"/>
      <c r="L156" s="41"/>
      <c r="M156" s="41"/>
      <c r="N156" s="41"/>
      <c r="O156" s="41"/>
      <c r="P156" s="41"/>
      <c r="Q156" s="40"/>
      <c r="R156" s="111"/>
      <c r="S156" s="40"/>
      <c r="T156" s="41"/>
      <c r="U156" s="41"/>
      <c r="V156" s="41"/>
      <c r="W156" s="41"/>
      <c r="X156" s="41"/>
      <c r="Y156" s="41"/>
    </row>
    <row r="157">
      <c r="A157" s="105">
        <v>2.0</v>
      </c>
      <c r="B157" s="106" t="s">
        <v>1358</v>
      </c>
      <c r="C157" s="40">
        <v>154.0</v>
      </c>
      <c r="D157" s="107">
        <v>7.0</v>
      </c>
      <c r="E157" s="108">
        <v>43657.0</v>
      </c>
      <c r="F157" s="42" t="str">
        <f>HYPERLINK("https://www.tribunnews.com/nasional/2019/07/11/kpu-wacanakan-pakai-situng-jadi-hasil-resmi-bawaslu-tak-pernah-diajak-diskusi ","sumber")</f>
        <v>sumber</v>
      </c>
      <c r="G157" s="40" t="s">
        <v>33</v>
      </c>
      <c r="H157" s="107">
        <v>198.0</v>
      </c>
      <c r="I157" s="109"/>
      <c r="J157" s="40">
        <v>2.0</v>
      </c>
      <c r="K157" s="110"/>
      <c r="L157" s="41"/>
      <c r="M157" s="41"/>
      <c r="N157" s="41"/>
      <c r="O157" s="41"/>
      <c r="P157" s="41"/>
      <c r="Q157" s="40"/>
      <c r="R157" s="111"/>
      <c r="S157" s="40"/>
      <c r="T157" s="41"/>
      <c r="U157" s="41"/>
      <c r="V157" s="41"/>
      <c r="W157" s="41"/>
      <c r="X157" s="41"/>
      <c r="Y157" s="41"/>
    </row>
    <row r="158">
      <c r="A158" s="105">
        <v>2.0</v>
      </c>
      <c r="B158" s="106" t="s">
        <v>1359</v>
      </c>
      <c r="C158" s="40">
        <v>155.0</v>
      </c>
      <c r="D158" s="107">
        <v>2.0</v>
      </c>
      <c r="E158" s="108">
        <v>43663.0</v>
      </c>
      <c r="F158" s="42" t="str">
        <f>HYPERLINK("https://www.cnnindonesia.com/teknologi/20190716201155-384-412729/booking-service-sebelum-ke-bengkel-untuk-urus-rush-cacat ","sumber")</f>
        <v>sumber</v>
      </c>
      <c r="G158" s="40" t="s">
        <v>33</v>
      </c>
      <c r="H158" s="107">
        <v>257.0</v>
      </c>
      <c r="I158" s="109"/>
      <c r="J158" s="40">
        <v>2.0</v>
      </c>
      <c r="K158" s="110"/>
      <c r="L158" s="41"/>
      <c r="M158" s="41"/>
      <c r="N158" s="41"/>
      <c r="O158" s="41"/>
      <c r="P158" s="41"/>
      <c r="Q158" s="40"/>
      <c r="R158" s="111"/>
      <c r="S158" s="40"/>
      <c r="T158" s="41"/>
      <c r="U158" s="41"/>
      <c r="V158" s="41"/>
      <c r="W158" s="41"/>
      <c r="X158" s="41"/>
      <c r="Y158" s="41"/>
    </row>
    <row r="159">
      <c r="A159" s="112">
        <v>1.0</v>
      </c>
      <c r="B159" s="125" t="s">
        <v>1360</v>
      </c>
      <c r="C159" s="114">
        <v>156.0</v>
      </c>
      <c r="D159" s="115">
        <v>9.0</v>
      </c>
      <c r="E159" s="126" t="s">
        <v>1361</v>
      </c>
      <c r="F159" s="117" t="str">
        <f>HYPERLINK("https://gayahidup.republika.co.id/berita/pv7b71459/sulit-konsentrasi-bisa-jadi-tanda-disabilitas-psikososial ","sumber")</f>
        <v>sumber</v>
      </c>
      <c r="G159" s="117" t="str">
        <f t="shared" ref="G159:G161" si="20">HYPERLINK("https://drive.google.com/open?id=15K5sriRJOw0JTPqD9yRZzl0fwZcfdV8X","lokasi")</f>
        <v>lokasi</v>
      </c>
      <c r="H159" s="115">
        <v>37.0</v>
      </c>
      <c r="I159" s="118">
        <v>2.0</v>
      </c>
      <c r="J159" s="114">
        <v>2.0</v>
      </c>
      <c r="K159" s="119" t="s">
        <v>1362</v>
      </c>
      <c r="L159" s="114">
        <v>0.0</v>
      </c>
      <c r="M159" s="114">
        <v>0.0</v>
      </c>
      <c r="N159" s="120">
        <v>0.0</v>
      </c>
      <c r="O159" s="114">
        <v>0.0</v>
      </c>
      <c r="P159" s="114">
        <v>0.0</v>
      </c>
      <c r="Q159" s="114" t="s">
        <v>100</v>
      </c>
      <c r="R159" s="121" t="s">
        <v>192</v>
      </c>
      <c r="S159" s="114"/>
      <c r="T159" s="114">
        <v>0.0</v>
      </c>
      <c r="U159" s="114">
        <v>0.0</v>
      </c>
      <c r="V159" s="114">
        <v>1.0</v>
      </c>
      <c r="W159" s="122"/>
      <c r="X159" s="122"/>
      <c r="Y159" s="122"/>
    </row>
    <row r="160">
      <c r="A160" s="112">
        <v>1.0</v>
      </c>
      <c r="B160" s="125" t="s">
        <v>1363</v>
      </c>
      <c r="C160" s="114">
        <v>157.0</v>
      </c>
      <c r="D160" s="115">
        <v>8.0</v>
      </c>
      <c r="E160" s="126" t="s">
        <v>1364</v>
      </c>
      <c r="F160" s="117" t="str">
        <f>HYPERLINK("https://jatim.suara.com/read/2019/07/27/162418/jomblo-akut-terapis-perkosa-gadis-penyandang-disabilitas ","sumber")</f>
        <v>sumber</v>
      </c>
      <c r="G160" s="117" t="str">
        <f t="shared" si="20"/>
        <v>lokasi</v>
      </c>
      <c r="H160" s="115">
        <v>282.0</v>
      </c>
      <c r="I160" s="118">
        <v>1.0</v>
      </c>
      <c r="J160" s="114">
        <v>2.0</v>
      </c>
      <c r="K160" s="119" t="s">
        <v>1365</v>
      </c>
      <c r="L160" s="114">
        <v>0.0</v>
      </c>
      <c r="M160" s="114">
        <v>-1.0</v>
      </c>
      <c r="N160" s="120">
        <v>0.0</v>
      </c>
      <c r="O160" s="114">
        <v>-1.0</v>
      </c>
      <c r="P160" s="114">
        <v>-1.0</v>
      </c>
      <c r="Q160" s="114">
        <v>0.0</v>
      </c>
      <c r="R160" s="121">
        <v>-1.0</v>
      </c>
      <c r="S160" s="114" t="s">
        <v>1366</v>
      </c>
      <c r="T160" s="114">
        <v>2.0</v>
      </c>
      <c r="U160" s="114">
        <v>-1.0</v>
      </c>
      <c r="V160" s="114">
        <v>0.0</v>
      </c>
      <c r="W160" s="122"/>
      <c r="X160" s="122"/>
      <c r="Y160" s="122"/>
    </row>
    <row r="161">
      <c r="A161" s="112">
        <v>1.0</v>
      </c>
      <c r="B161" s="125" t="s">
        <v>1367</v>
      </c>
      <c r="C161" s="114">
        <v>158.0</v>
      </c>
      <c r="D161" s="115">
        <v>2.0</v>
      </c>
      <c r="E161" s="116">
        <v>43660.0</v>
      </c>
      <c r="F161" s="117" t="str">
        <f>HYPERLINK("https://www.cnnindonesia.com/nasional/20190714135854-12-411964/oknum-anggota-tni-diduga-curi-kotak-amal-masjid-di-palembang ","sumber")</f>
        <v>sumber</v>
      </c>
      <c r="G161" s="117" t="str">
        <f t="shared" si="20"/>
        <v>lokasi</v>
      </c>
      <c r="H161" s="115">
        <v>244.0</v>
      </c>
      <c r="I161" s="118">
        <v>1.0</v>
      </c>
      <c r="J161" s="114">
        <v>2.0</v>
      </c>
      <c r="K161" s="119" t="s">
        <v>1368</v>
      </c>
      <c r="L161" s="114">
        <v>0.0</v>
      </c>
      <c r="M161" s="50">
        <v>0.0</v>
      </c>
      <c r="N161" s="120">
        <v>0.0</v>
      </c>
      <c r="O161" s="114">
        <v>0.0</v>
      </c>
      <c r="P161" s="114">
        <v>0.0</v>
      </c>
      <c r="Q161" s="114">
        <v>0.0</v>
      </c>
      <c r="R161" s="121">
        <v>0.0</v>
      </c>
      <c r="S161" s="114"/>
      <c r="T161" s="114">
        <v>0.0</v>
      </c>
      <c r="U161" s="114">
        <v>0.0</v>
      </c>
      <c r="V161" s="114">
        <v>1.0</v>
      </c>
      <c r="W161" s="122"/>
      <c r="X161" s="122"/>
      <c r="Y161" s="122"/>
    </row>
    <row r="162">
      <c r="A162" s="105">
        <v>2.0</v>
      </c>
      <c r="B162" s="106" t="s">
        <v>1369</v>
      </c>
      <c r="C162" s="40">
        <v>159.0</v>
      </c>
      <c r="D162" s="107">
        <v>6.0</v>
      </c>
      <c r="E162" s="108">
        <v>43674.0</v>
      </c>
      <c r="F162" s="42" t="str">
        <f>HYPERLINK("https://regional.kompas.com/read/2019/07/28/14020001/jalan-panjang-konflik-tni-dan-kkb-di-papua-sita-ratusan-amunisi-hingga ","sumber")</f>
        <v>sumber</v>
      </c>
      <c r="G162" s="40" t="s">
        <v>33</v>
      </c>
      <c r="H162" s="107">
        <v>256.0</v>
      </c>
      <c r="I162" s="109"/>
      <c r="J162" s="40">
        <v>2.0</v>
      </c>
      <c r="K162" s="110"/>
      <c r="L162" s="41"/>
      <c r="M162" s="41"/>
      <c r="N162" s="41"/>
      <c r="O162" s="41"/>
      <c r="P162" s="41"/>
      <c r="Q162" s="40"/>
      <c r="R162" s="111"/>
      <c r="S162" s="40"/>
      <c r="T162" s="41"/>
      <c r="U162" s="41"/>
      <c r="V162" s="41"/>
      <c r="W162" s="41"/>
      <c r="X162" s="41"/>
      <c r="Y162" s="41"/>
    </row>
    <row r="163">
      <c r="A163" s="105">
        <v>2.0</v>
      </c>
      <c r="B163" s="106" t="s">
        <v>1370</v>
      </c>
      <c r="C163" s="40">
        <v>160.0</v>
      </c>
      <c r="D163" s="107">
        <v>5.0</v>
      </c>
      <c r="E163" s="108">
        <v>43674.0</v>
      </c>
      <c r="F163" s="42" t="str">
        <f>HYPERLINK("https://tirto.id/gereja-jangan-selalu-bicara-dosa-pribadi-tapi-melupakan-dosa-sosial-eeZo ","sumber")</f>
        <v>sumber</v>
      </c>
      <c r="G163" s="40" t="s">
        <v>33</v>
      </c>
      <c r="H163" s="107">
        <v>2343.0</v>
      </c>
      <c r="I163" s="109"/>
      <c r="J163" s="40">
        <v>2.0</v>
      </c>
      <c r="K163" s="110"/>
      <c r="L163" s="41"/>
      <c r="M163" s="41"/>
      <c r="N163" s="41"/>
      <c r="O163" s="41"/>
      <c r="P163" s="41"/>
      <c r="Q163" s="40"/>
      <c r="R163" s="111"/>
      <c r="S163" s="40"/>
      <c r="T163" s="41"/>
      <c r="U163" s="41"/>
      <c r="V163" s="41"/>
      <c r="W163" s="41"/>
      <c r="X163" s="41"/>
      <c r="Y163" s="41"/>
    </row>
    <row r="164">
      <c r="A164" s="101">
        <v>1.0</v>
      </c>
      <c r="B164" s="96" t="s">
        <v>1371</v>
      </c>
      <c r="C164" s="33">
        <v>161.0</v>
      </c>
      <c r="D164" s="97">
        <v>5.0</v>
      </c>
      <c r="E164" s="98">
        <v>43676.0</v>
      </c>
      <c r="F164" s="35" t="str">
        <f>HYPERLINK("https://tirto.id/menpan-rb-peringatkan-pemkab-solok-soal-pembatalan-cpns-drg-romi-efiH ","sumber")</f>
        <v>sumber</v>
      </c>
      <c r="G164" s="35" t="str">
        <f t="shared" ref="G164:G165" si="21">HYPERLINK("https://drive.google.com/open?id=15K5sriRJOw0JTPqD9yRZzl0fwZcfdV8X","lokasi")</f>
        <v>lokasi</v>
      </c>
      <c r="H164" s="97">
        <v>306.0</v>
      </c>
      <c r="I164" s="99">
        <v>4.0</v>
      </c>
      <c r="J164" s="33">
        <v>2.0</v>
      </c>
      <c r="K164" s="102" t="s">
        <v>1372</v>
      </c>
      <c r="L164" s="33">
        <v>0.0</v>
      </c>
      <c r="M164" s="33">
        <v>0.0</v>
      </c>
      <c r="N164" s="37">
        <v>0.0</v>
      </c>
      <c r="O164" s="33">
        <v>0.0</v>
      </c>
      <c r="P164" s="33">
        <v>0.0</v>
      </c>
      <c r="Q164" s="33">
        <v>0.0</v>
      </c>
      <c r="R164" s="33">
        <v>1.0</v>
      </c>
      <c r="S164" s="33"/>
      <c r="T164" s="33">
        <v>0.0</v>
      </c>
      <c r="U164" s="33">
        <v>0.0</v>
      </c>
      <c r="V164" s="33">
        <v>1.0</v>
      </c>
      <c r="W164" s="36"/>
      <c r="X164" s="36"/>
      <c r="Y164" s="36"/>
    </row>
    <row r="165">
      <c r="A165" s="112">
        <v>1.0</v>
      </c>
      <c r="B165" s="125" t="s">
        <v>1373</v>
      </c>
      <c r="C165" s="114">
        <v>162.0</v>
      </c>
      <c r="D165" s="115">
        <v>6.0</v>
      </c>
      <c r="E165" s="116">
        <v>43683.0</v>
      </c>
      <c r="F165" s="117" t="str">
        <f>HYPERLINK("https://regional.kompas.com/read/2019/08/06/14400361/hak-dikembalikan-pemprov-sumbar-sebut-kasus-dokter-romi-ditutup ","sumber")</f>
        <v>sumber</v>
      </c>
      <c r="G165" s="117" t="str">
        <f t="shared" si="21"/>
        <v>lokasi</v>
      </c>
      <c r="H165" s="115">
        <v>218.0</v>
      </c>
      <c r="I165" s="118">
        <v>1.0</v>
      </c>
      <c r="J165" s="114">
        <v>2.0</v>
      </c>
      <c r="K165" s="119" t="s">
        <v>1374</v>
      </c>
      <c r="L165" s="114">
        <v>0.0</v>
      </c>
      <c r="M165" s="50">
        <v>0.0</v>
      </c>
      <c r="N165" s="120">
        <v>0.0</v>
      </c>
      <c r="O165" s="114">
        <v>0.0</v>
      </c>
      <c r="P165" s="114">
        <v>0.0</v>
      </c>
      <c r="Q165" s="114">
        <v>0.0</v>
      </c>
      <c r="R165" s="121">
        <v>0.0</v>
      </c>
      <c r="S165" s="114"/>
      <c r="T165" s="114">
        <v>0.0</v>
      </c>
      <c r="U165" s="114">
        <v>0.0</v>
      </c>
      <c r="V165" s="114">
        <v>1.0</v>
      </c>
      <c r="W165" s="122"/>
      <c r="X165" s="122"/>
      <c r="Y165" s="122"/>
    </row>
    <row r="166">
      <c r="A166" s="105">
        <v>2.0</v>
      </c>
      <c r="B166" s="106" t="s">
        <v>1375</v>
      </c>
      <c r="C166" s="40">
        <v>163.0</v>
      </c>
      <c r="D166" s="107">
        <v>10.0</v>
      </c>
      <c r="E166" s="108">
        <v>43686.0</v>
      </c>
      <c r="F166" s="42" t="str">
        <f>HYPERLINK("https://bisnis.tempo.co/read/1234077/idul-adha-jokowi-sumbang-2-ekor-sapi-kurban-di-yogya ","sumber")</f>
        <v>sumber</v>
      </c>
      <c r="G166" s="40" t="s">
        <v>33</v>
      </c>
      <c r="H166" s="107">
        <v>374.0</v>
      </c>
      <c r="I166" s="109"/>
      <c r="J166" s="40">
        <v>2.0</v>
      </c>
      <c r="K166" s="110"/>
      <c r="L166" s="41"/>
      <c r="M166" s="41"/>
      <c r="N166" s="41"/>
      <c r="O166" s="41"/>
      <c r="P166" s="41"/>
      <c r="Q166" s="40"/>
      <c r="R166" s="111"/>
      <c r="S166" s="40"/>
      <c r="T166" s="41"/>
      <c r="U166" s="41"/>
      <c r="V166" s="41"/>
      <c r="W166" s="41"/>
      <c r="X166" s="41"/>
      <c r="Y166" s="41"/>
    </row>
    <row r="167">
      <c r="A167" s="105">
        <v>2.0</v>
      </c>
      <c r="B167" s="106" t="s">
        <v>1376</v>
      </c>
      <c r="C167" s="40">
        <v>164.0</v>
      </c>
      <c r="D167" s="107">
        <v>5.0</v>
      </c>
      <c r="E167" s="108">
        <v>43693.0</v>
      </c>
      <c r="F167" s="42" t="str">
        <f>HYPERLINK("https://tirto.id/daftar-makanan-yang-dilarang-untuk-ibu-hamil-daging-mentah-alkohol-egoV ","sumber")</f>
        <v>sumber</v>
      </c>
      <c r="G167" s="40" t="s">
        <v>33</v>
      </c>
      <c r="H167" s="107">
        <v>842.0</v>
      </c>
      <c r="I167" s="109"/>
      <c r="J167" s="40">
        <v>2.0</v>
      </c>
      <c r="K167" s="110"/>
      <c r="L167" s="41"/>
      <c r="M167" s="41"/>
      <c r="N167" s="41"/>
      <c r="O167" s="41"/>
      <c r="P167" s="41"/>
      <c r="Q167" s="40"/>
      <c r="R167" s="111"/>
      <c r="S167" s="40"/>
      <c r="T167" s="41"/>
      <c r="U167" s="41"/>
      <c r="V167" s="41"/>
      <c r="W167" s="41"/>
      <c r="X167" s="41"/>
      <c r="Y167" s="41"/>
    </row>
    <row r="168">
      <c r="A168" s="101">
        <v>1.0</v>
      </c>
      <c r="B168" s="96" t="s">
        <v>1377</v>
      </c>
      <c r="C168" s="33">
        <v>165.0</v>
      </c>
      <c r="D168" s="97">
        <v>2.0</v>
      </c>
      <c r="E168" s="98">
        <v>43695.0</v>
      </c>
      <c r="F168" s="35" t="str">
        <f>HYPERLINK("https://www.cnnindonesia.com/nasional/20190818094104-12-422377/warga-pengibar-bendera-pki-disebut-gangguan-jiwa ","sumber")</f>
        <v>sumber</v>
      </c>
      <c r="G168" s="35" t="str">
        <f t="shared" ref="G168:G169" si="22">HYPERLINK("https://drive.google.com/open?id=15K5sriRJOw0JTPqD9yRZzl0fwZcfdV8X","lokasi")</f>
        <v>lokasi</v>
      </c>
      <c r="H168" s="97">
        <v>314.0</v>
      </c>
      <c r="I168" s="99">
        <v>1.0</v>
      </c>
      <c r="J168" s="33">
        <v>2.0</v>
      </c>
      <c r="K168" s="102" t="s">
        <v>1378</v>
      </c>
      <c r="L168" s="33">
        <v>0.0</v>
      </c>
      <c r="M168" s="33">
        <v>-1.0</v>
      </c>
      <c r="N168" s="37">
        <v>0.0</v>
      </c>
      <c r="O168" s="33">
        <v>0.0</v>
      </c>
      <c r="P168" s="33">
        <v>0.0</v>
      </c>
      <c r="Q168" s="33">
        <v>0.0</v>
      </c>
      <c r="R168" s="33">
        <v>-1.0</v>
      </c>
      <c r="S168" s="33"/>
      <c r="T168" s="33">
        <v>0.0</v>
      </c>
      <c r="U168" s="33">
        <v>-1.0</v>
      </c>
      <c r="V168" s="33">
        <v>1.0</v>
      </c>
      <c r="W168" s="36"/>
      <c r="X168" s="36"/>
      <c r="Y168" s="36"/>
    </row>
    <row r="169">
      <c r="A169" s="112">
        <v>1.0</v>
      </c>
      <c r="B169" s="125" t="s">
        <v>1379</v>
      </c>
      <c r="C169" s="114">
        <v>166.0</v>
      </c>
      <c r="D169" s="115">
        <v>7.0</v>
      </c>
      <c r="E169" s="126" t="s">
        <v>1380</v>
      </c>
      <c r="F169" s="117" t="str">
        <f>HYPERLINK("https://www.tribunnews.com/regional/2019/08/22/pelatihan-kepemimpinan-bagi-siswa-disabilitas ","sumber")</f>
        <v>sumber</v>
      </c>
      <c r="G169" s="117" t="str">
        <f t="shared" si="22"/>
        <v>lokasi</v>
      </c>
      <c r="H169" s="115">
        <v>233.0</v>
      </c>
      <c r="I169" s="118">
        <v>2.0</v>
      </c>
      <c r="J169" s="114">
        <v>2.0</v>
      </c>
      <c r="K169" s="119" t="s">
        <v>1381</v>
      </c>
      <c r="L169" s="114">
        <v>0.0</v>
      </c>
      <c r="M169" s="114">
        <v>0.0</v>
      </c>
      <c r="N169" s="120">
        <v>0.0</v>
      </c>
      <c r="O169" s="114">
        <v>0.0</v>
      </c>
      <c r="P169" s="114">
        <v>0.0</v>
      </c>
      <c r="Q169" s="114">
        <v>0.0</v>
      </c>
      <c r="R169" s="121">
        <v>1.0</v>
      </c>
      <c r="S169" s="114"/>
      <c r="T169" s="114">
        <v>0.0</v>
      </c>
      <c r="U169" s="114">
        <v>0.0</v>
      </c>
      <c r="V169" s="114">
        <v>1.0</v>
      </c>
      <c r="W169" s="122"/>
      <c r="X169" s="122"/>
      <c r="Y169" s="122"/>
    </row>
    <row r="170">
      <c r="A170" s="105">
        <v>2.0</v>
      </c>
      <c r="B170" s="106" t="s">
        <v>1382</v>
      </c>
      <c r="C170" s="40">
        <v>167.0</v>
      </c>
      <c r="D170" s="107">
        <v>4.0</v>
      </c>
      <c r="E170" s="108">
        <v>43700.0</v>
      </c>
      <c r="F170" s="42" t="str">
        <f>HYPERLINK("https://www.liputan6.com/showbiz/read/4044705/ftv-spesial-hut-sctv-senorita-buat-cucu-ke-29-tayang-jumat-pagi ","sumber")</f>
        <v>sumber</v>
      </c>
      <c r="G170" s="40" t="s">
        <v>33</v>
      </c>
      <c r="H170" s="107">
        <v>491.0</v>
      </c>
      <c r="I170" s="109"/>
      <c r="J170" s="40">
        <v>2.0</v>
      </c>
      <c r="K170" s="110"/>
      <c r="L170" s="41"/>
      <c r="M170" s="41"/>
      <c r="N170" s="41"/>
      <c r="O170" s="41"/>
      <c r="P170" s="41"/>
      <c r="Q170" s="40"/>
      <c r="R170" s="111"/>
      <c r="S170" s="40"/>
      <c r="T170" s="41"/>
      <c r="U170" s="41"/>
      <c r="V170" s="41"/>
      <c r="W170" s="41"/>
      <c r="X170" s="41"/>
      <c r="Y170" s="41"/>
    </row>
    <row r="171">
      <c r="A171" s="101">
        <v>1.0</v>
      </c>
      <c r="B171" s="96" t="s">
        <v>1383</v>
      </c>
      <c r="C171" s="33">
        <v>168.0</v>
      </c>
      <c r="D171" s="97">
        <v>9.0</v>
      </c>
      <c r="E171" s="98">
        <v>43701.0</v>
      </c>
      <c r="F171" s="35" t="str">
        <f>HYPERLINK("https://senggang.republika.co.id/berita/pwq45d414/dian-sastro-ungkap-putra-pertamanya-menyandang-autisme ","sumber")</f>
        <v>sumber</v>
      </c>
      <c r="G171" s="35" t="str">
        <f>HYPERLINK("https://drive.google.com/open?id=15K5sriRJOw0JTPqD9yRZzl0fwZcfdV8X","lokasi")</f>
        <v>lokasi</v>
      </c>
      <c r="H171" s="97">
        <v>35.0</v>
      </c>
      <c r="I171" s="99">
        <v>2.0</v>
      </c>
      <c r="J171" s="33">
        <v>2.0</v>
      </c>
      <c r="K171" s="102" t="s">
        <v>1384</v>
      </c>
      <c r="L171" s="33">
        <v>0.0</v>
      </c>
      <c r="M171" s="33">
        <v>0.0</v>
      </c>
      <c r="N171" s="37">
        <v>0.0</v>
      </c>
      <c r="O171" s="33">
        <v>0.0</v>
      </c>
      <c r="P171" s="33">
        <v>0.0</v>
      </c>
      <c r="Q171" s="33">
        <v>2.0</v>
      </c>
      <c r="R171" s="33">
        <v>1.0</v>
      </c>
      <c r="S171" s="33" t="s">
        <v>1385</v>
      </c>
      <c r="T171" s="33">
        <v>1.0</v>
      </c>
      <c r="U171" s="33">
        <v>0.0</v>
      </c>
      <c r="V171" s="33">
        <v>0.0</v>
      </c>
      <c r="W171" s="36"/>
      <c r="X171" s="36"/>
      <c r="Y171" s="36"/>
    </row>
    <row r="172">
      <c r="A172" s="105">
        <v>2.0</v>
      </c>
      <c r="B172" s="106" t="s">
        <v>1386</v>
      </c>
      <c r="C172" s="40">
        <v>169.0</v>
      </c>
      <c r="D172" s="107">
        <v>1.0</v>
      </c>
      <c r="E172" s="108">
        <v>43702.0</v>
      </c>
      <c r="F172" s="42" t="str">
        <f>HYPERLINK("https://hot.detik.com/celeb/d-4680178/gelar-tasyakuran-syahnaz-mohon-doa-untuk-kehamilan-anak-kembar ","sumber")</f>
        <v>sumber</v>
      </c>
      <c r="G172" s="40" t="s">
        <v>33</v>
      </c>
      <c r="H172" s="107">
        <v>1351.0</v>
      </c>
      <c r="I172" s="109"/>
      <c r="J172" s="40">
        <v>2.0</v>
      </c>
      <c r="K172" s="110"/>
      <c r="L172" s="41"/>
      <c r="M172" s="41"/>
      <c r="N172" s="41"/>
      <c r="O172" s="41"/>
      <c r="P172" s="41"/>
      <c r="Q172" s="40"/>
      <c r="R172" s="111"/>
      <c r="S172" s="40"/>
      <c r="T172" s="41"/>
      <c r="U172" s="41"/>
      <c r="V172" s="41"/>
      <c r="W172" s="41"/>
      <c r="X172" s="41"/>
      <c r="Y172" s="41"/>
    </row>
    <row r="173">
      <c r="A173" s="105">
        <v>2.0</v>
      </c>
      <c r="B173" s="106" t="s">
        <v>1387</v>
      </c>
      <c r="C173" s="40">
        <v>170.0</v>
      </c>
      <c r="D173" s="107">
        <v>2.0</v>
      </c>
      <c r="E173" s="108">
        <v>43703.0</v>
      </c>
      <c r="F173" s="42" t="str">
        <f>HYPERLINK("https://www.cnnindonesia.com/nasional/20190826202100-32-424814/anak-maruf-amin-jadi-pengurus-pkb-2019-2024 ","sumber")</f>
        <v>sumber</v>
      </c>
      <c r="G173" s="40" t="s">
        <v>33</v>
      </c>
      <c r="H173" s="107">
        <v>839.0</v>
      </c>
      <c r="I173" s="109"/>
      <c r="J173" s="40">
        <v>2.0</v>
      </c>
      <c r="K173" s="110"/>
      <c r="L173" s="41"/>
      <c r="M173" s="41"/>
      <c r="N173" s="41"/>
      <c r="O173" s="41"/>
      <c r="P173" s="41"/>
      <c r="Q173" s="40"/>
      <c r="R173" s="111"/>
      <c r="S173" s="40"/>
      <c r="T173" s="41"/>
      <c r="U173" s="41"/>
      <c r="V173" s="41"/>
      <c r="W173" s="41"/>
      <c r="X173" s="41"/>
      <c r="Y173" s="41"/>
    </row>
    <row r="174">
      <c r="A174" s="105">
        <v>2.0</v>
      </c>
      <c r="B174" s="106" t="s">
        <v>1388</v>
      </c>
      <c r="C174" s="40">
        <v>171.0</v>
      </c>
      <c r="D174" s="107">
        <v>8.0</v>
      </c>
      <c r="E174" s="108">
        <v>43703.0</v>
      </c>
      <c r="F174" s="42" t="str">
        <f>HYPERLINK("https://www.suara.com/bola/2019/08/26/215500/duh-bek-bournemouth-ini-diklaim-lebih-baik-dari-harry-maguire ","sumber")</f>
        <v>sumber</v>
      </c>
      <c r="G174" s="40" t="s">
        <v>33</v>
      </c>
      <c r="H174" s="107">
        <v>348.0</v>
      </c>
      <c r="I174" s="109"/>
      <c r="J174" s="40">
        <v>2.0</v>
      </c>
      <c r="K174" s="110"/>
      <c r="L174" s="41"/>
      <c r="M174" s="41"/>
      <c r="N174" s="41"/>
      <c r="O174" s="41"/>
      <c r="P174" s="41"/>
      <c r="Q174" s="40"/>
      <c r="R174" s="111"/>
      <c r="S174" s="40"/>
      <c r="T174" s="41"/>
      <c r="U174" s="41"/>
      <c r="V174" s="41"/>
      <c r="W174" s="41"/>
      <c r="X174" s="41"/>
      <c r="Y174" s="41"/>
    </row>
    <row r="175">
      <c r="A175" s="105">
        <v>2.0</v>
      </c>
      <c r="B175" s="106" t="s">
        <v>671</v>
      </c>
      <c r="C175" s="40">
        <v>172.0</v>
      </c>
      <c r="D175" s="107">
        <v>5.0</v>
      </c>
      <c r="E175" s="108">
        <v>43703.0</v>
      </c>
      <c r="F175" s="42" t="str">
        <f>HYPERLINK("https://tirto.id/pengakuan-petani-jambi-yang-disiksa-polisi-karena-konflik-lahan-eg1K ","sumber")</f>
        <v>sumber</v>
      </c>
      <c r="G175" s="40" t="s">
        <v>33</v>
      </c>
      <c r="H175" s="107">
        <v>1476.0</v>
      </c>
      <c r="I175" s="109"/>
      <c r="J175" s="40">
        <v>2.0</v>
      </c>
      <c r="K175" s="110"/>
      <c r="L175" s="41"/>
      <c r="M175" s="41"/>
      <c r="N175" s="41"/>
      <c r="O175" s="41"/>
      <c r="P175" s="41"/>
      <c r="Q175" s="40"/>
      <c r="R175" s="111"/>
      <c r="S175" s="40"/>
      <c r="T175" s="41"/>
      <c r="U175" s="41"/>
      <c r="V175" s="41"/>
      <c r="W175" s="41"/>
      <c r="X175" s="41"/>
      <c r="Y175" s="41"/>
    </row>
    <row r="176">
      <c r="A176" s="101">
        <v>1.0</v>
      </c>
      <c r="B176" s="96" t="s">
        <v>1389</v>
      </c>
      <c r="C176" s="33">
        <v>173.0</v>
      </c>
      <c r="D176" s="97">
        <v>1.0</v>
      </c>
      <c r="E176" s="98">
        <v>43705.0</v>
      </c>
      <c r="F176" s="35" t="str">
        <f>HYPERLINK("https://news.detik.com/berita/d-4684591/bpjs-tk-sebut-57-kematian-pekerja-terjadi-akibat-kecelakaan-lalin ","sumber")</f>
        <v>sumber</v>
      </c>
      <c r="G176" s="35" t="str">
        <f t="shared" ref="G176:G177" si="23">HYPERLINK("https://drive.google.com/open?id=15K5sriRJOw0JTPqD9yRZzl0fwZcfdV8X","lokasi")</f>
        <v>lokasi</v>
      </c>
      <c r="H176" s="97">
        <v>319.0</v>
      </c>
      <c r="I176" s="99">
        <v>4.0</v>
      </c>
      <c r="J176" s="33">
        <v>2.0</v>
      </c>
      <c r="K176" s="102" t="s">
        <v>1390</v>
      </c>
      <c r="L176" s="33">
        <v>0.0</v>
      </c>
      <c r="M176" s="33">
        <v>0.0</v>
      </c>
      <c r="N176" s="37">
        <v>0.0</v>
      </c>
      <c r="O176" s="33">
        <v>0.0</v>
      </c>
      <c r="P176" s="33">
        <v>0.0</v>
      </c>
      <c r="Q176" s="33" t="s">
        <v>53</v>
      </c>
      <c r="R176" s="33" t="s">
        <v>53</v>
      </c>
      <c r="S176" s="33" t="s">
        <v>1391</v>
      </c>
      <c r="T176" s="33">
        <v>1.0</v>
      </c>
      <c r="U176" s="33">
        <v>0.0</v>
      </c>
      <c r="V176" s="33">
        <v>1.0</v>
      </c>
      <c r="W176" s="36"/>
      <c r="X176" s="36"/>
      <c r="Y176" s="36"/>
    </row>
    <row r="177">
      <c r="A177" s="112">
        <v>1.0</v>
      </c>
      <c r="B177" s="125" t="s">
        <v>1392</v>
      </c>
      <c r="C177" s="114">
        <v>174.0</v>
      </c>
      <c r="D177" s="115">
        <v>4.0</v>
      </c>
      <c r="E177" s="116">
        <v>43709.0</v>
      </c>
      <c r="F177" s="117" t="str">
        <f>HYPERLINK("https://www.liputan6.com/news/read/4052161/terganggu-dengkuran-seorang-anak-di-bekasi-bunuh-ayah ","sumber")</f>
        <v>sumber</v>
      </c>
      <c r="G177" s="117" t="str">
        <f t="shared" si="23"/>
        <v>lokasi</v>
      </c>
      <c r="H177" s="115">
        <v>241.0</v>
      </c>
      <c r="I177" s="118">
        <v>1.0</v>
      </c>
      <c r="J177" s="114">
        <v>2.0</v>
      </c>
      <c r="K177" s="119" t="s">
        <v>1393</v>
      </c>
      <c r="L177" s="114">
        <v>0.0</v>
      </c>
      <c r="M177" s="50">
        <v>0.0</v>
      </c>
      <c r="N177" s="120">
        <v>0.0</v>
      </c>
      <c r="O177" s="114">
        <v>0.0</v>
      </c>
      <c r="P177" s="114">
        <v>0.0</v>
      </c>
      <c r="Q177" s="114">
        <v>0.0</v>
      </c>
      <c r="R177" s="121">
        <v>0.0</v>
      </c>
      <c r="S177" s="114"/>
      <c r="T177" s="114">
        <v>0.0</v>
      </c>
      <c r="U177" s="114">
        <v>-1.0</v>
      </c>
      <c r="V177" s="114">
        <v>0.0</v>
      </c>
      <c r="W177" s="122"/>
      <c r="X177" s="122"/>
      <c r="Y177" s="122"/>
    </row>
    <row r="178">
      <c r="A178" s="105">
        <v>2.0</v>
      </c>
      <c r="B178" s="106" t="s">
        <v>1394</v>
      </c>
      <c r="C178" s="40">
        <v>175.0</v>
      </c>
      <c r="D178" s="107">
        <v>4.0</v>
      </c>
      <c r="E178" s="108">
        <v>43710.0</v>
      </c>
      <c r="F178" s="42" t="str">
        <f>HYPERLINK("https://www.liputan6.com/news/read/4052311/menanti-10-nama-capim-kpk-pilihan-pansel ","sumber")</f>
        <v>sumber</v>
      </c>
      <c r="G178" s="40" t="s">
        <v>33</v>
      </c>
      <c r="H178" s="107">
        <v>970.0</v>
      </c>
      <c r="I178" s="109"/>
      <c r="J178" s="40">
        <v>2.0</v>
      </c>
      <c r="K178" s="110"/>
      <c r="L178" s="41"/>
      <c r="M178" s="41"/>
      <c r="N178" s="41"/>
      <c r="O178" s="41"/>
      <c r="P178" s="41"/>
      <c r="Q178" s="40"/>
      <c r="R178" s="111"/>
      <c r="S178" s="40"/>
      <c r="T178" s="41"/>
      <c r="U178" s="41"/>
      <c r="V178" s="41"/>
      <c r="W178" s="41"/>
      <c r="X178" s="41"/>
      <c r="Y178" s="41"/>
    </row>
    <row r="179">
      <c r="A179" s="101">
        <v>1.0</v>
      </c>
      <c r="B179" s="96" t="s">
        <v>1395</v>
      </c>
      <c r="C179" s="33">
        <v>176.0</v>
      </c>
      <c r="D179" s="97">
        <v>10.0</v>
      </c>
      <c r="E179" s="98">
        <v>43710.0</v>
      </c>
      <c r="F179" s="35" t="str">
        <f>HYPERLINK("https://difabel.tempo.co/read/1242783/pahami-beda-tantrum-anak-berkebutuhan-khusus-anak-non-difabel ","sumber")</f>
        <v>sumber</v>
      </c>
      <c r="G179" s="35" t="str">
        <f t="shared" ref="G179:G180" si="24">HYPERLINK("https://drive.google.com/open?id=15K5sriRJOw0JTPqD9yRZzl0fwZcfdV8X","lokasi")</f>
        <v>lokasi</v>
      </c>
      <c r="H179" s="97">
        <v>239.0</v>
      </c>
      <c r="I179" s="99">
        <v>2.0</v>
      </c>
      <c r="J179" s="33">
        <v>2.0</v>
      </c>
      <c r="K179" s="102" t="s">
        <v>1396</v>
      </c>
      <c r="L179" s="33">
        <v>0.0</v>
      </c>
      <c r="M179" s="33">
        <v>0.0</v>
      </c>
      <c r="N179" s="37">
        <v>0.0</v>
      </c>
      <c r="O179" s="33">
        <v>0.0</v>
      </c>
      <c r="P179" s="33">
        <v>0.0</v>
      </c>
      <c r="Q179" s="33">
        <v>0.0</v>
      </c>
      <c r="R179" s="33">
        <v>1.0</v>
      </c>
      <c r="S179" s="33" t="s">
        <v>1397</v>
      </c>
      <c r="T179" s="33">
        <v>1.0</v>
      </c>
      <c r="U179" s="33">
        <v>0.0</v>
      </c>
      <c r="V179" s="33">
        <v>1.0</v>
      </c>
      <c r="W179" s="36"/>
      <c r="X179" s="36"/>
      <c r="Y179" s="36"/>
    </row>
    <row r="180">
      <c r="A180" s="112">
        <v>1.0</v>
      </c>
      <c r="B180" s="125" t="s">
        <v>1398</v>
      </c>
      <c r="C180" s="114">
        <v>177.0</v>
      </c>
      <c r="D180" s="115">
        <v>6.0</v>
      </c>
      <c r="E180" s="126" t="s">
        <v>1399</v>
      </c>
      <c r="F180" s="117" t="str">
        <f>HYPERLINK("https://edukasi.kompas.com/read/2019/08/07/16435791/penyandang-disabilitas-punya-kesempatan-raih-pendidikan-tinggi ","sumber")</f>
        <v>sumber</v>
      </c>
      <c r="G180" s="117" t="str">
        <f t="shared" si="24"/>
        <v>lokasi</v>
      </c>
      <c r="H180" s="115">
        <v>294.0</v>
      </c>
      <c r="I180" s="118">
        <v>2.0</v>
      </c>
      <c r="J180" s="114">
        <v>2.0</v>
      </c>
      <c r="K180" s="119" t="s">
        <v>1400</v>
      </c>
      <c r="L180" s="114">
        <v>0.0</v>
      </c>
      <c r="M180" s="114">
        <v>0.0</v>
      </c>
      <c r="N180" s="120">
        <v>0.0</v>
      </c>
      <c r="O180" s="114">
        <v>0.0</v>
      </c>
      <c r="P180" s="114">
        <v>0.0</v>
      </c>
      <c r="Q180" s="114" t="s">
        <v>214</v>
      </c>
      <c r="R180" s="121" t="s">
        <v>192</v>
      </c>
      <c r="S180" s="114"/>
      <c r="T180" s="114">
        <v>0.0</v>
      </c>
      <c r="U180" s="114">
        <v>0.0</v>
      </c>
      <c r="V180" s="114">
        <v>1.0</v>
      </c>
      <c r="W180" s="122"/>
      <c r="X180" s="122"/>
      <c r="Y180" s="122"/>
    </row>
    <row r="181">
      <c r="A181" s="105">
        <v>2.0</v>
      </c>
      <c r="B181" s="106" t="s">
        <v>1401</v>
      </c>
      <c r="C181" s="40">
        <v>178.0</v>
      </c>
      <c r="D181" s="107">
        <v>2.0</v>
      </c>
      <c r="E181" s="108">
        <v>43712.0</v>
      </c>
      <c r="F181" s="42" t="str">
        <f>HYPERLINK("https://www.cnnindonesia.com/nasional/20190904073441-20-427331/benny-wenda-aktivis-papua-merdeka-di-seberang-benua ","sumber")</f>
        <v>sumber</v>
      </c>
      <c r="G181" s="40" t="s">
        <v>33</v>
      </c>
      <c r="H181" s="107">
        <v>1119.0</v>
      </c>
      <c r="I181" s="109"/>
      <c r="J181" s="40">
        <v>2.0</v>
      </c>
      <c r="K181" s="110"/>
      <c r="L181" s="41"/>
      <c r="M181" s="41"/>
      <c r="N181" s="41"/>
      <c r="O181" s="41"/>
      <c r="P181" s="41"/>
      <c r="Q181" s="40"/>
      <c r="R181" s="111"/>
      <c r="S181" s="40"/>
      <c r="T181" s="41"/>
      <c r="U181" s="41"/>
      <c r="V181" s="41"/>
      <c r="W181" s="41"/>
      <c r="X181" s="41"/>
      <c r="Y181" s="41"/>
    </row>
    <row r="182">
      <c r="A182" s="105">
        <v>2.0</v>
      </c>
      <c r="B182" s="106" t="s">
        <v>1402</v>
      </c>
      <c r="C182" s="40">
        <v>179.0</v>
      </c>
      <c r="D182" s="107">
        <v>4.0</v>
      </c>
      <c r="E182" s="108">
        <v>43734.0</v>
      </c>
      <c r="F182" s="42" t="str">
        <f>HYPERLINK("https://www.liputan6.com/lifestyle/read/4069493/6-tips-merawat-tas-kulit-agar-tahan-lama ","sumber")</f>
        <v>sumber</v>
      </c>
      <c r="G182" s="40" t="s">
        <v>33</v>
      </c>
      <c r="H182" s="107">
        <v>500.0</v>
      </c>
      <c r="I182" s="109"/>
      <c r="J182" s="40">
        <v>2.0</v>
      </c>
      <c r="K182" s="110"/>
      <c r="L182" s="41"/>
      <c r="M182" s="41"/>
      <c r="N182" s="41"/>
      <c r="O182" s="41"/>
      <c r="P182" s="41"/>
      <c r="Q182" s="40"/>
      <c r="R182" s="111"/>
      <c r="S182" s="40"/>
      <c r="T182" s="41"/>
      <c r="U182" s="41"/>
      <c r="V182" s="41"/>
      <c r="W182" s="41"/>
      <c r="X182" s="41"/>
      <c r="Y182" s="41"/>
    </row>
    <row r="183">
      <c r="A183" s="105">
        <v>2.0</v>
      </c>
      <c r="B183" s="106" t="s">
        <v>1403</v>
      </c>
      <c r="C183" s="40">
        <v>180.0</v>
      </c>
      <c r="D183" s="107">
        <v>3.0</v>
      </c>
      <c r="E183" s="108">
        <v>43734.0</v>
      </c>
      <c r="F183" s="42" t="str">
        <f>HYPERLINK("https://celebrity.okezone.com/read/2019/09/26/33/2109600/awkarin-ajak-netizen-bersihkan-sampah-sisa-demo-tolak-ruu-kuhp ","sumber")</f>
        <v>sumber</v>
      </c>
      <c r="G183" s="40" t="s">
        <v>33</v>
      </c>
      <c r="H183" s="107">
        <v>357.0</v>
      </c>
      <c r="I183" s="109"/>
      <c r="J183" s="40">
        <v>2.0</v>
      </c>
      <c r="K183" s="110"/>
      <c r="L183" s="41"/>
      <c r="M183" s="41"/>
      <c r="N183" s="41"/>
      <c r="O183" s="41"/>
      <c r="P183" s="41"/>
      <c r="Q183" s="40"/>
      <c r="R183" s="111"/>
      <c r="S183" s="40"/>
      <c r="T183" s="41"/>
      <c r="U183" s="41"/>
      <c r="V183" s="41"/>
      <c r="W183" s="41"/>
      <c r="X183" s="41"/>
      <c r="Y183" s="41"/>
    </row>
    <row r="184">
      <c r="A184" s="105">
        <v>2.0</v>
      </c>
      <c r="B184" s="106" t="s">
        <v>1404</v>
      </c>
      <c r="C184" s="40">
        <v>181.0</v>
      </c>
      <c r="D184" s="107">
        <v>9.0</v>
      </c>
      <c r="E184" s="108">
        <v>43734.0</v>
      </c>
      <c r="F184" s="42" t="str">
        <f>HYPERLINK("https://nasional.republika.co.id/berita/pyfuqq430/selain-ispa-asap-karhutla-juga-sebabkan-iritasi-mata ","sumber")</f>
        <v>sumber</v>
      </c>
      <c r="G184" s="40" t="s">
        <v>33</v>
      </c>
      <c r="H184" s="107">
        <v>280.0</v>
      </c>
      <c r="I184" s="109"/>
      <c r="J184" s="40">
        <v>2.0</v>
      </c>
      <c r="K184" s="110"/>
      <c r="L184" s="41"/>
      <c r="M184" s="41"/>
      <c r="N184" s="41"/>
      <c r="O184" s="41"/>
      <c r="P184" s="41"/>
      <c r="Q184" s="40"/>
      <c r="R184" s="111"/>
      <c r="S184" s="40"/>
      <c r="T184" s="41"/>
      <c r="U184" s="41"/>
      <c r="V184" s="41"/>
      <c r="W184" s="41"/>
      <c r="X184" s="41"/>
      <c r="Y184" s="41"/>
    </row>
    <row r="185">
      <c r="A185" s="105">
        <v>2.0</v>
      </c>
      <c r="B185" s="106" t="s">
        <v>1405</v>
      </c>
      <c r="C185" s="40">
        <v>182.0</v>
      </c>
      <c r="D185" s="107">
        <v>8.0</v>
      </c>
      <c r="E185" s="108">
        <v>43734.0</v>
      </c>
      <c r="F185" s="42" t="str">
        <f>HYPERLINK("https://www.suara.com/tekno/2019/09/26/084853/xiaomi-mi-mix-alpha-dikenalkan-punya-desain-gila ","sumber")</f>
        <v>sumber</v>
      </c>
      <c r="G185" s="40" t="s">
        <v>33</v>
      </c>
      <c r="H185" s="107">
        <v>182.0</v>
      </c>
      <c r="I185" s="109"/>
      <c r="J185" s="40">
        <v>2.0</v>
      </c>
      <c r="K185" s="110"/>
      <c r="L185" s="41"/>
      <c r="M185" s="41"/>
      <c r="N185" s="41"/>
      <c r="O185" s="41"/>
      <c r="P185" s="41"/>
      <c r="Q185" s="40"/>
      <c r="R185" s="111"/>
      <c r="S185" s="40"/>
      <c r="T185" s="41"/>
      <c r="U185" s="41"/>
      <c r="V185" s="41"/>
      <c r="W185" s="41"/>
      <c r="X185" s="41"/>
      <c r="Y185" s="41"/>
    </row>
    <row r="186">
      <c r="A186" s="105">
        <v>2.0</v>
      </c>
      <c r="B186" s="106" t="s">
        <v>1406</v>
      </c>
      <c r="C186" s="40">
        <v>183.0</v>
      </c>
      <c r="D186" s="107">
        <v>8.0</v>
      </c>
      <c r="E186" s="108">
        <v>43735.0</v>
      </c>
      <c r="F186" s="42" t="str">
        <f>HYPERLINK("https://www.suara.com/health/2019/09/27/172000/niat-cantik-dengan-filler-hidung-gadis-ini-malah-buta-sebelah ","sumber")</f>
        <v>sumber</v>
      </c>
      <c r="G186" s="40" t="s">
        <v>33</v>
      </c>
      <c r="H186" s="107">
        <v>212.0</v>
      </c>
      <c r="I186" s="109"/>
      <c r="J186" s="40">
        <v>2.0</v>
      </c>
      <c r="K186" s="110"/>
      <c r="L186" s="41"/>
      <c r="M186" s="41"/>
      <c r="N186" s="41"/>
      <c r="O186" s="41"/>
      <c r="P186" s="41"/>
      <c r="Q186" s="40"/>
      <c r="R186" s="111"/>
      <c r="S186" s="40"/>
      <c r="T186" s="41"/>
      <c r="U186" s="41"/>
      <c r="V186" s="41"/>
      <c r="W186" s="41"/>
      <c r="X186" s="41"/>
      <c r="Y186" s="41"/>
    </row>
    <row r="187">
      <c r="A187" s="112">
        <v>1.0</v>
      </c>
      <c r="B187" s="125" t="s">
        <v>1407</v>
      </c>
      <c r="C187" s="114">
        <v>184.0</v>
      </c>
      <c r="D187" s="115">
        <v>8.0</v>
      </c>
      <c r="E187" s="116">
        <v>43736.0</v>
      </c>
      <c r="F187" s="117" t="str">
        <f>HYPERLINK("https://www.suara.com/health/2019/09/28/202123/kekurangan-oksigen-pada-bayi-baru-lahir-berisiko-alami-cacat-jangka-panjang ","sumber")</f>
        <v>sumber</v>
      </c>
      <c r="G187" s="117" t="str">
        <f t="shared" ref="G187:G190" si="25">HYPERLINK("https://drive.google.com/open?id=15K5sriRJOw0JTPqD9yRZzl0fwZcfdV8X","lokasi")</f>
        <v>lokasi</v>
      </c>
      <c r="H187" s="115">
        <v>207.0</v>
      </c>
      <c r="I187" s="118">
        <v>2.0</v>
      </c>
      <c r="J187" s="114">
        <v>2.0</v>
      </c>
      <c r="K187" s="119"/>
      <c r="L187" s="114">
        <v>0.0</v>
      </c>
      <c r="M187" s="114">
        <v>0.0</v>
      </c>
      <c r="N187" s="120">
        <v>0.0</v>
      </c>
      <c r="O187" s="114">
        <v>0.0</v>
      </c>
      <c r="P187" s="114">
        <v>0.0</v>
      </c>
      <c r="Q187" s="114"/>
      <c r="R187" s="121"/>
      <c r="S187" s="114" t="s">
        <v>1391</v>
      </c>
      <c r="T187" s="114">
        <v>1.0</v>
      </c>
      <c r="U187" s="114">
        <v>0.0</v>
      </c>
      <c r="V187" s="114">
        <v>1.0</v>
      </c>
      <c r="W187" s="122"/>
      <c r="X187" s="122"/>
      <c r="Y187" s="122"/>
    </row>
    <row r="188">
      <c r="A188" s="112">
        <v>1.0</v>
      </c>
      <c r="B188" s="125" t="s">
        <v>1408</v>
      </c>
      <c r="C188" s="114">
        <v>185.0</v>
      </c>
      <c r="D188" s="115">
        <v>3.0</v>
      </c>
      <c r="E188" s="116">
        <v>43709.0</v>
      </c>
      <c r="F188" s="117" t="str">
        <f>HYPERLINK("https://lifestyle.okezone.com/read/2019/09/01/194/2099263/daisy-may-model-disabilitas-cilik-pertama-yang-tampil-di-new-york-fashion-week ","sumber")</f>
        <v>sumber</v>
      </c>
      <c r="G188" s="117" t="str">
        <f t="shared" si="25"/>
        <v>lokasi</v>
      </c>
      <c r="H188" s="115">
        <v>388.0</v>
      </c>
      <c r="I188" s="118">
        <v>2.0</v>
      </c>
      <c r="J188" s="114">
        <v>2.0</v>
      </c>
      <c r="K188" s="119" t="s">
        <v>1409</v>
      </c>
      <c r="L188" s="114">
        <v>0.0</v>
      </c>
      <c r="M188" s="114">
        <v>0.0</v>
      </c>
      <c r="N188" s="120">
        <v>0.0</v>
      </c>
      <c r="O188" s="114">
        <v>0.0</v>
      </c>
      <c r="P188" s="114">
        <v>0.0</v>
      </c>
      <c r="Q188" s="114" t="s">
        <v>119</v>
      </c>
      <c r="R188" s="121" t="s">
        <v>192</v>
      </c>
      <c r="S188" s="114"/>
      <c r="T188" s="114">
        <v>0.0</v>
      </c>
      <c r="U188" s="114">
        <v>0.0</v>
      </c>
      <c r="V188" s="114">
        <v>1.0</v>
      </c>
      <c r="W188" s="122"/>
      <c r="X188" s="122"/>
      <c r="Y188" s="122"/>
    </row>
    <row r="189">
      <c r="A189" s="101">
        <v>1.0</v>
      </c>
      <c r="B189" s="96" t="s">
        <v>1410</v>
      </c>
      <c r="C189" s="33">
        <v>186.0</v>
      </c>
      <c r="D189" s="97">
        <v>4.0</v>
      </c>
      <c r="E189" s="98">
        <v>43472.0</v>
      </c>
      <c r="F189" s="35" t="str">
        <f>HYPERLINK("https://www.liputan6.com/global/read/3864241/pengadilan-federal-as-dukung-pembatasan-peran-transgender-di-militer ","sumber")</f>
        <v>sumber</v>
      </c>
      <c r="G189" s="35" t="str">
        <f t="shared" si="25"/>
        <v>lokasi</v>
      </c>
      <c r="H189" s="97">
        <v>279.0</v>
      </c>
      <c r="I189" s="99">
        <v>4.0</v>
      </c>
      <c r="J189" s="33">
        <v>3.0</v>
      </c>
      <c r="K189" s="102" t="s">
        <v>1411</v>
      </c>
      <c r="L189" s="33">
        <v>0.0</v>
      </c>
      <c r="M189" s="33">
        <v>0.0</v>
      </c>
      <c r="N189" s="37">
        <v>0.0</v>
      </c>
      <c r="O189" s="33">
        <v>0.0</v>
      </c>
      <c r="P189" s="33">
        <v>0.0</v>
      </c>
      <c r="Q189" s="33">
        <v>0.0</v>
      </c>
      <c r="R189" s="33">
        <v>-1.0</v>
      </c>
      <c r="S189" s="33" t="s">
        <v>1412</v>
      </c>
      <c r="T189" s="33">
        <v>1.0</v>
      </c>
      <c r="U189" s="33">
        <v>0.0</v>
      </c>
      <c r="V189" s="33">
        <v>1.0</v>
      </c>
      <c r="W189" s="36"/>
      <c r="X189" s="36"/>
      <c r="Y189" s="36"/>
    </row>
    <row r="190">
      <c r="A190" s="101">
        <v>1.0</v>
      </c>
      <c r="B190" s="96" t="s">
        <v>1413</v>
      </c>
      <c r="C190" s="33">
        <v>187.0</v>
      </c>
      <c r="D190" s="97">
        <v>2.0</v>
      </c>
      <c r="E190" s="98">
        <v>43475.0</v>
      </c>
      <c r="F190" s="35" t="str">
        <f>HYPERLINK("https://www.cnnindonesia.com/hiburan/20190110130206-220-359862/oscar-2019-dikabarkan-tak-pakai-pemandu-acara ","sumber")</f>
        <v>sumber</v>
      </c>
      <c r="G190" s="35" t="str">
        <f t="shared" si="25"/>
        <v>lokasi</v>
      </c>
      <c r="H190" s="97">
        <v>211.0</v>
      </c>
      <c r="I190" s="99">
        <v>4.0</v>
      </c>
      <c r="J190" s="33">
        <v>3.0</v>
      </c>
      <c r="K190" s="33"/>
      <c r="L190" s="33">
        <v>0.0</v>
      </c>
      <c r="M190" s="33">
        <v>0.0</v>
      </c>
      <c r="N190" s="37">
        <v>0.0</v>
      </c>
      <c r="O190" s="33">
        <v>0.0</v>
      </c>
      <c r="P190" s="33">
        <v>0.0</v>
      </c>
      <c r="Q190" s="33"/>
      <c r="R190" s="33"/>
      <c r="S190" s="33"/>
      <c r="T190" s="33">
        <v>0.0</v>
      </c>
      <c r="U190" s="33">
        <v>0.0</v>
      </c>
      <c r="V190" s="33">
        <v>1.0</v>
      </c>
      <c r="W190" s="36"/>
      <c r="X190" s="36"/>
      <c r="Y190" s="36"/>
    </row>
    <row r="191">
      <c r="A191" s="105">
        <v>2.0</v>
      </c>
      <c r="B191" s="106" t="s">
        <v>1414</v>
      </c>
      <c r="C191" s="40">
        <v>188.0</v>
      </c>
      <c r="D191" s="107">
        <v>3.0</v>
      </c>
      <c r="E191" s="108">
        <v>43476.0</v>
      </c>
      <c r="F191" s="42" t="str">
        <f>HYPERLINK("https://celebrity.okezone.com/read/2019/01/11/33/2003293/dinar-candy-bantah-sindir-vanessa-angel-lewat-unggahan-menjemput-rezeki ","sumber")</f>
        <v>sumber</v>
      </c>
      <c r="G191" s="40" t="s">
        <v>33</v>
      </c>
      <c r="H191" s="107">
        <v>348.0</v>
      </c>
      <c r="I191" s="109"/>
      <c r="J191" s="40">
        <v>3.0</v>
      </c>
      <c r="K191" s="110"/>
      <c r="L191" s="41"/>
      <c r="M191" s="41"/>
      <c r="N191" s="41"/>
      <c r="O191" s="41"/>
      <c r="P191" s="41"/>
      <c r="Q191" s="40"/>
      <c r="R191" s="111"/>
      <c r="S191" s="40"/>
      <c r="T191" s="41"/>
      <c r="U191" s="41"/>
      <c r="V191" s="41"/>
      <c r="W191" s="41"/>
      <c r="X191" s="41"/>
      <c r="Y191" s="41"/>
    </row>
    <row r="192">
      <c r="A192" s="101">
        <v>1.0</v>
      </c>
      <c r="B192" s="96" t="s">
        <v>1415</v>
      </c>
      <c r="C192" s="33">
        <v>189.0</v>
      </c>
      <c r="D192" s="97">
        <v>6.0</v>
      </c>
      <c r="E192" s="98">
        <v>43479.0</v>
      </c>
      <c r="F192" s="35" t="str">
        <f>HYPERLINK("https://internasional.kompas.com/read/2019/01/14/22070201/wali-kota-polandia-yang-ditikam-di-acara-amal-tewas-usai-dirawat ","sumber")</f>
        <v>sumber</v>
      </c>
      <c r="G192" s="35" t="str">
        <f t="shared" ref="G192:G205" si="26">HYPERLINK("https://drive.google.com/open?id=15K5sriRJOw0JTPqD9yRZzl0fwZcfdV8X","lokasi")</f>
        <v>lokasi</v>
      </c>
      <c r="H192" s="97">
        <v>255.0</v>
      </c>
      <c r="I192" s="99">
        <v>1.0</v>
      </c>
      <c r="J192" s="33">
        <v>3.0</v>
      </c>
      <c r="K192" s="102" t="s">
        <v>1416</v>
      </c>
      <c r="L192" s="33">
        <v>0.0</v>
      </c>
      <c r="M192" s="33">
        <v>0.0</v>
      </c>
      <c r="N192" s="37">
        <v>0.0</v>
      </c>
      <c r="O192" s="33">
        <v>0.0</v>
      </c>
      <c r="P192" s="33">
        <v>0.0</v>
      </c>
      <c r="Q192" s="33">
        <v>0.0</v>
      </c>
      <c r="R192" s="33">
        <v>0.0</v>
      </c>
      <c r="S192" s="33"/>
      <c r="T192" s="33">
        <v>0.0</v>
      </c>
      <c r="U192" s="33">
        <v>0.0</v>
      </c>
      <c r="V192" s="33">
        <v>1.0</v>
      </c>
      <c r="W192" s="36"/>
      <c r="X192" s="36"/>
      <c r="Y192" s="36"/>
    </row>
    <row r="193">
      <c r="A193" s="101">
        <v>1.0</v>
      </c>
      <c r="B193" s="96" t="s">
        <v>1417</v>
      </c>
      <c r="C193" s="33">
        <v>190.0</v>
      </c>
      <c r="D193" s="97">
        <v>1.0</v>
      </c>
      <c r="E193" s="98">
        <v>43483.0</v>
      </c>
      <c r="F193" s="35" t="str">
        <f>HYPERLINK("https://news.detik.com/berita/d-4390579/tokoh-adat-padang-minta-keluarga-aktif-cegah-perilaku-lgbt ","sumber")</f>
        <v>sumber</v>
      </c>
      <c r="G193" s="35" t="str">
        <f t="shared" si="26"/>
        <v>lokasi</v>
      </c>
      <c r="H193" s="97">
        <v>433.0</v>
      </c>
      <c r="I193" s="99">
        <v>4.0</v>
      </c>
      <c r="J193" s="33">
        <v>3.0</v>
      </c>
      <c r="K193" s="102" t="s">
        <v>1418</v>
      </c>
      <c r="L193" s="33">
        <v>0.0</v>
      </c>
      <c r="M193" s="33">
        <v>0.0</v>
      </c>
      <c r="N193" s="37">
        <v>0.0</v>
      </c>
      <c r="O193" s="33">
        <v>0.0</v>
      </c>
      <c r="P193" s="33">
        <v>0.0</v>
      </c>
      <c r="Q193" s="33">
        <v>0.0</v>
      </c>
      <c r="R193" s="33">
        <v>-1.0</v>
      </c>
      <c r="S193" s="33" t="s">
        <v>1419</v>
      </c>
      <c r="T193" s="33">
        <v>4.0</v>
      </c>
      <c r="U193" s="33">
        <v>-1.0</v>
      </c>
      <c r="V193" s="33">
        <v>1.0</v>
      </c>
      <c r="W193" s="36"/>
      <c r="X193" s="36"/>
      <c r="Y193" s="36"/>
    </row>
    <row r="194">
      <c r="A194" s="101">
        <v>1.0</v>
      </c>
      <c r="B194" s="96" t="s">
        <v>1420</v>
      </c>
      <c r="C194" s="33">
        <v>191.0</v>
      </c>
      <c r="D194" s="97">
        <v>7.0</v>
      </c>
      <c r="E194" s="98">
        <v>43483.0</v>
      </c>
      <c r="F194" s="35" t="str">
        <f>HYPERLINK("http://www.tribunnews.com/superskor/2019/01/18/ruben-loftus-cheek-hormat-kepada-pesepakbola-yang-mengaku-gay ","sumber")</f>
        <v>sumber</v>
      </c>
      <c r="G194" s="35" t="str">
        <f t="shared" si="26"/>
        <v>lokasi</v>
      </c>
      <c r="H194" s="97">
        <v>127.0</v>
      </c>
      <c r="I194" s="99">
        <v>2.0</v>
      </c>
      <c r="J194" s="33">
        <v>3.0</v>
      </c>
      <c r="K194" s="102" t="s">
        <v>1421</v>
      </c>
      <c r="L194" s="33">
        <v>0.0</v>
      </c>
      <c r="M194" s="33">
        <v>0.0</v>
      </c>
      <c r="N194" s="37">
        <v>0.0</v>
      </c>
      <c r="O194" s="33">
        <v>0.0</v>
      </c>
      <c r="P194" s="33">
        <v>0.0</v>
      </c>
      <c r="Q194" s="33">
        <v>0.0</v>
      </c>
      <c r="R194" s="33">
        <v>1.0</v>
      </c>
      <c r="S194" s="33"/>
      <c r="T194" s="33">
        <v>0.0</v>
      </c>
      <c r="U194" s="33">
        <v>0.0</v>
      </c>
      <c r="V194" s="33">
        <v>0.0</v>
      </c>
      <c r="W194" s="36"/>
      <c r="X194" s="36"/>
      <c r="Y194" s="36"/>
    </row>
    <row r="195">
      <c r="A195" s="101">
        <v>1.0</v>
      </c>
      <c r="B195" s="96" t="s">
        <v>1422</v>
      </c>
      <c r="C195" s="33">
        <v>192.0</v>
      </c>
      <c r="D195" s="97">
        <v>2.0</v>
      </c>
      <c r="E195" s="98">
        <v>43487.0</v>
      </c>
      <c r="F195" s="35" t="str">
        <f>HYPERLINK("https://www.cnnindonesia.com/internasional/20190122184804-127-362917/pembawa-acara-tv-mesir-dipenjara-karena-wawancara-homoseksual ","sumber")</f>
        <v>sumber</v>
      </c>
      <c r="G195" s="35" t="str">
        <f t="shared" si="26"/>
        <v>lokasi</v>
      </c>
      <c r="H195" s="97">
        <v>302.0</v>
      </c>
      <c r="I195" s="99">
        <v>1.0</v>
      </c>
      <c r="J195" s="33">
        <v>3.0</v>
      </c>
      <c r="K195" s="33"/>
      <c r="L195" s="33">
        <v>0.0</v>
      </c>
      <c r="M195" s="33">
        <v>0.0</v>
      </c>
      <c r="N195" s="37">
        <v>0.0</v>
      </c>
      <c r="O195" s="33">
        <v>0.0</v>
      </c>
      <c r="P195" s="33">
        <v>0.0</v>
      </c>
      <c r="Q195" s="33"/>
      <c r="R195" s="33"/>
      <c r="S195" s="33"/>
      <c r="T195" s="33">
        <v>0.0</v>
      </c>
      <c r="U195" s="33">
        <v>0.0</v>
      </c>
      <c r="V195" s="33">
        <v>1.0</v>
      </c>
      <c r="W195" s="36"/>
      <c r="X195" s="36"/>
      <c r="Y195" s="36"/>
    </row>
    <row r="196">
      <c r="A196" s="101">
        <v>1.0</v>
      </c>
      <c r="B196" s="96" t="s">
        <v>997</v>
      </c>
      <c r="C196" s="33">
        <v>193.0</v>
      </c>
      <c r="D196" s="97">
        <v>6.0</v>
      </c>
      <c r="E196" s="98">
        <v>43487.0</v>
      </c>
      <c r="F196" s="35" t="str">
        <f>HYPERLINK("https://internasional.kompas.com/read/2019/01/22/13291621/wawancarai-pria-gay-penyiar-tv-di-mesir-dihukum-penjara ","sumber")</f>
        <v>sumber</v>
      </c>
      <c r="G196" s="35" t="str">
        <f t="shared" si="26"/>
        <v>lokasi</v>
      </c>
      <c r="H196" s="97">
        <v>357.0</v>
      </c>
      <c r="I196" s="99">
        <v>1.0</v>
      </c>
      <c r="J196" s="33">
        <v>3.0</v>
      </c>
      <c r="K196" s="33"/>
      <c r="L196" s="33">
        <v>0.0</v>
      </c>
      <c r="M196" s="33">
        <v>0.0</v>
      </c>
      <c r="N196" s="37">
        <v>0.0</v>
      </c>
      <c r="O196" s="33">
        <v>0.0</v>
      </c>
      <c r="P196" s="33">
        <v>0.0</v>
      </c>
      <c r="Q196" s="33"/>
      <c r="R196" s="33"/>
      <c r="S196" s="33"/>
      <c r="T196" s="33">
        <v>0.0</v>
      </c>
      <c r="U196" s="33">
        <v>0.0</v>
      </c>
      <c r="V196" s="33">
        <v>1.0</v>
      </c>
      <c r="W196" s="36"/>
      <c r="X196" s="36"/>
      <c r="Y196" s="36"/>
    </row>
    <row r="197">
      <c r="A197" s="112">
        <v>1.0</v>
      </c>
      <c r="B197" s="125" t="s">
        <v>1423</v>
      </c>
      <c r="C197" s="114">
        <v>194.0</v>
      </c>
      <c r="D197" s="115">
        <v>3.0</v>
      </c>
      <c r="E197" s="116">
        <v>43475.0</v>
      </c>
      <c r="F197" s="117" t="str">
        <f>HYPERLINK("https://lifestyle.okezone.com/read/2019/01/10/196/2002429/begini-kalau-ninja-nyamar-jadi-biduan-penontonnya-pada-kabur ","sumber")</f>
        <v>sumber</v>
      </c>
      <c r="G197" s="117" t="str">
        <f t="shared" si="26"/>
        <v>lokasi</v>
      </c>
      <c r="H197" s="115">
        <v>394.0</v>
      </c>
      <c r="I197" s="118">
        <v>2.0</v>
      </c>
      <c r="J197" s="114">
        <v>3.0</v>
      </c>
      <c r="K197" s="119" t="s">
        <v>1424</v>
      </c>
      <c r="L197" s="114">
        <v>0.0</v>
      </c>
      <c r="M197" s="114">
        <v>0.0</v>
      </c>
      <c r="N197" s="120">
        <v>0.0</v>
      </c>
      <c r="O197" s="114">
        <v>0.0</v>
      </c>
      <c r="P197" s="114">
        <v>-1.0</v>
      </c>
      <c r="Q197" s="114" t="s">
        <v>718</v>
      </c>
      <c r="R197" s="121" t="s">
        <v>53</v>
      </c>
      <c r="S197" s="114" t="s">
        <v>1425</v>
      </c>
      <c r="T197" s="114">
        <v>1.0</v>
      </c>
      <c r="U197" s="114">
        <v>0.0</v>
      </c>
      <c r="V197" s="114">
        <v>1.0</v>
      </c>
      <c r="W197" s="122"/>
      <c r="X197" s="122"/>
      <c r="Y197" s="122"/>
    </row>
    <row r="198">
      <c r="A198" s="101">
        <v>1.0</v>
      </c>
      <c r="B198" s="96" t="s">
        <v>1426</v>
      </c>
      <c r="C198" s="33">
        <v>195.0</v>
      </c>
      <c r="D198" s="97">
        <v>1.0</v>
      </c>
      <c r="E198" s="98">
        <v>43502.0</v>
      </c>
      <c r="F198" s="35" t="str">
        <f>HYPERLINK("https://news.detik.com/berita/d-4415844/selebgram-reva-alexa-ditangkap-terkait-narkoba ","sumber")</f>
        <v>sumber</v>
      </c>
      <c r="G198" s="35" t="str">
        <f t="shared" si="26"/>
        <v>lokasi</v>
      </c>
      <c r="H198" s="97">
        <v>166.0</v>
      </c>
      <c r="I198" s="99">
        <v>1.0</v>
      </c>
      <c r="J198" s="33">
        <v>3.0</v>
      </c>
      <c r="K198" s="102" t="s">
        <v>1427</v>
      </c>
      <c r="L198" s="33">
        <v>0.0</v>
      </c>
      <c r="M198" s="33">
        <v>0.0</v>
      </c>
      <c r="N198" s="37">
        <v>0.0</v>
      </c>
      <c r="O198" s="33">
        <v>0.0</v>
      </c>
      <c r="P198" s="33">
        <v>0.0</v>
      </c>
      <c r="Q198" s="33">
        <v>0.0</v>
      </c>
      <c r="R198" s="33">
        <v>0.0</v>
      </c>
      <c r="S198" s="33"/>
      <c r="T198" s="33">
        <v>0.0</v>
      </c>
      <c r="U198" s="33">
        <v>-1.0</v>
      </c>
      <c r="V198" s="33">
        <v>0.0</v>
      </c>
      <c r="W198" s="36"/>
      <c r="X198" s="36"/>
      <c r="Y198" s="36"/>
    </row>
    <row r="199">
      <c r="A199" s="101">
        <v>1.0</v>
      </c>
      <c r="B199" s="96" t="s">
        <v>1428</v>
      </c>
      <c r="C199" s="33">
        <v>196.0</v>
      </c>
      <c r="D199" s="97">
        <v>1.0</v>
      </c>
      <c r="E199" s="98">
        <v>43506.0</v>
      </c>
      <c r="F199" s="35" t="str">
        <f>HYPERLINK("https://news.detik.com/berita/d-4421534/akun-ig-komik-muslim-gay-ramai-dikutuk-netizen-ri ","sumber")</f>
        <v>sumber</v>
      </c>
      <c r="G199" s="35" t="str">
        <f t="shared" si="26"/>
        <v>lokasi</v>
      </c>
      <c r="H199" s="97">
        <v>166.0</v>
      </c>
      <c r="I199" s="99">
        <v>2.0</v>
      </c>
      <c r="J199" s="33">
        <v>3.0</v>
      </c>
      <c r="K199" s="33"/>
      <c r="L199" s="33">
        <v>0.0</v>
      </c>
      <c r="M199" s="33">
        <v>0.0</v>
      </c>
      <c r="N199" s="37">
        <v>0.0</v>
      </c>
      <c r="O199" s="33">
        <v>0.0</v>
      </c>
      <c r="P199" s="33">
        <v>0.0</v>
      </c>
      <c r="Q199" s="33"/>
      <c r="R199" s="33"/>
      <c r="S199" s="33"/>
      <c r="T199" s="33">
        <v>0.0</v>
      </c>
      <c r="U199" s="33">
        <v>-1.0</v>
      </c>
      <c r="V199" s="33">
        <v>1.0</v>
      </c>
      <c r="W199" s="36"/>
      <c r="X199" s="36"/>
      <c r="Y199" s="36"/>
    </row>
    <row r="200">
      <c r="A200" s="112">
        <v>1.0</v>
      </c>
      <c r="B200" s="125" t="s">
        <v>1429</v>
      </c>
      <c r="C200" s="114">
        <v>197.0</v>
      </c>
      <c r="D200" s="115">
        <v>3.0</v>
      </c>
      <c r="E200" s="116">
        <v>43506.0</v>
      </c>
      <c r="F200" s="117" t="str">
        <f>HYPERLINK("https://news.okezone.com/read/2019/02/10/337/2015946/heboh-akun-ig-komik-gay-bertema-muslim-banjir-sumpah-serapah-netizen ","sumber")</f>
        <v>sumber</v>
      </c>
      <c r="G200" s="117" t="str">
        <f t="shared" si="26"/>
        <v>lokasi</v>
      </c>
      <c r="H200" s="115">
        <v>229.0</v>
      </c>
      <c r="I200" s="118">
        <v>1.0</v>
      </c>
      <c r="J200" s="114">
        <v>3.0</v>
      </c>
      <c r="K200" s="119" t="s">
        <v>1430</v>
      </c>
      <c r="L200" s="114">
        <v>0.0</v>
      </c>
      <c r="M200" s="114">
        <v>-1.0</v>
      </c>
      <c r="N200" s="120">
        <v>0.0</v>
      </c>
      <c r="O200" s="114">
        <v>0.0</v>
      </c>
      <c r="P200" s="114">
        <v>-1.0</v>
      </c>
      <c r="Q200" s="114" t="s">
        <v>718</v>
      </c>
      <c r="R200" s="121" t="s">
        <v>718</v>
      </c>
      <c r="S200" s="114" t="s">
        <v>1431</v>
      </c>
      <c r="T200" s="114">
        <v>1.0</v>
      </c>
      <c r="U200" s="114">
        <v>0.0</v>
      </c>
      <c r="V200" s="114">
        <v>1.0</v>
      </c>
      <c r="W200" s="122"/>
      <c r="X200" s="122"/>
      <c r="Y200" s="122"/>
    </row>
    <row r="201">
      <c r="A201" s="112">
        <v>1.0</v>
      </c>
      <c r="B201" s="125" t="s">
        <v>1432</v>
      </c>
      <c r="C201" s="114">
        <v>198.0</v>
      </c>
      <c r="D201" s="115">
        <v>1.0</v>
      </c>
      <c r="E201" s="116">
        <v>43507.0</v>
      </c>
      <c r="F201" s="117" t="str">
        <f>HYPERLINK("https://news.detik.com/berita/d-4422534/pan-desak-akun-komik-muslim-gay-segera-diblokir ","sumber")</f>
        <v>sumber</v>
      </c>
      <c r="G201" s="117" t="str">
        <f t="shared" si="26"/>
        <v>lokasi</v>
      </c>
      <c r="H201" s="115">
        <v>260.0</v>
      </c>
      <c r="I201" s="118">
        <v>1.0</v>
      </c>
      <c r="J201" s="114">
        <v>3.0</v>
      </c>
      <c r="K201" s="119" t="s">
        <v>1433</v>
      </c>
      <c r="L201" s="114">
        <v>0.0</v>
      </c>
      <c r="M201" s="114">
        <v>-1.0</v>
      </c>
      <c r="N201" s="120">
        <v>0.0</v>
      </c>
      <c r="O201" s="114">
        <v>0.0</v>
      </c>
      <c r="P201" s="114">
        <v>0.0</v>
      </c>
      <c r="Q201" s="114">
        <v>0.0</v>
      </c>
      <c r="R201" s="121">
        <v>-1.0</v>
      </c>
      <c r="S201" s="114"/>
      <c r="T201" s="114">
        <v>0.0</v>
      </c>
      <c r="U201" s="114">
        <v>0.0</v>
      </c>
      <c r="V201" s="114">
        <v>1.0</v>
      </c>
      <c r="W201" s="122"/>
      <c r="X201" s="122"/>
      <c r="Y201" s="122"/>
    </row>
    <row r="202">
      <c r="A202" s="101">
        <v>1.0</v>
      </c>
      <c r="B202" s="96" t="s">
        <v>1434</v>
      </c>
      <c r="C202" s="33">
        <v>199.0</v>
      </c>
      <c r="D202" s="97">
        <v>10.0</v>
      </c>
      <c r="E202" s="98">
        <v>43507.0</v>
      </c>
      <c r="F202" s="35" t="str">
        <f>HYPERLINK("https://nasional.tempo.co/read/1174618/ketua-dpr-targetkan-ruu-pks-disahkan-sebelum-pemilu ","sumber")</f>
        <v>sumber</v>
      </c>
      <c r="G202" s="35" t="str">
        <f t="shared" si="26"/>
        <v>lokasi</v>
      </c>
      <c r="H202" s="97">
        <v>394.0</v>
      </c>
      <c r="I202" s="99">
        <v>4.0</v>
      </c>
      <c r="J202" s="33">
        <v>3.0</v>
      </c>
      <c r="K202" s="102" t="s">
        <v>1435</v>
      </c>
      <c r="L202" s="33">
        <v>0.0</v>
      </c>
      <c r="M202" s="33">
        <v>0.0</v>
      </c>
      <c r="N202" s="37">
        <v>0.0</v>
      </c>
      <c r="O202" s="33">
        <v>0.0</v>
      </c>
      <c r="P202" s="33">
        <v>0.0</v>
      </c>
      <c r="Q202" s="33" t="s">
        <v>61</v>
      </c>
      <c r="R202" s="33" t="s">
        <v>85</v>
      </c>
      <c r="S202" s="33"/>
      <c r="T202" s="33">
        <v>0.0</v>
      </c>
      <c r="U202" s="33">
        <v>0.0</v>
      </c>
      <c r="V202" s="33">
        <v>1.0</v>
      </c>
      <c r="W202" s="36"/>
      <c r="X202" s="36"/>
      <c r="Y202" s="36"/>
    </row>
    <row r="203">
      <c r="A203" s="112">
        <v>1.0</v>
      </c>
      <c r="B203" s="125" t="s">
        <v>1436</v>
      </c>
      <c r="C203" s="114">
        <v>200.0</v>
      </c>
      <c r="D203" s="115">
        <v>8.0</v>
      </c>
      <c r="E203" s="126" t="s">
        <v>1437</v>
      </c>
      <c r="F203" s="117" t="str">
        <f>HYPERLINK("https://www.suara.com/news/2019/02/12/204019/heboh-komik-muslim-gay-polda-metro-jaya-bakal-selidiki ","sumber")</f>
        <v>sumber</v>
      </c>
      <c r="G203" s="117" t="str">
        <f t="shared" si="26"/>
        <v>lokasi</v>
      </c>
      <c r="H203" s="115">
        <v>127.0</v>
      </c>
      <c r="I203" s="118">
        <v>1.0</v>
      </c>
      <c r="J203" s="114">
        <v>3.0</v>
      </c>
      <c r="K203" s="119" t="s">
        <v>1427</v>
      </c>
      <c r="L203" s="114">
        <v>0.0</v>
      </c>
      <c r="M203" s="114">
        <v>-1.0</v>
      </c>
      <c r="N203" s="120">
        <v>0.0</v>
      </c>
      <c r="O203" s="114">
        <v>0.0</v>
      </c>
      <c r="P203" s="114">
        <v>-1.0</v>
      </c>
      <c r="Q203" s="114">
        <v>0.0</v>
      </c>
      <c r="R203" s="121">
        <v>0.0</v>
      </c>
      <c r="S203" s="114"/>
      <c r="T203" s="114">
        <v>0.0</v>
      </c>
      <c r="U203" s="114">
        <v>0.0</v>
      </c>
      <c r="V203" s="114">
        <v>1.0</v>
      </c>
      <c r="W203" s="122"/>
      <c r="X203" s="122"/>
      <c r="Y203" s="122"/>
    </row>
    <row r="204">
      <c r="A204" s="112">
        <v>1.0</v>
      </c>
      <c r="B204" s="125" t="s">
        <v>1438</v>
      </c>
      <c r="C204" s="114">
        <v>201.0</v>
      </c>
      <c r="D204" s="115">
        <v>5.0</v>
      </c>
      <c r="E204" s="126" t="s">
        <v>1439</v>
      </c>
      <c r="F204" s="117" t="str">
        <f>HYPERLINK("https://tirto.id/wakil-ketua-komisi-viii-dpr-bantah-ruu-pks-disebut-pro-zina-lgbt-dftB ","sumber")</f>
        <v>sumber</v>
      </c>
      <c r="G204" s="117" t="str">
        <f t="shared" si="26"/>
        <v>lokasi</v>
      </c>
      <c r="H204" s="115">
        <v>319.0</v>
      </c>
      <c r="I204" s="118">
        <v>4.0</v>
      </c>
      <c r="J204" s="114">
        <v>3.0</v>
      </c>
      <c r="K204" s="119" t="s">
        <v>1440</v>
      </c>
      <c r="L204" s="114">
        <v>0.0</v>
      </c>
      <c r="M204" s="114">
        <v>0.0</v>
      </c>
      <c r="N204" s="120">
        <v>0.0</v>
      </c>
      <c r="O204" s="114">
        <v>0.0</v>
      </c>
      <c r="P204" s="114">
        <v>0.0</v>
      </c>
      <c r="Q204" s="114">
        <v>0.0</v>
      </c>
      <c r="R204" s="121">
        <v>-1.0</v>
      </c>
      <c r="S204" s="114"/>
      <c r="T204" s="114">
        <v>0.0</v>
      </c>
      <c r="U204" s="114">
        <v>0.0</v>
      </c>
      <c r="V204" s="114">
        <v>1.0</v>
      </c>
      <c r="W204" s="122"/>
      <c r="X204" s="122"/>
      <c r="Y204" s="122"/>
    </row>
    <row r="205">
      <c r="A205" s="112">
        <v>1.0</v>
      </c>
      <c r="B205" s="125" t="s">
        <v>1441</v>
      </c>
      <c r="C205" s="114">
        <v>202.0</v>
      </c>
      <c r="D205" s="115">
        <v>7.0</v>
      </c>
      <c r="E205" s="116">
        <v>43517.0</v>
      </c>
      <c r="F205" s="117" t="str">
        <f>HYPERLINK("http://www.tribunnews.com/metropolitan/2019/02/07/ternyata-transgender-polisi-ungkap-nama-asli-selebgram-reva-alexa ","sumber")</f>
        <v>sumber</v>
      </c>
      <c r="G205" s="117" t="str">
        <f t="shared" si="26"/>
        <v>lokasi</v>
      </c>
      <c r="H205" s="115">
        <v>207.0</v>
      </c>
      <c r="I205" s="118">
        <v>1.0</v>
      </c>
      <c r="J205" s="114">
        <v>3.0</v>
      </c>
      <c r="K205" s="119" t="s">
        <v>1442</v>
      </c>
      <c r="L205" s="114">
        <v>0.0</v>
      </c>
      <c r="M205" s="50">
        <v>0.0</v>
      </c>
      <c r="N205" s="114">
        <v>-1.0</v>
      </c>
      <c r="O205" s="114">
        <v>0.0</v>
      </c>
      <c r="P205" s="114">
        <v>-1.0</v>
      </c>
      <c r="Q205" s="114">
        <v>0.0</v>
      </c>
      <c r="R205" s="121">
        <v>-1.0</v>
      </c>
      <c r="S205" s="114" t="s">
        <v>1443</v>
      </c>
      <c r="T205" s="114">
        <v>1.0</v>
      </c>
      <c r="U205" s="114">
        <v>-1.0</v>
      </c>
      <c r="V205" s="114">
        <v>0.0</v>
      </c>
      <c r="W205" s="122"/>
      <c r="X205" s="122"/>
      <c r="Y205" s="122"/>
    </row>
    <row r="206">
      <c r="A206" s="105">
        <v>2.0</v>
      </c>
      <c r="B206" s="106" t="s">
        <v>1444</v>
      </c>
      <c r="C206" s="40">
        <v>203.0</v>
      </c>
      <c r="D206" s="107">
        <v>5.0</v>
      </c>
      <c r="E206" s="108">
        <v>43521.0</v>
      </c>
      <c r="F206" s="42" t="str">
        <f>HYPERLINK("https://tirto.id/oscar-2019-aktris-pendukung-terbaik-regina-king-atau-emma-stone-dhGQ ","sumber")</f>
        <v>sumber</v>
      </c>
      <c r="G206" s="40" t="s">
        <v>33</v>
      </c>
      <c r="H206" s="107">
        <v>565.0</v>
      </c>
      <c r="I206" s="109"/>
      <c r="J206" s="40">
        <v>3.0</v>
      </c>
      <c r="K206" s="110"/>
      <c r="L206" s="41"/>
      <c r="M206" s="41"/>
      <c r="N206" s="41"/>
      <c r="O206" s="41"/>
      <c r="P206" s="41"/>
      <c r="Q206" s="40"/>
      <c r="R206" s="111"/>
      <c r="S206" s="40"/>
      <c r="T206" s="41"/>
      <c r="U206" s="41"/>
      <c r="V206" s="41"/>
      <c r="W206" s="41"/>
      <c r="X206" s="41"/>
      <c r="Y206" s="41"/>
    </row>
    <row r="207">
      <c r="A207" s="101">
        <v>1.0</v>
      </c>
      <c r="B207" s="96" t="s">
        <v>1445</v>
      </c>
      <c r="C207" s="33">
        <v>204.0</v>
      </c>
      <c r="D207" s="97">
        <v>5.0</v>
      </c>
      <c r="E207" s="98">
        <v>43522.0</v>
      </c>
      <c r="F207" s="35" t="str">
        <f>HYPERLINK("https://tirto.id/politik-merusak-oscar-academy-awards-memang-selalu-politis-dhNH ","sumber")</f>
        <v>sumber</v>
      </c>
      <c r="G207" s="35" t="str">
        <f t="shared" ref="G207:G211" si="27">HYPERLINK("https://drive.google.com/open?id=15K5sriRJOw0JTPqD9yRZzl0fwZcfdV8X","lokasi")</f>
        <v>lokasi</v>
      </c>
      <c r="H207" s="97">
        <v>1437.0</v>
      </c>
      <c r="I207" s="99">
        <v>3.0</v>
      </c>
      <c r="J207" s="33">
        <v>3.0</v>
      </c>
      <c r="K207" s="33"/>
      <c r="L207" s="33">
        <v>0.0</v>
      </c>
      <c r="M207" s="33">
        <v>0.0</v>
      </c>
      <c r="N207" s="37">
        <v>0.0</v>
      </c>
      <c r="O207" s="33">
        <v>0.0</v>
      </c>
      <c r="P207" s="33">
        <v>0.0</v>
      </c>
      <c r="Q207" s="33"/>
      <c r="R207" s="33"/>
      <c r="S207" s="33"/>
      <c r="T207" s="33">
        <v>0.0</v>
      </c>
      <c r="U207" s="33">
        <v>0.0</v>
      </c>
      <c r="V207" s="33">
        <v>1.0</v>
      </c>
      <c r="W207" s="36"/>
      <c r="X207" s="36"/>
      <c r="Y207" s="36"/>
    </row>
    <row r="208">
      <c r="A208" s="112">
        <v>1.0</v>
      </c>
      <c r="B208" s="125" t="s">
        <v>1446</v>
      </c>
      <c r="C208" s="114">
        <v>205.0</v>
      </c>
      <c r="D208" s="115">
        <v>7.0</v>
      </c>
      <c r="E208" s="116">
        <v>43502.0</v>
      </c>
      <c r="F208" s="117" t="str">
        <f>HYPERLINK("http://www.tribunnews.com/seleb/2019/02/06/ditangkap-karena-narkoba-selebgram-reva-alexa-ternyata-transgender ","sumber")</f>
        <v>sumber</v>
      </c>
      <c r="G208" s="117" t="str">
        <f t="shared" si="27"/>
        <v>lokasi</v>
      </c>
      <c r="H208" s="115">
        <v>78.0</v>
      </c>
      <c r="I208" s="118">
        <v>1.0</v>
      </c>
      <c r="J208" s="114">
        <v>3.0</v>
      </c>
      <c r="K208" s="119" t="s">
        <v>1442</v>
      </c>
      <c r="L208" s="114">
        <v>0.0</v>
      </c>
      <c r="M208" s="50">
        <v>0.0</v>
      </c>
      <c r="N208" s="114">
        <v>-1.0</v>
      </c>
      <c r="O208" s="114">
        <v>0.0</v>
      </c>
      <c r="P208" s="114">
        <v>-1.0</v>
      </c>
      <c r="Q208" s="114">
        <v>0.0</v>
      </c>
      <c r="R208" s="121">
        <v>-1.0</v>
      </c>
      <c r="S208" s="114" t="s">
        <v>1447</v>
      </c>
      <c r="T208" s="114">
        <v>1.0</v>
      </c>
      <c r="U208" s="114">
        <v>-1.0</v>
      </c>
      <c r="V208" s="114">
        <v>0.0</v>
      </c>
      <c r="W208" s="122"/>
      <c r="X208" s="122"/>
      <c r="Y208" s="122"/>
    </row>
    <row r="209">
      <c r="A209" s="101">
        <v>1.0</v>
      </c>
      <c r="B209" s="96" t="s">
        <v>1448</v>
      </c>
      <c r="C209" s="33">
        <v>206.0</v>
      </c>
      <c r="D209" s="97">
        <v>5.0</v>
      </c>
      <c r="E209" s="98">
        <v>43526.0</v>
      </c>
      <c r="F209" s="35" t="str">
        <f>HYPERLINK("https://tirto.id/masalah-kekerasan-seksual-adalah-problem-kita-semua-dieG ","sumber")</f>
        <v>sumber</v>
      </c>
      <c r="G209" s="35" t="str">
        <f t="shared" si="27"/>
        <v>lokasi</v>
      </c>
      <c r="H209" s="97">
        <v>771.0</v>
      </c>
      <c r="I209" s="99">
        <v>4.0</v>
      </c>
      <c r="J209" s="33">
        <v>4.0</v>
      </c>
      <c r="K209" s="102" t="s">
        <v>1449</v>
      </c>
      <c r="L209" s="33">
        <v>0.0</v>
      </c>
      <c r="M209" s="33">
        <v>0.0</v>
      </c>
      <c r="N209" s="37">
        <v>0.0</v>
      </c>
      <c r="O209" s="33">
        <v>0.0</v>
      </c>
      <c r="P209" s="33">
        <v>0.0</v>
      </c>
      <c r="Q209" s="33" t="s">
        <v>53</v>
      </c>
      <c r="R209" s="33" t="s">
        <v>1450</v>
      </c>
      <c r="S209" s="33"/>
      <c r="T209" s="33">
        <v>0.0</v>
      </c>
      <c r="U209" s="33">
        <v>0.0</v>
      </c>
      <c r="V209" s="33">
        <v>1.0</v>
      </c>
      <c r="W209" s="36"/>
      <c r="X209" s="36"/>
      <c r="Y209" s="36"/>
    </row>
    <row r="210">
      <c r="A210" s="101">
        <v>1.0</v>
      </c>
      <c r="B210" s="96" t="s">
        <v>1451</v>
      </c>
      <c r="C210" s="33">
        <v>207.0</v>
      </c>
      <c r="D210" s="97">
        <v>4.0</v>
      </c>
      <c r="E210" s="98">
        <v>43527.0</v>
      </c>
      <c r="F210" s="35" t="str">
        <f>HYPERLINK("https://www.liputan6.com/global/read/3908127/eks-atlet-renang-inggris-transgender-tak-boleh-ikut-berkompetisi-dengan-perempuan ","sumber")</f>
        <v>sumber</v>
      </c>
      <c r="G210" s="35" t="str">
        <f t="shared" si="27"/>
        <v>lokasi</v>
      </c>
      <c r="H210" s="97">
        <v>565.0</v>
      </c>
      <c r="I210" s="99">
        <v>4.0</v>
      </c>
      <c r="J210" s="33">
        <v>3.0</v>
      </c>
      <c r="K210" s="102" t="s">
        <v>1452</v>
      </c>
      <c r="L210" s="33">
        <v>0.0</v>
      </c>
      <c r="M210" s="33">
        <v>0.0</v>
      </c>
      <c r="N210" s="37">
        <v>0.0</v>
      </c>
      <c r="O210" s="33">
        <v>0.0</v>
      </c>
      <c r="P210" s="33">
        <v>0.0</v>
      </c>
      <c r="Q210" s="33" t="s">
        <v>119</v>
      </c>
      <c r="R210" s="33" t="s">
        <v>173</v>
      </c>
      <c r="S210" s="33"/>
      <c r="T210" s="33">
        <v>0.0</v>
      </c>
      <c r="U210" s="33">
        <v>0.0</v>
      </c>
      <c r="V210" s="33">
        <v>1.0</v>
      </c>
      <c r="W210" s="36"/>
      <c r="X210" s="36"/>
      <c r="Y210" s="36"/>
    </row>
    <row r="211">
      <c r="A211" s="101">
        <v>1.0</v>
      </c>
      <c r="B211" s="96" t="s">
        <v>1453</v>
      </c>
      <c r="C211" s="33">
        <v>208.0</v>
      </c>
      <c r="D211" s="97">
        <v>1.0</v>
      </c>
      <c r="E211" s="98">
        <v>43528.0</v>
      </c>
      <c r="F211" s="35" t="str">
        <f>HYPERLINK("https://news.detik.com/bbc-world/d-4452536/instagram-paling-banyak-dipakai-pedofil-untuk-menggoda-anak-anak ","sumber")</f>
        <v>sumber</v>
      </c>
      <c r="G211" s="35" t="str">
        <f t="shared" si="27"/>
        <v>lokasi</v>
      </c>
      <c r="H211" s="97">
        <v>796.0</v>
      </c>
      <c r="I211" s="99">
        <v>1.0</v>
      </c>
      <c r="J211" s="33">
        <v>4.0</v>
      </c>
      <c r="K211" s="102" t="s">
        <v>1454</v>
      </c>
      <c r="L211" s="33">
        <v>0.0</v>
      </c>
      <c r="M211" s="33">
        <v>1.0</v>
      </c>
      <c r="N211" s="33">
        <v>0.0</v>
      </c>
      <c r="O211" s="33">
        <v>0.0</v>
      </c>
      <c r="P211" s="33">
        <v>0.0</v>
      </c>
      <c r="Q211" s="33" t="s">
        <v>1455</v>
      </c>
      <c r="R211" s="33" t="s">
        <v>1456</v>
      </c>
      <c r="S211" s="33"/>
      <c r="T211" s="33">
        <v>0.0</v>
      </c>
      <c r="U211" s="33">
        <v>0.0</v>
      </c>
      <c r="V211" s="33">
        <v>1.0</v>
      </c>
      <c r="W211" s="36"/>
      <c r="X211" s="36"/>
      <c r="Y211" s="36"/>
    </row>
    <row r="212">
      <c r="A212" s="105">
        <v>2.0</v>
      </c>
      <c r="B212" s="106" t="s">
        <v>1457</v>
      </c>
      <c r="C212" s="40">
        <v>209.0</v>
      </c>
      <c r="D212" s="107">
        <v>8.0</v>
      </c>
      <c r="E212" s="108">
        <v>43535.0</v>
      </c>
      <c r="F212" s="42" t="str">
        <f>HYPERLINK("https://www.suara.com/news/2019/03/11/063500/tkn-yakin-kampanye-kondom-jokowi-maruf-tak-pengaruhi-elektabilitas ","sumber")</f>
        <v>sumber</v>
      </c>
      <c r="G212" s="40" t="s">
        <v>33</v>
      </c>
      <c r="H212" s="107">
        <v>273.0</v>
      </c>
      <c r="I212" s="109"/>
      <c r="J212" s="40">
        <v>3.0</v>
      </c>
      <c r="K212" s="110"/>
      <c r="L212" s="41"/>
      <c r="M212" s="41"/>
      <c r="N212" s="41"/>
      <c r="O212" s="41"/>
      <c r="P212" s="41"/>
      <c r="Q212" s="40"/>
      <c r="R212" s="111"/>
      <c r="S212" s="40"/>
      <c r="T212" s="41"/>
      <c r="U212" s="41"/>
      <c r="V212" s="41"/>
      <c r="W212" s="41"/>
      <c r="X212" s="41"/>
      <c r="Y212" s="41"/>
    </row>
    <row r="213">
      <c r="A213" s="105">
        <v>2.0</v>
      </c>
      <c r="B213" s="106" t="s">
        <v>1458</v>
      </c>
      <c r="C213" s="40">
        <v>210.0</v>
      </c>
      <c r="D213" s="107">
        <v>9.0</v>
      </c>
      <c r="E213" s="108">
        <v>43540.0</v>
      </c>
      <c r="F213" s="42" t="str">
        <f>HYPERLINK("https://nasional.republika.co.id/berita/nasional/umum/pog5rd423/prihatin-kondisi-bangsa-gerakan-nusantara-bertauhid-hadir ","sumber")</f>
        <v>sumber</v>
      </c>
      <c r="G213" s="40" t="s">
        <v>33</v>
      </c>
      <c r="H213" s="107">
        <v>434.0</v>
      </c>
      <c r="I213" s="109"/>
      <c r="J213" s="40">
        <v>3.0</v>
      </c>
      <c r="K213" s="110"/>
      <c r="L213" s="41"/>
      <c r="M213" s="41"/>
      <c r="N213" s="41"/>
      <c r="O213" s="41"/>
      <c r="P213" s="41"/>
      <c r="Q213" s="40"/>
      <c r="R213" s="111"/>
      <c r="S213" s="40"/>
      <c r="T213" s="41"/>
      <c r="U213" s="41"/>
      <c r="V213" s="41"/>
      <c r="W213" s="41"/>
      <c r="X213" s="41"/>
      <c r="Y213" s="41"/>
    </row>
    <row r="214">
      <c r="A214" s="101">
        <v>1.0</v>
      </c>
      <c r="B214" s="96" t="s">
        <v>1459</v>
      </c>
      <c r="C214" s="33">
        <v>211.0</v>
      </c>
      <c r="D214" s="97">
        <v>10.0</v>
      </c>
      <c r="E214" s="98">
        <v>43541.0</v>
      </c>
      <c r="F214" s="35" t="str">
        <f>HYPERLINK("https://pilpres.tempo.co/read/1186197/tiga-isu-ini-diharapkan-dibahas-dalam-debat-cawapres-nanti-malam ","sumber")</f>
        <v>sumber</v>
      </c>
      <c r="G214" s="35" t="str">
        <f t="shared" ref="G214:G242" si="28">HYPERLINK("https://drive.google.com/open?id=15K5sriRJOw0JTPqD9yRZzl0fwZcfdV8X","lokasi")</f>
        <v>lokasi</v>
      </c>
      <c r="H214" s="97">
        <v>346.0</v>
      </c>
      <c r="I214" s="99">
        <v>4.0</v>
      </c>
      <c r="J214" s="33">
        <v>3.0</v>
      </c>
      <c r="K214" s="102" t="s">
        <v>1460</v>
      </c>
      <c r="L214" s="33">
        <v>0.0</v>
      </c>
      <c r="M214" s="33">
        <v>0.0</v>
      </c>
      <c r="N214" s="37">
        <v>0.0</v>
      </c>
      <c r="O214" s="33">
        <v>0.0</v>
      </c>
      <c r="P214" s="33">
        <v>0.0</v>
      </c>
      <c r="Q214" s="33">
        <v>0.0</v>
      </c>
      <c r="R214" s="33">
        <v>0.0</v>
      </c>
      <c r="S214" s="33"/>
      <c r="T214" s="33">
        <v>0.0</v>
      </c>
      <c r="U214" s="33">
        <v>0.0</v>
      </c>
      <c r="V214" s="33">
        <v>1.0</v>
      </c>
      <c r="W214" s="36"/>
      <c r="X214" s="36"/>
      <c r="Y214" s="36"/>
    </row>
    <row r="215">
      <c r="A215" s="101">
        <v>1.0</v>
      </c>
      <c r="B215" s="96" t="s">
        <v>1461</v>
      </c>
      <c r="C215" s="33">
        <v>212.0</v>
      </c>
      <c r="D215" s="97">
        <v>4.0</v>
      </c>
      <c r="E215" s="98">
        <v>43542.0</v>
      </c>
      <c r="F215" s="35" t="str">
        <f>HYPERLINK("https://www.liputan6.com/showbiz/read/3919359/lucinta-luna-akui-punya-ilmu-rahasia-untuk-gaet-aktor-tampan ","sumber")</f>
        <v>sumber</v>
      </c>
      <c r="G215" s="35" t="str">
        <f t="shared" si="28"/>
        <v>lokasi</v>
      </c>
      <c r="H215" s="97">
        <v>308.0</v>
      </c>
      <c r="I215" s="99">
        <v>2.0</v>
      </c>
      <c r="J215" s="33">
        <v>3.0</v>
      </c>
      <c r="K215" s="102" t="s">
        <v>1462</v>
      </c>
      <c r="L215" s="33">
        <v>0.0</v>
      </c>
      <c r="M215" s="33">
        <v>0.0</v>
      </c>
      <c r="N215" s="37">
        <v>0.0</v>
      </c>
      <c r="O215" s="33">
        <v>0.0</v>
      </c>
      <c r="P215" s="33">
        <v>0.0</v>
      </c>
      <c r="Q215" s="33">
        <v>0.0</v>
      </c>
      <c r="R215" s="33">
        <v>0.0</v>
      </c>
      <c r="S215" s="33"/>
      <c r="T215" s="33">
        <v>0.0</v>
      </c>
      <c r="U215" s="33">
        <v>-1.0</v>
      </c>
      <c r="V215" s="33">
        <v>0.0</v>
      </c>
      <c r="W215" s="36"/>
      <c r="X215" s="36"/>
      <c r="Y215" s="36"/>
    </row>
    <row r="216">
      <c r="A216" s="101">
        <v>1.0</v>
      </c>
      <c r="B216" s="96" t="s">
        <v>1463</v>
      </c>
      <c r="C216" s="33">
        <v>213.0</v>
      </c>
      <c r="D216" s="97">
        <v>8.0</v>
      </c>
      <c r="E216" s="98">
        <v>43545.0</v>
      </c>
      <c r="F216" s="35" t="str">
        <f>HYPERLINK("https://www.suara.com/entertainment/2019/03/21/205303/lucinta-luna-blak-blakan-soal-malam-pertama ","sumber")</f>
        <v>sumber</v>
      </c>
      <c r="G216" s="35" t="str">
        <f t="shared" si="28"/>
        <v>lokasi</v>
      </c>
      <c r="H216" s="97">
        <v>215.0</v>
      </c>
      <c r="I216" s="99">
        <v>2.0</v>
      </c>
      <c r="J216" s="33">
        <v>3.0</v>
      </c>
      <c r="K216" s="102" t="s">
        <v>1462</v>
      </c>
      <c r="L216" s="33">
        <v>0.0</v>
      </c>
      <c r="M216" s="33">
        <v>0.0</v>
      </c>
      <c r="N216" s="37">
        <v>0.0</v>
      </c>
      <c r="O216" s="33">
        <v>0.0</v>
      </c>
      <c r="P216" s="33">
        <v>-1.0</v>
      </c>
      <c r="Q216" s="33">
        <v>0.0</v>
      </c>
      <c r="R216" s="33">
        <v>-1.0</v>
      </c>
      <c r="S216" s="33"/>
      <c r="T216" s="33">
        <v>0.0</v>
      </c>
      <c r="U216" s="33">
        <v>-1.0</v>
      </c>
      <c r="V216" s="33">
        <v>0.0</v>
      </c>
      <c r="W216" s="36"/>
      <c r="X216" s="36"/>
      <c r="Y216" s="36"/>
    </row>
    <row r="217">
      <c r="A217" s="101">
        <v>1.0</v>
      </c>
      <c r="B217" s="96" t="s">
        <v>1464</v>
      </c>
      <c r="C217" s="33">
        <v>214.0</v>
      </c>
      <c r="D217" s="97">
        <v>5.0</v>
      </c>
      <c r="E217" s="98">
        <v>43545.0</v>
      </c>
      <c r="F217" s="35" t="str">
        <f>HYPERLINK("https://tirto.id/ketika-situs-persma-suara-usu-disuspensi-karena-cerpen-lgbt-djXM ","sumber")</f>
        <v>sumber</v>
      </c>
      <c r="G217" s="35" t="str">
        <f t="shared" si="28"/>
        <v>lokasi</v>
      </c>
      <c r="H217" s="97">
        <v>399.0</v>
      </c>
      <c r="I217" s="99">
        <v>1.0</v>
      </c>
      <c r="J217" s="33">
        <v>3.0</v>
      </c>
      <c r="K217" s="102" t="s">
        <v>1465</v>
      </c>
      <c r="L217" s="33">
        <v>0.0</v>
      </c>
      <c r="M217" s="33">
        <v>1.0</v>
      </c>
      <c r="N217" s="37">
        <v>0.0</v>
      </c>
      <c r="O217" s="33">
        <v>0.0</v>
      </c>
      <c r="P217" s="33">
        <v>0.0</v>
      </c>
      <c r="Q217" s="33">
        <v>0.0</v>
      </c>
      <c r="R217" s="33">
        <v>1.0</v>
      </c>
      <c r="S217" s="33"/>
      <c r="T217" s="33">
        <v>0.0</v>
      </c>
      <c r="U217" s="33">
        <v>0.0</v>
      </c>
      <c r="V217" s="33">
        <v>1.0</v>
      </c>
      <c r="W217" s="36"/>
      <c r="X217" s="36"/>
      <c r="Y217" s="36"/>
    </row>
    <row r="218">
      <c r="A218" s="101">
        <v>1.0</v>
      </c>
      <c r="B218" s="96" t="s">
        <v>1466</v>
      </c>
      <c r="C218" s="33">
        <v>215.0</v>
      </c>
      <c r="D218" s="97">
        <v>10.0</v>
      </c>
      <c r="E218" s="98">
        <v>43547.0</v>
      </c>
      <c r="F218" s="35" t="str">
        <f>HYPERLINK("https://nasional.tempo.co/read/1188334/ceramah-di-masjid-kivlan-zen-sebut-ada-capres-didukung-lgbt ","sumber")</f>
        <v>sumber</v>
      </c>
      <c r="G218" s="35" t="str">
        <f t="shared" si="28"/>
        <v>lokasi</v>
      </c>
      <c r="H218" s="97">
        <v>450.0</v>
      </c>
      <c r="I218" s="99">
        <v>2.0</v>
      </c>
      <c r="J218" s="33">
        <v>3.0</v>
      </c>
      <c r="K218" s="102" t="s">
        <v>1467</v>
      </c>
      <c r="L218" s="33">
        <v>0.0</v>
      </c>
      <c r="M218" s="33">
        <v>0.0</v>
      </c>
      <c r="N218" s="37">
        <v>0.0</v>
      </c>
      <c r="O218" s="33">
        <v>0.0</v>
      </c>
      <c r="P218" s="33">
        <v>0.0</v>
      </c>
      <c r="Q218" s="33" t="s">
        <v>61</v>
      </c>
      <c r="R218" s="33" t="s">
        <v>62</v>
      </c>
      <c r="S218" s="33"/>
      <c r="T218" s="33">
        <v>0.0</v>
      </c>
      <c r="U218" s="33">
        <v>0.0</v>
      </c>
      <c r="V218" s="33">
        <v>1.0</v>
      </c>
      <c r="W218" s="36"/>
      <c r="X218" s="36"/>
      <c r="Y218" s="36"/>
    </row>
    <row r="219">
      <c r="A219" s="101">
        <v>1.0</v>
      </c>
      <c r="B219" s="96" t="s">
        <v>1468</v>
      </c>
      <c r="C219" s="33">
        <v>216.0</v>
      </c>
      <c r="D219" s="97">
        <v>9.0</v>
      </c>
      <c r="E219" s="98">
        <v>43550.0</v>
      </c>
      <c r="F219" s="35" t="str">
        <f>HYPERLINK("https://internasional.republika.co.id/berita/internasional/abc-australia-network/poycza/brunei-akan-terapkan-hukum-syariah-bagi-lgbt ","sumber")</f>
        <v>sumber</v>
      </c>
      <c r="G219" s="35" t="str">
        <f t="shared" si="28"/>
        <v>lokasi</v>
      </c>
      <c r="H219" s="97">
        <v>256.0</v>
      </c>
      <c r="I219" s="99">
        <v>4.0</v>
      </c>
      <c r="J219" s="33">
        <v>3.0</v>
      </c>
      <c r="K219" s="102" t="s">
        <v>1469</v>
      </c>
      <c r="L219" s="33">
        <v>0.0</v>
      </c>
      <c r="M219" s="33">
        <v>0.0</v>
      </c>
      <c r="N219" s="37">
        <v>0.0</v>
      </c>
      <c r="O219" s="33">
        <v>0.0</v>
      </c>
      <c r="P219" s="33">
        <v>0.0</v>
      </c>
      <c r="Q219" s="33" t="s">
        <v>119</v>
      </c>
      <c r="R219" s="33" t="s">
        <v>192</v>
      </c>
      <c r="S219" s="33"/>
      <c r="T219" s="33">
        <v>0.0</v>
      </c>
      <c r="U219" s="33">
        <v>0.0</v>
      </c>
      <c r="V219" s="33">
        <v>1.0</v>
      </c>
      <c r="W219" s="36"/>
      <c r="X219" s="36"/>
      <c r="Y219" s="36"/>
    </row>
    <row r="220">
      <c r="A220" s="112">
        <v>1.0</v>
      </c>
      <c r="B220" s="125" t="s">
        <v>1470</v>
      </c>
      <c r="C220" s="114">
        <v>217.0</v>
      </c>
      <c r="D220" s="115">
        <v>5.0</v>
      </c>
      <c r="E220" s="116">
        <v>43537.0</v>
      </c>
      <c r="F220" s="117" t="str">
        <f>HYPERLINK("https://tirto.id/coming-out-itu-tak-mudah-ketika-anak-lgbt-terbuka-kepada-keluarga-djhl ","sumber")</f>
        <v>sumber</v>
      </c>
      <c r="G220" s="117" t="str">
        <f t="shared" si="28"/>
        <v>lokasi</v>
      </c>
      <c r="H220" s="115">
        <v>1562.0</v>
      </c>
      <c r="I220" s="118">
        <v>2.0</v>
      </c>
      <c r="J220" s="114">
        <v>3.0</v>
      </c>
      <c r="K220" s="119" t="s">
        <v>1471</v>
      </c>
      <c r="L220" s="114">
        <v>0.0</v>
      </c>
      <c r="M220" s="114">
        <v>0.0</v>
      </c>
      <c r="N220" s="120">
        <v>0.0</v>
      </c>
      <c r="O220" s="114">
        <v>0.0</v>
      </c>
      <c r="P220" s="114">
        <v>0.0</v>
      </c>
      <c r="Q220" s="114" t="s">
        <v>1472</v>
      </c>
      <c r="R220" s="121" t="s">
        <v>1473</v>
      </c>
      <c r="S220" s="114"/>
      <c r="T220" s="114">
        <v>0.0</v>
      </c>
      <c r="U220" s="114">
        <v>0.0</v>
      </c>
      <c r="V220" s="114">
        <v>1.0</v>
      </c>
      <c r="W220" s="122"/>
      <c r="X220" s="122"/>
      <c r="Y220" s="122"/>
    </row>
    <row r="221">
      <c r="A221" s="101">
        <v>1.0</v>
      </c>
      <c r="B221" s="96" t="s">
        <v>1474</v>
      </c>
      <c r="C221" s="33">
        <v>218.0</v>
      </c>
      <c r="D221" s="97">
        <v>6.0</v>
      </c>
      <c r="E221" s="98">
        <v>43558.0</v>
      </c>
      <c r="F221" s="35" t="str">
        <f>HYPERLINK("https://internasional.kompas.com/read/2019/04/03/10373861/muda-dan-gay-mengapa-pete-buttigieg-disebut-potensial-pimpin-as ","sumber")</f>
        <v>sumber</v>
      </c>
      <c r="G221" s="35" t="str">
        <f t="shared" si="28"/>
        <v>lokasi</v>
      </c>
      <c r="H221" s="97">
        <v>255.0</v>
      </c>
      <c r="I221" s="99">
        <v>2.0</v>
      </c>
      <c r="J221" s="33">
        <v>3.0</v>
      </c>
      <c r="K221" s="102" t="s">
        <v>1475</v>
      </c>
      <c r="L221" s="33">
        <v>0.0</v>
      </c>
      <c r="M221" s="33">
        <v>0.0</v>
      </c>
      <c r="N221" s="37">
        <v>0.0</v>
      </c>
      <c r="O221" s="33">
        <v>0.0</v>
      </c>
      <c r="P221" s="33">
        <v>0.0</v>
      </c>
      <c r="Q221" s="33">
        <v>0.0</v>
      </c>
      <c r="R221" s="33">
        <v>1.0</v>
      </c>
      <c r="S221" s="33"/>
      <c r="T221" s="33">
        <v>0.0</v>
      </c>
      <c r="U221" s="33">
        <v>-1.0</v>
      </c>
      <c r="V221" s="33">
        <v>1.0</v>
      </c>
      <c r="W221" s="36"/>
      <c r="X221" s="36"/>
      <c r="Y221" s="36"/>
    </row>
    <row r="222">
      <c r="A222" s="112">
        <v>1.0</v>
      </c>
      <c r="B222" s="125" t="s">
        <v>1476</v>
      </c>
      <c r="C222" s="114">
        <v>219.0</v>
      </c>
      <c r="D222" s="115">
        <v>1.0</v>
      </c>
      <c r="E222" s="116">
        <v>43559.0</v>
      </c>
      <c r="F222" s="117" t="str">
        <f>HYPERLINK("https://news.detik.com/berita/d-4496637/brunei-hukum-mati-lgbt-bagaimana-dengan-aceh ","sumber")</f>
        <v>sumber</v>
      </c>
      <c r="G222" s="117" t="str">
        <f t="shared" si="28"/>
        <v>lokasi</v>
      </c>
      <c r="H222" s="115">
        <v>396.0</v>
      </c>
      <c r="I222" s="118">
        <v>4.0</v>
      </c>
      <c r="J222" s="114">
        <v>3.0</v>
      </c>
      <c r="K222" s="119" t="s">
        <v>1477</v>
      </c>
      <c r="L222" s="114">
        <v>0.0</v>
      </c>
      <c r="M222" s="114">
        <v>0.0</v>
      </c>
      <c r="N222" s="120">
        <v>0.0</v>
      </c>
      <c r="O222" s="114">
        <v>0.0</v>
      </c>
      <c r="P222" s="114">
        <v>0.0</v>
      </c>
      <c r="Q222" s="114">
        <v>0.0</v>
      </c>
      <c r="R222" s="121">
        <v>-1.0</v>
      </c>
      <c r="S222" s="114"/>
      <c r="T222" s="114">
        <v>0.0</v>
      </c>
      <c r="U222" s="114">
        <v>0.0</v>
      </c>
      <c r="V222" s="114">
        <v>1.0</v>
      </c>
      <c r="W222" s="122"/>
      <c r="X222" s="122"/>
      <c r="Y222" s="122"/>
    </row>
    <row r="223">
      <c r="A223" s="112">
        <v>1.0</v>
      </c>
      <c r="B223" s="125" t="s">
        <v>1478</v>
      </c>
      <c r="C223" s="114">
        <v>220.0</v>
      </c>
      <c r="D223" s="115">
        <v>6.0</v>
      </c>
      <c r="E223" s="116">
        <v>43559.0</v>
      </c>
      <c r="F223" s="117" t="str">
        <f>HYPERLINK("https://internasional.kompas.com/read/2019/04/04/12461451/virgin-australia-batalkan-perjanjian-dengan-maskapai-brunei ","sumber")</f>
        <v>sumber</v>
      </c>
      <c r="G223" s="117" t="str">
        <f t="shared" si="28"/>
        <v>lokasi</v>
      </c>
      <c r="H223" s="115">
        <v>316.0</v>
      </c>
      <c r="I223" s="118">
        <v>2.0</v>
      </c>
      <c r="J223" s="114">
        <v>3.0</v>
      </c>
      <c r="K223" s="119"/>
      <c r="L223" s="114">
        <v>0.0</v>
      </c>
      <c r="M223" s="114">
        <v>0.0</v>
      </c>
      <c r="N223" s="120">
        <v>0.0</v>
      </c>
      <c r="O223" s="114">
        <v>0.0</v>
      </c>
      <c r="P223" s="114">
        <v>0.0</v>
      </c>
      <c r="Q223" s="114"/>
      <c r="R223" s="121"/>
      <c r="S223" s="114"/>
      <c r="T223" s="114">
        <v>0.0</v>
      </c>
      <c r="U223" s="114">
        <v>-1.0</v>
      </c>
      <c r="V223" s="114">
        <v>1.0</v>
      </c>
      <c r="W223" s="122"/>
      <c r="X223" s="122"/>
      <c r="Y223" s="122"/>
    </row>
    <row r="224">
      <c r="A224" s="101">
        <v>1.0</v>
      </c>
      <c r="B224" s="96" t="s">
        <v>1479</v>
      </c>
      <c r="C224" s="33">
        <v>221.0</v>
      </c>
      <c r="D224" s="97">
        <v>10.0</v>
      </c>
      <c r="E224" s="98">
        <v>43559.0</v>
      </c>
      <c r="F224" s="35" t="str">
        <f>HYPERLINK("https://seleb.tempo.co/read/1192133/millendaru-ungkap-identitas-diri-ke-hotman-paris ","sumber")</f>
        <v>sumber</v>
      </c>
      <c r="G224" s="35" t="str">
        <f t="shared" si="28"/>
        <v>lokasi</v>
      </c>
      <c r="H224" s="97">
        <v>236.0</v>
      </c>
      <c r="I224" s="99">
        <v>2.0</v>
      </c>
      <c r="J224" s="33">
        <v>3.0</v>
      </c>
      <c r="K224" s="102" t="s">
        <v>1480</v>
      </c>
      <c r="L224" s="33">
        <v>0.0</v>
      </c>
      <c r="M224" s="33">
        <v>0.0</v>
      </c>
      <c r="N224" s="37">
        <v>0.0</v>
      </c>
      <c r="O224" s="33">
        <v>0.0</v>
      </c>
      <c r="P224" s="33">
        <v>0.0</v>
      </c>
      <c r="Q224" s="33" t="s">
        <v>119</v>
      </c>
      <c r="R224" s="33" t="s">
        <v>214</v>
      </c>
      <c r="S224" s="33"/>
      <c r="T224" s="33">
        <v>0.0</v>
      </c>
      <c r="U224" s="33">
        <v>0.0</v>
      </c>
      <c r="V224" s="33">
        <v>0.0</v>
      </c>
      <c r="W224" s="36"/>
      <c r="X224" s="36"/>
      <c r="Y224" s="36"/>
    </row>
    <row r="225">
      <c r="A225" s="101">
        <v>1.0</v>
      </c>
      <c r="B225" s="96" t="s">
        <v>1481</v>
      </c>
      <c r="C225" s="33">
        <v>222.0</v>
      </c>
      <c r="D225" s="97">
        <v>4.0</v>
      </c>
      <c r="E225" s="98">
        <v>43560.0</v>
      </c>
      <c r="F225" s="35" t="str">
        <f>HYPERLINK("https://www.liputan6.com/global/read/3934837/dikecam-netizen-soal-uu-rajam-sejumlah-medsos-hotel-milik-brunei-non-aktif ","sumber")</f>
        <v>sumber</v>
      </c>
      <c r="G225" s="35" t="str">
        <f t="shared" si="28"/>
        <v>lokasi</v>
      </c>
      <c r="H225" s="97">
        <v>387.0</v>
      </c>
      <c r="I225" s="99">
        <v>4.0</v>
      </c>
      <c r="J225" s="33">
        <v>3.0</v>
      </c>
      <c r="K225" s="102" t="s">
        <v>1482</v>
      </c>
      <c r="L225" s="33">
        <v>0.0</v>
      </c>
      <c r="M225" s="33">
        <v>0.0</v>
      </c>
      <c r="N225" s="37">
        <v>0.0</v>
      </c>
      <c r="O225" s="33">
        <v>0.0</v>
      </c>
      <c r="P225" s="33">
        <v>0.0</v>
      </c>
      <c r="Q225" s="33" t="s">
        <v>53</v>
      </c>
      <c r="R225" s="33" t="s">
        <v>1078</v>
      </c>
      <c r="S225" s="33"/>
      <c r="T225" s="33">
        <v>0.0</v>
      </c>
      <c r="U225" s="33">
        <v>0.0</v>
      </c>
      <c r="V225" s="33">
        <v>1.0</v>
      </c>
      <c r="W225" s="36"/>
      <c r="X225" s="36"/>
      <c r="Y225" s="36"/>
    </row>
    <row r="226">
      <c r="A226" s="101">
        <v>1.0</v>
      </c>
      <c r="B226" s="96" t="s">
        <v>1483</v>
      </c>
      <c r="C226" s="33">
        <v>223.0</v>
      </c>
      <c r="D226" s="97">
        <v>1.0</v>
      </c>
      <c r="E226" s="98">
        <v>43561.0</v>
      </c>
      <c r="F226" s="35" t="str">
        <f>HYPERLINK("https://news.detik.com/berita/d-4499550/hukuman-mati-lgbt-berimbas-ke-hotel-hotel-brunei ","sumber")</f>
        <v>sumber</v>
      </c>
      <c r="G226" s="35" t="str">
        <f t="shared" si="28"/>
        <v>lokasi</v>
      </c>
      <c r="H226" s="97">
        <v>511.0</v>
      </c>
      <c r="I226" s="99">
        <v>4.0</v>
      </c>
      <c r="J226" s="33">
        <v>3.0</v>
      </c>
      <c r="K226" s="102" t="s">
        <v>1484</v>
      </c>
      <c r="L226" s="33">
        <v>0.0</v>
      </c>
      <c r="M226" s="33">
        <v>0.0</v>
      </c>
      <c r="N226" s="37">
        <v>0.0</v>
      </c>
      <c r="O226" s="33">
        <v>0.0</v>
      </c>
      <c r="P226" s="33">
        <v>0.0</v>
      </c>
      <c r="Q226" s="33" t="s">
        <v>89</v>
      </c>
      <c r="R226" s="33" t="s">
        <v>1485</v>
      </c>
      <c r="S226" s="33"/>
      <c r="T226" s="33">
        <v>0.0</v>
      </c>
      <c r="U226" s="33">
        <v>0.0</v>
      </c>
      <c r="V226" s="33">
        <v>1.0</v>
      </c>
      <c r="W226" s="36"/>
      <c r="X226" s="36"/>
      <c r="Y226" s="36"/>
    </row>
    <row r="227">
      <c r="A227" s="101">
        <v>1.0</v>
      </c>
      <c r="B227" s="96" t="s">
        <v>1486</v>
      </c>
      <c r="C227" s="33">
        <v>224.0</v>
      </c>
      <c r="D227" s="97">
        <v>3.0</v>
      </c>
      <c r="E227" s="98">
        <v>43562.0</v>
      </c>
      <c r="F227" s="35" t="str">
        <f>HYPERLINK("https://news.okezone.com/read/2019/04/07/18/2040151/terapkan-rajam-mati-untuk-lgbt-sultan-brunei-dinilai-tiru-isis ","sumber")</f>
        <v>sumber</v>
      </c>
      <c r="G227" s="35" t="str">
        <f t="shared" si="28"/>
        <v>lokasi</v>
      </c>
      <c r="H227" s="97">
        <v>245.0</v>
      </c>
      <c r="I227" s="99">
        <v>4.0</v>
      </c>
      <c r="J227" s="33">
        <v>3.0</v>
      </c>
      <c r="K227" s="102" t="s">
        <v>1487</v>
      </c>
      <c r="L227" s="33">
        <v>0.0</v>
      </c>
      <c r="M227" s="33">
        <v>0.0</v>
      </c>
      <c r="N227" s="37">
        <v>0.0</v>
      </c>
      <c r="O227" s="33">
        <v>0.0</v>
      </c>
      <c r="P227" s="33">
        <v>0.0</v>
      </c>
      <c r="Q227" s="33">
        <v>2.0</v>
      </c>
      <c r="R227" s="33">
        <v>1.0</v>
      </c>
      <c r="S227" s="33"/>
      <c r="T227" s="33">
        <v>0.0</v>
      </c>
      <c r="U227" s="33">
        <v>0.0</v>
      </c>
      <c r="V227" s="33">
        <v>1.0</v>
      </c>
      <c r="W227" s="36"/>
      <c r="X227" s="36"/>
      <c r="Y227" s="36"/>
    </row>
    <row r="228">
      <c r="A228" s="112">
        <v>1.0</v>
      </c>
      <c r="B228" s="125" t="s">
        <v>1488</v>
      </c>
      <c r="C228" s="114">
        <v>225.0</v>
      </c>
      <c r="D228" s="115">
        <v>6.0</v>
      </c>
      <c r="E228" s="116">
        <v>43571.0</v>
      </c>
      <c r="F228" s="117" t="str">
        <f>HYPERLINK("https://regional.kompas.com/read/2019/04/16/12150071/6-fakta-kasus-mayat-dalam-koper-pelaku-pinjam-koper-milik-ibu-hingga-alasan ","sumber")</f>
        <v>sumber</v>
      </c>
      <c r="G228" s="117" t="str">
        <f t="shared" si="28"/>
        <v>lokasi</v>
      </c>
      <c r="H228" s="115">
        <v>249.0</v>
      </c>
      <c r="I228" s="118">
        <v>1.0</v>
      </c>
      <c r="J228" s="114">
        <v>3.0</v>
      </c>
      <c r="K228" s="119" t="s">
        <v>1489</v>
      </c>
      <c r="L228" s="114">
        <v>0.0</v>
      </c>
      <c r="M228" s="50">
        <v>0.0</v>
      </c>
      <c r="N228" s="120">
        <v>0.0</v>
      </c>
      <c r="O228" s="114">
        <v>0.0</v>
      </c>
      <c r="P228" s="114">
        <v>0.0</v>
      </c>
      <c r="Q228" s="114" t="s">
        <v>53</v>
      </c>
      <c r="R228" s="121" t="s">
        <v>546</v>
      </c>
      <c r="S228" s="114"/>
      <c r="T228" s="114">
        <v>0.0</v>
      </c>
      <c r="U228" s="114">
        <v>-1.0</v>
      </c>
      <c r="V228" s="114">
        <v>1.0</v>
      </c>
      <c r="W228" s="122"/>
      <c r="X228" s="122"/>
      <c r="Y228" s="122"/>
    </row>
    <row r="229">
      <c r="A229" s="112">
        <v>1.0</v>
      </c>
      <c r="B229" s="125" t="s">
        <v>1490</v>
      </c>
      <c r="C229" s="114">
        <v>226.0</v>
      </c>
      <c r="D229" s="115">
        <v>1.0</v>
      </c>
      <c r="E229" s="116">
        <v>43560.0</v>
      </c>
      <c r="F229" s="117" t="str">
        <f>HYPERLINK("https://finance.detik.com/berita-ekonomi-bisnis/d-4498127/bank-jerman-setop-sewa-hotel-milik-sultan-brunei-buntut-anti-lgbt ","sumber")</f>
        <v>sumber</v>
      </c>
      <c r="G229" s="117" t="str">
        <f t="shared" si="28"/>
        <v>lokasi</v>
      </c>
      <c r="H229" s="115">
        <v>399.0</v>
      </c>
      <c r="I229" s="118">
        <v>4.0</v>
      </c>
      <c r="J229" s="114">
        <v>3.0</v>
      </c>
      <c r="K229" s="119" t="s">
        <v>1491</v>
      </c>
      <c r="L229" s="114">
        <v>0.0</v>
      </c>
      <c r="M229" s="114">
        <v>0.0</v>
      </c>
      <c r="N229" s="120">
        <v>0.0</v>
      </c>
      <c r="O229" s="114">
        <v>0.0</v>
      </c>
      <c r="P229" s="114">
        <v>0.0</v>
      </c>
      <c r="Q229" s="114" t="s">
        <v>61</v>
      </c>
      <c r="R229" s="121" t="s">
        <v>192</v>
      </c>
      <c r="S229" s="114"/>
      <c r="T229" s="114">
        <v>0.0</v>
      </c>
      <c r="U229" s="114">
        <v>0.0</v>
      </c>
      <c r="V229" s="114">
        <v>1.0</v>
      </c>
      <c r="W229" s="122"/>
      <c r="X229" s="122"/>
      <c r="Y229" s="122"/>
    </row>
    <row r="230">
      <c r="A230" s="101">
        <v>1.0</v>
      </c>
      <c r="B230" s="96" t="s">
        <v>1492</v>
      </c>
      <c r="C230" s="33">
        <v>227.0</v>
      </c>
      <c r="D230" s="97">
        <v>4.0</v>
      </c>
      <c r="E230" s="98">
        <v>43568.0</v>
      </c>
      <c r="F230" s="35" t="str">
        <f>HYPERLINK("https://www.liputan6.com/pileg/read/3940546/bawaslu-ajak-emak-emak-dan-komunitas-waria-di-kediri-tolak-money-politik ","sumber")</f>
        <v>sumber</v>
      </c>
      <c r="G230" s="35" t="str">
        <f t="shared" si="28"/>
        <v>lokasi</v>
      </c>
      <c r="H230" s="97">
        <v>348.0</v>
      </c>
      <c r="I230" s="99">
        <v>2.0</v>
      </c>
      <c r="J230" s="33">
        <v>3.0</v>
      </c>
      <c r="K230" s="102" t="s">
        <v>1493</v>
      </c>
      <c r="L230" s="33">
        <v>0.0</v>
      </c>
      <c r="M230" s="33">
        <v>0.0</v>
      </c>
      <c r="N230" s="37">
        <v>0.0</v>
      </c>
      <c r="O230" s="33">
        <v>0.0</v>
      </c>
      <c r="P230" s="33">
        <v>0.0</v>
      </c>
      <c r="Q230" s="33" t="s">
        <v>61</v>
      </c>
      <c r="R230" s="33" t="s">
        <v>685</v>
      </c>
      <c r="S230" s="33"/>
      <c r="T230" s="33">
        <v>0.0</v>
      </c>
      <c r="U230" s="33">
        <v>-1.0</v>
      </c>
      <c r="V230" s="33">
        <v>1.0</v>
      </c>
      <c r="W230" s="36"/>
      <c r="X230" s="36"/>
      <c r="Y230" s="36"/>
    </row>
    <row r="231">
      <c r="A231" s="112">
        <v>1.0</v>
      </c>
      <c r="B231" s="125" t="s">
        <v>1494</v>
      </c>
      <c r="C231" s="114">
        <v>228.0</v>
      </c>
      <c r="D231" s="115">
        <v>5.0</v>
      </c>
      <c r="E231" s="126" t="s">
        <v>1495</v>
      </c>
      <c r="F231" s="117" t="str">
        <f>HYPERLINK("https://tirto.id/kucumbu-tubuh-indahku-kisah-tentang-manusia-yang-kalah-dnee ","sumber")</f>
        <v>sumber</v>
      </c>
      <c r="G231" s="117" t="str">
        <f t="shared" si="28"/>
        <v>lokasi</v>
      </c>
      <c r="H231" s="127">
        <v>1084.0</v>
      </c>
      <c r="I231" s="118">
        <v>2.0</v>
      </c>
      <c r="J231" s="114">
        <v>3.0</v>
      </c>
      <c r="K231" s="119" t="s">
        <v>1496</v>
      </c>
      <c r="L231" s="114">
        <v>0.0</v>
      </c>
      <c r="M231" s="114">
        <v>0.0</v>
      </c>
      <c r="N231" s="120">
        <v>0.0</v>
      </c>
      <c r="O231" s="114">
        <v>0.0</v>
      </c>
      <c r="P231" s="114">
        <v>0.0</v>
      </c>
      <c r="Q231" s="114">
        <v>0.0</v>
      </c>
      <c r="R231" s="121">
        <v>-1.0</v>
      </c>
      <c r="S231" s="114"/>
      <c r="T231" s="114">
        <v>0.0</v>
      </c>
      <c r="U231" s="114">
        <v>0.0</v>
      </c>
      <c r="V231" s="114">
        <v>1.0</v>
      </c>
      <c r="W231" s="122"/>
      <c r="X231" s="122"/>
      <c r="Y231" s="122"/>
    </row>
    <row r="232">
      <c r="A232" s="112">
        <v>1.0</v>
      </c>
      <c r="B232" s="125" t="s">
        <v>1497</v>
      </c>
      <c r="C232" s="114">
        <v>229.0</v>
      </c>
      <c r="D232" s="115">
        <v>9.0</v>
      </c>
      <c r="E232" s="126" t="s">
        <v>1498</v>
      </c>
      <c r="F232" s="117" t="str">
        <f>HYPERLINK("https://republika.co.id/berita/retizen/surat-pembaca/pqq5s7349/seks-bebas-dan-menyimpang-perlu-solusi-tuntas ","sumber")</f>
        <v>sumber</v>
      </c>
      <c r="G232" s="117" t="str">
        <f t="shared" si="28"/>
        <v>lokasi</v>
      </c>
      <c r="H232" s="127">
        <v>493.0</v>
      </c>
      <c r="I232" s="118">
        <v>2.0</v>
      </c>
      <c r="J232" s="114">
        <v>3.0</v>
      </c>
      <c r="K232" s="119"/>
      <c r="L232" s="114">
        <v>0.0</v>
      </c>
      <c r="M232" s="114">
        <v>0.0</v>
      </c>
      <c r="N232" s="120">
        <v>0.0</v>
      </c>
      <c r="O232" s="114">
        <v>0.0</v>
      </c>
      <c r="P232" s="114">
        <v>0.0</v>
      </c>
      <c r="Q232" s="114"/>
      <c r="R232" s="121"/>
      <c r="S232" s="114"/>
      <c r="T232" s="114">
        <v>0.0</v>
      </c>
      <c r="U232" s="114">
        <v>0.0</v>
      </c>
      <c r="V232" s="114">
        <v>1.0</v>
      </c>
      <c r="W232" s="122"/>
      <c r="X232" s="122"/>
      <c r="Y232" s="122"/>
    </row>
    <row r="233">
      <c r="A233" s="101">
        <v>1.0</v>
      </c>
      <c r="B233" s="96" t="s">
        <v>1499</v>
      </c>
      <c r="C233" s="33">
        <v>230.0</v>
      </c>
      <c r="D233" s="97">
        <v>3.0</v>
      </c>
      <c r="E233" s="98">
        <v>43571.0</v>
      </c>
      <c r="F233" s="35" t="str">
        <f>HYPERLINK("https://celebrity.okezone.com/read/2019/04/16/33/2044034/hot-gosip-lucinta-luna-ngaku-datang-bulan-hingga-foto-bayi-wulan-guritno ","sumber")</f>
        <v>sumber</v>
      </c>
      <c r="G233" s="35" t="str">
        <f t="shared" si="28"/>
        <v>lokasi</v>
      </c>
      <c r="H233" s="97">
        <v>612.0</v>
      </c>
      <c r="I233" s="99">
        <v>2.0</v>
      </c>
      <c r="J233" s="33">
        <v>3.0</v>
      </c>
      <c r="K233" s="102" t="s">
        <v>1500</v>
      </c>
      <c r="L233" s="33">
        <v>0.0</v>
      </c>
      <c r="M233" s="33">
        <v>0.0</v>
      </c>
      <c r="N233" s="37">
        <v>0.0</v>
      </c>
      <c r="O233" s="33">
        <v>0.0</v>
      </c>
      <c r="P233" s="33">
        <v>-1.0</v>
      </c>
      <c r="Q233" s="33" t="s">
        <v>61</v>
      </c>
      <c r="R233" s="33" t="s">
        <v>62</v>
      </c>
      <c r="S233" s="33"/>
      <c r="T233" s="33">
        <v>0.0</v>
      </c>
      <c r="U233" s="33">
        <v>-1.0</v>
      </c>
      <c r="V233" s="33">
        <v>0.0</v>
      </c>
      <c r="W233" s="36"/>
      <c r="X233" s="36"/>
      <c r="Y233" s="36"/>
    </row>
    <row r="234">
      <c r="A234" s="112">
        <v>1.0</v>
      </c>
      <c r="B234" s="125" t="s">
        <v>1501</v>
      </c>
      <c r="C234" s="114">
        <v>231.0</v>
      </c>
      <c r="D234" s="115">
        <v>7.0</v>
      </c>
      <c r="E234" s="116">
        <v>43559.0</v>
      </c>
      <c r="F234" s="117" t="str">
        <f>HYPERLINK("http://www.tribunnews.com/regional/2019/04/04/5-teman-guru-honorer-korban-mutilasi-dimintai-keterangan-polisi-sebut-saksi-gemulai ","sumber")</f>
        <v>sumber</v>
      </c>
      <c r="G234" s="117" t="str">
        <f t="shared" si="28"/>
        <v>lokasi</v>
      </c>
      <c r="H234" s="115">
        <v>186.0</v>
      </c>
      <c r="I234" s="118">
        <v>1.0</v>
      </c>
      <c r="J234" s="114">
        <v>3.0</v>
      </c>
      <c r="K234" s="119" t="s">
        <v>1502</v>
      </c>
      <c r="L234" s="114">
        <v>0.0</v>
      </c>
      <c r="M234" s="114">
        <v>-1.0</v>
      </c>
      <c r="N234" s="120">
        <v>0.0</v>
      </c>
      <c r="O234" s="114">
        <v>0.0</v>
      </c>
      <c r="P234" s="114">
        <v>-1.0</v>
      </c>
      <c r="Q234" s="114">
        <v>-1.0</v>
      </c>
      <c r="R234" s="121">
        <v>0.0</v>
      </c>
      <c r="S234" s="114"/>
      <c r="T234" s="114">
        <v>0.0</v>
      </c>
      <c r="U234" s="114">
        <v>-1.0</v>
      </c>
      <c r="V234" s="114">
        <v>0.0</v>
      </c>
      <c r="W234" s="122"/>
      <c r="X234" s="122"/>
      <c r="Y234" s="122"/>
    </row>
    <row r="235">
      <c r="A235" s="101">
        <v>1.0</v>
      </c>
      <c r="B235" s="96" t="s">
        <v>1503</v>
      </c>
      <c r="C235" s="33">
        <v>232.0</v>
      </c>
      <c r="D235" s="97">
        <v>4.0</v>
      </c>
      <c r="E235" s="98">
        <v>43576.0</v>
      </c>
      <c r="F235" s="35" t="str">
        <f>HYPERLINK("https://www.liputan6.com/showbiz/read/3946605/usai-hina-capres-erin-taulany-dibilang-mirip-lucinta-luna ","sumber")</f>
        <v>sumber</v>
      </c>
      <c r="G235" s="35" t="str">
        <f t="shared" si="28"/>
        <v>lokasi</v>
      </c>
      <c r="H235" s="97">
        <v>191.0</v>
      </c>
      <c r="I235" s="99">
        <v>2.0</v>
      </c>
      <c r="J235" s="33">
        <v>3.0</v>
      </c>
      <c r="K235" s="33"/>
      <c r="L235" s="33">
        <v>0.0</v>
      </c>
      <c r="M235" s="33">
        <v>0.0</v>
      </c>
      <c r="N235" s="37">
        <v>0.0</v>
      </c>
      <c r="O235" s="33">
        <v>0.0</v>
      </c>
      <c r="P235" s="33">
        <v>-1.0</v>
      </c>
      <c r="Q235" s="33"/>
      <c r="R235" s="33"/>
      <c r="S235" s="33"/>
      <c r="T235" s="33">
        <v>0.0</v>
      </c>
      <c r="U235" s="33">
        <v>-1.0</v>
      </c>
      <c r="V235" s="33">
        <v>0.0</v>
      </c>
      <c r="W235" s="36"/>
      <c r="X235" s="36"/>
      <c r="Y235" s="36"/>
    </row>
    <row r="236">
      <c r="A236" s="101">
        <v>1.0</v>
      </c>
      <c r="B236" s="96" t="s">
        <v>1504</v>
      </c>
      <c r="C236" s="33">
        <v>233.0</v>
      </c>
      <c r="D236" s="97">
        <v>3.0</v>
      </c>
      <c r="E236" s="98">
        <v>43577.0</v>
      </c>
      <c r="F236" s="35" t="str">
        <f>HYPERLINK("https://celebrity.okezone.com/read/2019/04/22/33/2046403/deddy-corbuzier-unggah-video-minta-maaf-ke-lucinta-luna-netizen-terima-kasih-sudah-menghibur ","sumber")</f>
        <v>sumber</v>
      </c>
      <c r="G236" s="35" t="str">
        <f t="shared" si="28"/>
        <v>lokasi</v>
      </c>
      <c r="H236" s="97">
        <v>433.0</v>
      </c>
      <c r="I236" s="99">
        <v>1.0</v>
      </c>
      <c r="J236" s="33">
        <v>3.0</v>
      </c>
      <c r="K236" s="102" t="s">
        <v>1505</v>
      </c>
      <c r="L236" s="33">
        <v>0.0</v>
      </c>
      <c r="M236" s="50">
        <v>0.0</v>
      </c>
      <c r="N236" s="37">
        <v>0.0</v>
      </c>
      <c r="O236" s="33">
        <v>0.0</v>
      </c>
      <c r="P236" s="33">
        <v>0.0</v>
      </c>
      <c r="Q236" s="33">
        <v>0.0</v>
      </c>
      <c r="R236" s="33">
        <v>0.0</v>
      </c>
      <c r="S236" s="33"/>
      <c r="T236" s="33">
        <v>0.0</v>
      </c>
      <c r="U236" s="33">
        <v>0.0</v>
      </c>
      <c r="V236" s="33">
        <v>0.0</v>
      </c>
      <c r="W236" s="36"/>
      <c r="X236" s="36"/>
      <c r="Y236" s="36"/>
    </row>
    <row r="237">
      <c r="A237" s="112">
        <v>1.0</v>
      </c>
      <c r="B237" s="125" t="s">
        <v>1506</v>
      </c>
      <c r="C237" s="114">
        <v>234.0</v>
      </c>
      <c r="D237" s="115">
        <v>10.0</v>
      </c>
      <c r="E237" s="116">
        <v>43558.0</v>
      </c>
      <c r="F237" s="117" t="str">
        <f>HYPERLINK("https://dunia.tempo.co/read/1192075/brunei-darussalam-mulai-terapkan-hukum-syariah-rajam-dan-cambuk ","sumber")</f>
        <v>sumber</v>
      </c>
      <c r="G237" s="117" t="str">
        <f t="shared" si="28"/>
        <v>lokasi</v>
      </c>
      <c r="H237" s="115">
        <v>514.0</v>
      </c>
      <c r="I237" s="118">
        <v>4.0</v>
      </c>
      <c r="J237" s="114">
        <v>3.0</v>
      </c>
      <c r="K237" s="119" t="s">
        <v>1507</v>
      </c>
      <c r="L237" s="114">
        <v>0.0</v>
      </c>
      <c r="M237" s="114">
        <v>0.0</v>
      </c>
      <c r="N237" s="120">
        <v>0.0</v>
      </c>
      <c r="O237" s="114">
        <v>0.0</v>
      </c>
      <c r="P237" s="114">
        <v>0.0</v>
      </c>
      <c r="Q237" s="114" t="s">
        <v>61</v>
      </c>
      <c r="R237" s="121" t="s">
        <v>173</v>
      </c>
      <c r="S237" s="114"/>
      <c r="T237" s="114">
        <v>0.0</v>
      </c>
      <c r="U237" s="114">
        <v>0.0</v>
      </c>
      <c r="V237" s="114">
        <v>1.0</v>
      </c>
      <c r="W237" s="122"/>
      <c r="X237" s="122"/>
      <c r="Y237" s="122"/>
    </row>
    <row r="238">
      <c r="A238" s="101">
        <v>1.0</v>
      </c>
      <c r="B238" s="96" t="s">
        <v>1508</v>
      </c>
      <c r="C238" s="33">
        <v>235.0</v>
      </c>
      <c r="D238" s="97">
        <v>10.0</v>
      </c>
      <c r="E238" s="98">
        <v>43581.0</v>
      </c>
      <c r="F238" s="35" t="str">
        <f>HYPERLINK("https://seleb.tempo.co/read/1199650/film-kucumbu-tubuh-indahku-kembali-mendapat-penolakan ","sumber")</f>
        <v>sumber</v>
      </c>
      <c r="G238" s="35" t="str">
        <f t="shared" si="28"/>
        <v>lokasi</v>
      </c>
      <c r="H238" s="97">
        <v>351.0</v>
      </c>
      <c r="I238" s="99">
        <v>4.0</v>
      </c>
      <c r="J238" s="33">
        <v>3.0</v>
      </c>
      <c r="K238" s="102" t="s">
        <v>1509</v>
      </c>
      <c r="L238" s="33">
        <v>0.0</v>
      </c>
      <c r="M238" s="33">
        <v>0.0</v>
      </c>
      <c r="N238" s="37">
        <v>0.0</v>
      </c>
      <c r="O238" s="33">
        <v>0.0</v>
      </c>
      <c r="P238" s="33">
        <v>0.0</v>
      </c>
      <c r="Q238" s="33" t="s">
        <v>53</v>
      </c>
      <c r="R238" s="33" t="s">
        <v>738</v>
      </c>
      <c r="S238" s="33"/>
      <c r="T238" s="33">
        <v>0.0</v>
      </c>
      <c r="U238" s="33">
        <v>0.0</v>
      </c>
      <c r="V238" s="33">
        <v>1.0</v>
      </c>
      <c r="W238" s="36"/>
      <c r="X238" s="36"/>
      <c r="Y238" s="36"/>
    </row>
    <row r="239">
      <c r="A239" s="101">
        <v>1.0</v>
      </c>
      <c r="B239" s="96" t="s">
        <v>1510</v>
      </c>
      <c r="C239" s="33">
        <v>236.0</v>
      </c>
      <c r="D239" s="97">
        <v>5.0</v>
      </c>
      <c r="E239" s="98">
        <v>43582.0</v>
      </c>
      <c r="F239" s="35" t="str">
        <f>HYPERLINK("https://tirto.id/alasan-mui-depok-dukung-larangan-putar-film-kucumbu-tubuh-indahku-dnc6 ","sumber")</f>
        <v>sumber</v>
      </c>
      <c r="G239" s="35" t="str">
        <f t="shared" si="28"/>
        <v>lokasi</v>
      </c>
      <c r="H239" s="97">
        <v>332.0</v>
      </c>
      <c r="I239" s="99">
        <v>4.0</v>
      </c>
      <c r="J239" s="33">
        <v>3.0</v>
      </c>
      <c r="K239" s="102" t="s">
        <v>1511</v>
      </c>
      <c r="L239" s="33">
        <v>0.0</v>
      </c>
      <c r="M239" s="33">
        <v>0.0</v>
      </c>
      <c r="N239" s="37">
        <v>0.0</v>
      </c>
      <c r="O239" s="33">
        <v>0.0</v>
      </c>
      <c r="P239" s="33">
        <v>0.0</v>
      </c>
      <c r="Q239" s="33" t="s">
        <v>61</v>
      </c>
      <c r="R239" s="33" t="s">
        <v>685</v>
      </c>
      <c r="S239" s="33"/>
      <c r="T239" s="33">
        <v>0.0</v>
      </c>
      <c r="U239" s="33">
        <v>0.0</v>
      </c>
      <c r="V239" s="33">
        <v>1.0</v>
      </c>
      <c r="W239" s="36"/>
      <c r="X239" s="36"/>
      <c r="Y239" s="36"/>
    </row>
    <row r="240">
      <c r="A240" s="101">
        <v>1.0</v>
      </c>
      <c r="B240" s="96" t="s">
        <v>1512</v>
      </c>
      <c r="C240" s="33">
        <v>237.0</v>
      </c>
      <c r="D240" s="97">
        <v>7.0</v>
      </c>
      <c r="E240" s="98">
        <v>43585.0</v>
      </c>
      <c r="F240" s="35" t="str">
        <f>HYPERLINK("http://www.tribunnews.com/regional/2019/04/30/diduga-ada-tarian-lgbt-massa-bubarkan-peringatan-hari-tari-sedunia-di-taman-digulis-pontianak ","sumber")</f>
        <v>sumber</v>
      </c>
      <c r="G240" s="35" t="str">
        <f t="shared" si="28"/>
        <v>lokasi</v>
      </c>
      <c r="H240" s="97">
        <v>203.0</v>
      </c>
      <c r="I240" s="99">
        <v>1.0</v>
      </c>
      <c r="J240" s="33">
        <v>3.0</v>
      </c>
      <c r="K240" s="102" t="s">
        <v>1513</v>
      </c>
      <c r="L240" s="33">
        <v>0.0</v>
      </c>
      <c r="M240" s="33">
        <v>1.0</v>
      </c>
      <c r="N240" s="37">
        <v>0.0</v>
      </c>
      <c r="O240" s="33">
        <v>0.0</v>
      </c>
      <c r="P240" s="33">
        <v>0.0</v>
      </c>
      <c r="Q240" s="33" t="s">
        <v>61</v>
      </c>
      <c r="R240" s="33" t="s">
        <v>173</v>
      </c>
      <c r="S240" s="33"/>
      <c r="T240" s="33">
        <v>0.0</v>
      </c>
      <c r="U240" s="33">
        <v>-1.0</v>
      </c>
      <c r="V240" s="33">
        <v>1.0</v>
      </c>
      <c r="W240" s="36"/>
      <c r="X240" s="36"/>
      <c r="Y240" s="36"/>
    </row>
    <row r="241">
      <c r="A241" s="101">
        <v>1.0</v>
      </c>
      <c r="B241" s="96" t="s">
        <v>1514</v>
      </c>
      <c r="C241" s="33">
        <v>238.0</v>
      </c>
      <c r="D241" s="97">
        <v>10.0</v>
      </c>
      <c r="E241" s="98">
        <v>43587.0</v>
      </c>
      <c r="F241" s="35" t="str">
        <f>HYPERLINK("https://seleb.tempo.co/read/1201169/hari-tari-sedunia-diwarnai-tindak-kekerasan-di-pontianak ","sumber")</f>
        <v>sumber</v>
      </c>
      <c r="G241" s="35" t="str">
        <f t="shared" si="28"/>
        <v>lokasi</v>
      </c>
      <c r="H241" s="97">
        <v>353.0</v>
      </c>
      <c r="I241" s="99">
        <v>1.0</v>
      </c>
      <c r="J241" s="33">
        <v>3.0</v>
      </c>
      <c r="K241" s="102" t="s">
        <v>1515</v>
      </c>
      <c r="L241" s="33">
        <v>0.0</v>
      </c>
      <c r="M241" s="33">
        <v>-1.0</v>
      </c>
      <c r="N241" s="37">
        <v>0.0</v>
      </c>
      <c r="O241" s="33">
        <v>0.0</v>
      </c>
      <c r="P241" s="33">
        <v>0.0</v>
      </c>
      <c r="Q241" s="33" t="s">
        <v>61</v>
      </c>
      <c r="R241" s="33" t="s">
        <v>100</v>
      </c>
      <c r="S241" s="33"/>
      <c r="T241" s="33">
        <v>0.0</v>
      </c>
      <c r="U241" s="33">
        <v>0.0</v>
      </c>
      <c r="V241" s="33">
        <v>1.0</v>
      </c>
      <c r="W241" s="36"/>
      <c r="X241" s="36"/>
      <c r="Y241" s="36"/>
    </row>
    <row r="242">
      <c r="A242" s="112">
        <v>1.0</v>
      </c>
      <c r="B242" s="125" t="s">
        <v>1516</v>
      </c>
      <c r="C242" s="114">
        <v>239.0</v>
      </c>
      <c r="D242" s="115">
        <v>8.0</v>
      </c>
      <c r="E242" s="116">
        <v>43602.0</v>
      </c>
      <c r="F242" s="117" t="str">
        <f>HYPERLINK("https://jateng.suara.com/read/2019/05/17/153148/dipecat-karena-gay-pengacara-brigadir-tt-polri-diskriminasi-ke-minoritas ","sumber")</f>
        <v>sumber</v>
      </c>
      <c r="G242" s="117" t="str">
        <f t="shared" si="28"/>
        <v>lokasi</v>
      </c>
      <c r="H242" s="115">
        <v>450.0</v>
      </c>
      <c r="I242" s="118">
        <v>1.0</v>
      </c>
      <c r="J242" s="114">
        <v>3.0</v>
      </c>
      <c r="K242" s="119" t="s">
        <v>1517</v>
      </c>
      <c r="L242" s="114">
        <v>0.0</v>
      </c>
      <c r="M242" s="50">
        <v>0.0</v>
      </c>
      <c r="N242" s="120">
        <v>0.0</v>
      </c>
      <c r="O242" s="114">
        <v>0.0</v>
      </c>
      <c r="P242" s="114">
        <v>0.0</v>
      </c>
      <c r="Q242" s="114">
        <v>2.0</v>
      </c>
      <c r="R242" s="121">
        <v>1.0</v>
      </c>
      <c r="S242" s="114"/>
      <c r="T242" s="114">
        <v>0.0</v>
      </c>
      <c r="U242" s="114">
        <v>0.0</v>
      </c>
      <c r="V242" s="114">
        <v>1.0</v>
      </c>
      <c r="W242" s="122"/>
      <c r="X242" s="122"/>
      <c r="Y242" s="122"/>
    </row>
    <row r="243">
      <c r="A243" s="105">
        <v>2.0</v>
      </c>
      <c r="B243" s="106" t="s">
        <v>1518</v>
      </c>
      <c r="C243" s="40">
        <v>240.0</v>
      </c>
      <c r="D243" s="107">
        <v>3.0</v>
      </c>
      <c r="E243" s="108">
        <v>43592.0</v>
      </c>
      <c r="F243" s="42" t="str">
        <f>HYPERLINK("https://economy.okezone.com/read/2019/05/07/320/2052511/kppu-soroti-aturan-main-impor-bawang-putih ","sumber")</f>
        <v>sumber</v>
      </c>
      <c r="G243" s="40" t="s">
        <v>33</v>
      </c>
      <c r="H243" s="107">
        <v>867.0</v>
      </c>
      <c r="I243" s="109"/>
      <c r="J243" s="40">
        <v>3.0</v>
      </c>
      <c r="K243" s="110"/>
      <c r="L243" s="41"/>
      <c r="M243" s="41"/>
      <c r="N243" s="41"/>
      <c r="O243" s="41"/>
      <c r="P243" s="41"/>
      <c r="Q243" s="40"/>
      <c r="R243" s="111"/>
      <c r="S243" s="40"/>
      <c r="T243" s="41"/>
      <c r="U243" s="41"/>
      <c r="V243" s="41"/>
      <c r="W243" s="41"/>
      <c r="X243" s="41"/>
      <c r="Y243" s="41"/>
    </row>
    <row r="244">
      <c r="A244" s="101">
        <v>1.0</v>
      </c>
      <c r="B244" s="96" t="s">
        <v>790</v>
      </c>
      <c r="C244" s="33">
        <v>241.0</v>
      </c>
      <c r="D244" s="97">
        <v>1.0</v>
      </c>
      <c r="E244" s="98">
        <v>43593.0</v>
      </c>
      <c r="F244" s="35" t="str">
        <f>HYPERLINK("https://news.detik.com/berita-jawa-timur/d-4541167/ini-tanggapan-fpi-surabaya-soal-petisi-tolak-perpanjangan-izin-ormas ","sumber")</f>
        <v>sumber</v>
      </c>
      <c r="G244" s="35" t="str">
        <f t="shared" ref="G244:G246" si="29">HYPERLINK("https://drive.google.com/open?id=15K5sriRJOw0JTPqD9yRZzl0fwZcfdV8X","lokasi")</f>
        <v>lokasi</v>
      </c>
      <c r="H244" s="97">
        <v>392.0</v>
      </c>
      <c r="I244" s="99">
        <v>4.0</v>
      </c>
      <c r="J244" s="33">
        <v>3.0</v>
      </c>
      <c r="K244" s="102" t="s">
        <v>1519</v>
      </c>
      <c r="L244" s="33">
        <v>0.0</v>
      </c>
      <c r="M244" s="33">
        <v>0.0</v>
      </c>
      <c r="N244" s="37">
        <v>0.0</v>
      </c>
      <c r="O244" s="33">
        <v>0.0</v>
      </c>
      <c r="P244" s="33">
        <v>0.0</v>
      </c>
      <c r="Q244" s="33">
        <v>0.0</v>
      </c>
      <c r="R244" s="33">
        <v>-1.0</v>
      </c>
      <c r="S244" s="33"/>
      <c r="T244" s="33">
        <v>0.0</v>
      </c>
      <c r="U244" s="33">
        <v>0.0</v>
      </c>
      <c r="V244" s="33">
        <v>1.0</v>
      </c>
      <c r="W244" s="36"/>
      <c r="X244" s="36"/>
      <c r="Y244" s="36"/>
    </row>
    <row r="245">
      <c r="A245" s="112">
        <v>1.0</v>
      </c>
      <c r="B245" s="125" t="s">
        <v>1520</v>
      </c>
      <c r="C245" s="114">
        <v>242.0</v>
      </c>
      <c r="D245" s="115">
        <v>5.0</v>
      </c>
      <c r="E245" s="126" t="s">
        <v>1521</v>
      </c>
      <c r="F245" s="117" t="str">
        <f>HYPERLINK("https://tirto.id/ratusan-pasangan-sesama-jenis-daftarkan-pernikahan-di-taiwan-dZdK ","sumber")</f>
        <v>sumber</v>
      </c>
      <c r="G245" s="117" t="str">
        <f t="shared" si="29"/>
        <v>lokasi</v>
      </c>
      <c r="H245" s="115">
        <v>406.0</v>
      </c>
      <c r="I245" s="118">
        <v>4.0</v>
      </c>
      <c r="J245" s="114">
        <v>3.0</v>
      </c>
      <c r="K245" s="119" t="s">
        <v>1522</v>
      </c>
      <c r="L245" s="114">
        <v>0.0</v>
      </c>
      <c r="M245" s="114">
        <v>0.0</v>
      </c>
      <c r="N245" s="120">
        <v>0.0</v>
      </c>
      <c r="O245" s="114">
        <v>0.0</v>
      </c>
      <c r="P245" s="114">
        <v>0.0</v>
      </c>
      <c r="Q245" s="114" t="s">
        <v>80</v>
      </c>
      <c r="R245" s="121" t="s">
        <v>392</v>
      </c>
      <c r="S245" s="114"/>
      <c r="T245" s="114">
        <v>0.0</v>
      </c>
      <c r="U245" s="114">
        <v>0.0</v>
      </c>
      <c r="V245" s="114">
        <v>1.0</v>
      </c>
      <c r="W245" s="122"/>
      <c r="X245" s="122"/>
      <c r="Y245" s="122"/>
    </row>
    <row r="246">
      <c r="A246" s="112">
        <v>1.0</v>
      </c>
      <c r="B246" s="125" t="s">
        <v>1523</v>
      </c>
      <c r="C246" s="114">
        <v>243.0</v>
      </c>
      <c r="D246" s="115">
        <v>8.0</v>
      </c>
      <c r="E246" s="126" t="s">
        <v>1524</v>
      </c>
      <c r="F246" s="117" t="str">
        <f>HYPERLINK("https://www.suara.com/lifestyle/2019/05/18/220500/sah-akhirnya-taiwan-melegalkan-pernikahan-sesama-jenis ","sumber")</f>
        <v>sumber</v>
      </c>
      <c r="G246" s="117" t="str">
        <f t="shared" si="29"/>
        <v>lokasi</v>
      </c>
      <c r="H246" s="115">
        <v>243.0</v>
      </c>
      <c r="I246" s="118">
        <v>4.0</v>
      </c>
      <c r="J246" s="114">
        <v>3.0</v>
      </c>
      <c r="K246" s="119" t="s">
        <v>1525</v>
      </c>
      <c r="L246" s="114">
        <v>0.0</v>
      </c>
      <c r="M246" s="114">
        <v>0.0</v>
      </c>
      <c r="N246" s="120">
        <v>0.0</v>
      </c>
      <c r="O246" s="114">
        <v>0.0</v>
      </c>
      <c r="P246" s="114">
        <v>0.0</v>
      </c>
      <c r="Q246" s="114">
        <v>1.0</v>
      </c>
      <c r="R246" s="121">
        <v>1.0</v>
      </c>
      <c r="S246" s="114"/>
      <c r="T246" s="114">
        <v>0.0</v>
      </c>
      <c r="U246" s="114">
        <v>0.0</v>
      </c>
      <c r="V246" s="114">
        <v>1.0</v>
      </c>
      <c r="W246" s="122"/>
      <c r="X246" s="122"/>
      <c r="Y246" s="122"/>
    </row>
    <row r="247">
      <c r="A247" s="105">
        <v>2.0</v>
      </c>
      <c r="B247" s="106" t="s">
        <v>1526</v>
      </c>
      <c r="C247" s="40">
        <v>244.0</v>
      </c>
      <c r="D247" s="107">
        <v>10.0</v>
      </c>
      <c r="E247" s="108">
        <v>43597.0</v>
      </c>
      <c r="F247" s="42" t="str">
        <f>HYPERLINK("https://metro.tempo.co/read/1204610/wanita-muda-dibunuh-di-apartemen-habitat-ini-kata-polres-tangsel ","sumber")</f>
        <v>sumber</v>
      </c>
      <c r="G247" s="40" t="s">
        <v>33</v>
      </c>
      <c r="H247" s="107">
        <v>233.0</v>
      </c>
      <c r="I247" s="109"/>
      <c r="J247" s="40">
        <v>3.0</v>
      </c>
      <c r="K247" s="110"/>
      <c r="L247" s="41"/>
      <c r="M247" s="41"/>
      <c r="N247" s="41"/>
      <c r="O247" s="41"/>
      <c r="P247" s="41"/>
      <c r="Q247" s="40"/>
      <c r="R247" s="111"/>
      <c r="S247" s="40"/>
      <c r="T247" s="41"/>
      <c r="U247" s="41"/>
      <c r="V247" s="41"/>
      <c r="W247" s="41"/>
      <c r="X247" s="41"/>
      <c r="Y247" s="41"/>
    </row>
    <row r="248">
      <c r="A248" s="101">
        <v>1.0</v>
      </c>
      <c r="B248" s="96" t="s">
        <v>1527</v>
      </c>
      <c r="C248" s="33">
        <v>245.0</v>
      </c>
      <c r="D248" s="97">
        <v>1.0</v>
      </c>
      <c r="E248" s="98">
        <v>43601.0</v>
      </c>
      <c r="F248" s="35" t="str">
        <f>HYPERLINK("https://health.detik.com/berita-detikhealth/d-4552535/pertama-di-dunia-miss-v-transgender-direkonstruksi-dengan-kulit-ikan-nila ","sumber")</f>
        <v>sumber</v>
      </c>
      <c r="G248" s="35" t="str">
        <f t="shared" ref="G248:G255" si="30">HYPERLINK("https://drive.google.com/open?id=15K5sriRJOw0JTPqD9yRZzl0fwZcfdV8X","lokasi")</f>
        <v>lokasi</v>
      </c>
      <c r="H248" s="97">
        <v>371.0</v>
      </c>
      <c r="I248" s="99">
        <v>2.0</v>
      </c>
      <c r="J248" s="33">
        <v>3.0</v>
      </c>
      <c r="K248" s="102" t="s">
        <v>1528</v>
      </c>
      <c r="L248" s="33">
        <v>0.0</v>
      </c>
      <c r="M248" s="33">
        <v>0.0</v>
      </c>
      <c r="N248" s="37">
        <v>0.0</v>
      </c>
      <c r="O248" s="33">
        <v>0.0</v>
      </c>
      <c r="P248" s="33">
        <v>0.0</v>
      </c>
      <c r="Q248" s="33" t="s">
        <v>210</v>
      </c>
      <c r="R248" s="33" t="s">
        <v>61</v>
      </c>
      <c r="S248" s="33"/>
      <c r="T248" s="33">
        <v>0.0</v>
      </c>
      <c r="U248" s="33">
        <v>0.0</v>
      </c>
      <c r="V248" s="33">
        <v>1.0</v>
      </c>
      <c r="W248" s="36"/>
      <c r="X248" s="36"/>
      <c r="Y248" s="36"/>
    </row>
    <row r="249">
      <c r="A249" s="101">
        <v>1.0</v>
      </c>
      <c r="B249" s="96" t="s">
        <v>1529</v>
      </c>
      <c r="C249" s="33">
        <v>246.0</v>
      </c>
      <c r="D249" s="97">
        <v>9.0</v>
      </c>
      <c r="E249" s="98">
        <v>43602.0</v>
      </c>
      <c r="F249" s="35" t="str">
        <f>HYPERLINK("https://internasional.republika.co.id/berita/internasional/abc-australia-network/prn8xo366/taiwan-negara-asia-pertama-legalkan-pernikahan-sesama-jenis ","sumber")</f>
        <v>sumber</v>
      </c>
      <c r="G249" s="35" t="str">
        <f t="shared" si="30"/>
        <v>lokasi</v>
      </c>
      <c r="H249" s="97">
        <v>116.0</v>
      </c>
      <c r="I249" s="99">
        <v>4.0</v>
      </c>
      <c r="J249" s="33">
        <v>3.0</v>
      </c>
      <c r="K249" s="102" t="s">
        <v>1530</v>
      </c>
      <c r="L249" s="33">
        <v>0.0</v>
      </c>
      <c r="M249" s="33">
        <v>0.0</v>
      </c>
      <c r="N249" s="37">
        <v>0.0</v>
      </c>
      <c r="O249" s="33">
        <v>0.0</v>
      </c>
      <c r="P249" s="33">
        <v>0.0</v>
      </c>
      <c r="Q249" s="33" t="s">
        <v>61</v>
      </c>
      <c r="R249" s="33" t="s">
        <v>780</v>
      </c>
      <c r="S249" s="33"/>
      <c r="T249" s="33">
        <v>0.0</v>
      </c>
      <c r="U249" s="33">
        <v>0.0</v>
      </c>
      <c r="V249" s="33">
        <v>1.0</v>
      </c>
      <c r="W249" s="36"/>
      <c r="X249" s="36"/>
      <c r="Y249" s="36"/>
    </row>
    <row r="250">
      <c r="A250" s="101">
        <v>1.0</v>
      </c>
      <c r="B250" s="96" t="s">
        <v>1531</v>
      </c>
      <c r="C250" s="33">
        <v>247.0</v>
      </c>
      <c r="D250" s="97">
        <v>3.0</v>
      </c>
      <c r="E250" s="98">
        <v>43603.0</v>
      </c>
      <c r="F250" s="35" t="str">
        <f>HYPERLINK("https://news.okezone.com/read/2019/05/18/610/2057371/motif-pembunuhan-siswi-smp-karena-pelaku-kesal-diejek-banci-miskin ","sumber")</f>
        <v>sumber</v>
      </c>
      <c r="G250" s="35" t="str">
        <f t="shared" si="30"/>
        <v>lokasi</v>
      </c>
      <c r="H250" s="97">
        <v>27.0</v>
      </c>
      <c r="I250" s="99">
        <v>1.0</v>
      </c>
      <c r="J250" s="33">
        <v>3.0</v>
      </c>
      <c r="K250" s="102" t="s">
        <v>1532</v>
      </c>
      <c r="L250" s="33">
        <v>0.0</v>
      </c>
      <c r="M250" s="33">
        <v>-1.0</v>
      </c>
      <c r="N250" s="37">
        <v>0.0</v>
      </c>
      <c r="O250" s="33">
        <v>0.0</v>
      </c>
      <c r="P250" s="33">
        <v>0.0</v>
      </c>
      <c r="Q250" s="33">
        <v>0.0</v>
      </c>
      <c r="R250" s="33">
        <v>-1.0</v>
      </c>
      <c r="S250" s="33"/>
      <c r="T250" s="33">
        <v>0.0</v>
      </c>
      <c r="U250" s="33">
        <v>-1.0</v>
      </c>
      <c r="V250" s="33">
        <v>1.0</v>
      </c>
      <c r="W250" s="36"/>
      <c r="X250" s="36"/>
      <c r="Y250" s="36"/>
    </row>
    <row r="251">
      <c r="A251" s="101">
        <v>1.0</v>
      </c>
      <c r="B251" s="96" t="s">
        <v>1533</v>
      </c>
      <c r="C251" s="33">
        <v>248.0</v>
      </c>
      <c r="D251" s="97">
        <v>7.0</v>
      </c>
      <c r="E251" s="98">
        <v>43603.0</v>
      </c>
      <c r="F251" s="35" t="str">
        <f>HYPERLINK("http://www.tribunnews.com/regional/2019/05/18/pelajar-sma-bunuh-wiwik-wulandari-motifnya-dendam-karena-kerap-diejek-banci ","sumber")</f>
        <v>sumber</v>
      </c>
      <c r="G251" s="35" t="str">
        <f t="shared" si="30"/>
        <v>lokasi</v>
      </c>
      <c r="H251" s="97">
        <v>6.0</v>
      </c>
      <c r="I251" s="99">
        <v>1.0</v>
      </c>
      <c r="J251" s="33">
        <v>3.0</v>
      </c>
      <c r="K251" s="102" t="s">
        <v>1534</v>
      </c>
      <c r="L251" s="33">
        <v>0.0</v>
      </c>
      <c r="M251" s="50">
        <v>0.0</v>
      </c>
      <c r="N251" s="33">
        <v>-1.0</v>
      </c>
      <c r="O251" s="33">
        <v>0.0</v>
      </c>
      <c r="P251" s="33">
        <v>0.0</v>
      </c>
      <c r="Q251" s="33" t="s">
        <v>202</v>
      </c>
      <c r="R251" s="33" t="s">
        <v>202</v>
      </c>
      <c r="S251" s="33"/>
      <c r="T251" s="33">
        <v>0.0</v>
      </c>
      <c r="U251" s="33">
        <v>-1.0</v>
      </c>
      <c r="V251" s="33">
        <v>0.0</v>
      </c>
      <c r="W251" s="36"/>
      <c r="X251" s="36"/>
      <c r="Y251" s="36"/>
    </row>
    <row r="252">
      <c r="A252" s="101">
        <v>1.0</v>
      </c>
      <c r="B252" s="96" t="s">
        <v>1535</v>
      </c>
      <c r="C252" s="33">
        <v>249.0</v>
      </c>
      <c r="D252" s="97">
        <v>2.0</v>
      </c>
      <c r="E252" s="98">
        <v>43605.0</v>
      </c>
      <c r="F252" s="35" t="str">
        <f>HYPERLINK("https://www.cnnindonesia.com/internasional/20190520214548-113-396650/taiwan-geram-china-klaim-legalisasi-uu-nikah-sesama-jenis ","sumber")</f>
        <v>sumber</v>
      </c>
      <c r="G252" s="35" t="str">
        <f t="shared" si="30"/>
        <v>lokasi</v>
      </c>
      <c r="H252" s="97">
        <v>372.0</v>
      </c>
      <c r="I252" s="99">
        <v>4.0</v>
      </c>
      <c r="J252" s="33">
        <v>3.0</v>
      </c>
      <c r="K252" s="102" t="s">
        <v>1536</v>
      </c>
      <c r="L252" s="33">
        <v>0.0</v>
      </c>
      <c r="M252" s="33">
        <v>0.0</v>
      </c>
      <c r="N252" s="37">
        <v>0.0</v>
      </c>
      <c r="O252" s="33">
        <v>0.0</v>
      </c>
      <c r="P252" s="33">
        <v>0.0</v>
      </c>
      <c r="Q252" s="33">
        <v>0.0</v>
      </c>
      <c r="R252" s="33">
        <v>1.0</v>
      </c>
      <c r="S252" s="33"/>
      <c r="T252" s="33">
        <v>0.0</v>
      </c>
      <c r="U252" s="33">
        <v>0.0</v>
      </c>
      <c r="V252" s="33">
        <v>1.0</v>
      </c>
      <c r="W252" s="36"/>
      <c r="X252" s="36"/>
      <c r="Y252" s="36"/>
    </row>
    <row r="253">
      <c r="A253" s="101">
        <v>1.0</v>
      </c>
      <c r="B253" s="96" t="s">
        <v>1537</v>
      </c>
      <c r="C253" s="33">
        <v>250.0</v>
      </c>
      <c r="D253" s="97">
        <v>1.0</v>
      </c>
      <c r="E253" s="98">
        <v>43605.0</v>
      </c>
      <c r="F253" s="35" t="str">
        <f>HYPERLINK("https://news.detik.com/berita/d-4557060/pengacara-minta-komnas-ham-jadi-saksi-ahli-di-sidang-gugatan-tt-polisi-gay ","sumber")</f>
        <v>sumber</v>
      </c>
      <c r="G253" s="35" t="str">
        <f t="shared" si="30"/>
        <v>lokasi</v>
      </c>
      <c r="H253" s="97">
        <v>919.0</v>
      </c>
      <c r="I253" s="99">
        <v>1.0</v>
      </c>
      <c r="J253" s="33">
        <v>3.0</v>
      </c>
      <c r="K253" s="102" t="s">
        <v>1538</v>
      </c>
      <c r="L253" s="33">
        <v>0.0</v>
      </c>
      <c r="M253" s="33">
        <v>1.0</v>
      </c>
      <c r="N253" s="37">
        <v>0.0</v>
      </c>
      <c r="O253" s="33">
        <v>0.0</v>
      </c>
      <c r="P253" s="33">
        <v>0.0</v>
      </c>
      <c r="Q253" s="33" t="s">
        <v>824</v>
      </c>
      <c r="R253" s="33" t="s">
        <v>869</v>
      </c>
      <c r="S253" s="33" t="s">
        <v>1431</v>
      </c>
      <c r="T253" s="33">
        <v>1.0</v>
      </c>
      <c r="U253" s="33">
        <v>0.0</v>
      </c>
      <c r="V253" s="33">
        <v>1.0</v>
      </c>
      <c r="W253" s="36"/>
      <c r="X253" s="36"/>
      <c r="Y253" s="36"/>
    </row>
    <row r="254">
      <c r="A254" s="101">
        <v>1.0</v>
      </c>
      <c r="B254" s="96" t="s">
        <v>1539</v>
      </c>
      <c r="C254" s="33">
        <v>251.0</v>
      </c>
      <c r="D254" s="97">
        <v>7.0</v>
      </c>
      <c r="E254" s="98">
        <v>43608.0</v>
      </c>
      <c r="F254" s="35" t="str">
        <f>HYPERLINK("http://www.tribunnews.com/regional/2019/05/23/gugatan-polisi-gay-yang-dipecat-polda-jateng-ditolak-majelis-hakim-ptun-semarang ","sumber")</f>
        <v>sumber</v>
      </c>
      <c r="G254" s="35" t="str">
        <f t="shared" si="30"/>
        <v>lokasi</v>
      </c>
      <c r="H254" s="97">
        <v>277.0</v>
      </c>
      <c r="I254" s="99">
        <v>1.0</v>
      </c>
      <c r="J254" s="33">
        <v>3.0</v>
      </c>
      <c r="K254" s="102" t="s">
        <v>1540</v>
      </c>
      <c r="L254" s="33">
        <v>0.0</v>
      </c>
      <c r="M254" s="33">
        <v>-1.0</v>
      </c>
      <c r="N254" s="33">
        <v>-1.0</v>
      </c>
      <c r="O254" s="33">
        <v>0.0</v>
      </c>
      <c r="P254" s="33">
        <v>0.0</v>
      </c>
      <c r="Q254" s="33">
        <v>0.0</v>
      </c>
      <c r="R254" s="33">
        <v>0.0</v>
      </c>
      <c r="S254" s="33" t="s">
        <v>1541</v>
      </c>
      <c r="T254" s="33">
        <v>1.0</v>
      </c>
      <c r="U254" s="33">
        <v>0.0</v>
      </c>
      <c r="V254" s="33">
        <v>1.0</v>
      </c>
      <c r="W254" s="36"/>
      <c r="X254" s="36"/>
      <c r="Y254" s="36"/>
    </row>
    <row r="255">
      <c r="A255" s="112">
        <v>1.0</v>
      </c>
      <c r="B255" s="125" t="s">
        <v>1542</v>
      </c>
      <c r="C255" s="114">
        <v>252.0</v>
      </c>
      <c r="D255" s="115">
        <v>2.0</v>
      </c>
      <c r="E255" s="116">
        <v>43628.0</v>
      </c>
      <c r="F255" s="117" t="str">
        <f>HYPERLINK("https://www.cnnindonesia.com/hiburan/20190612094459-220-402595/berkonten-gay-rocketman-dilarang-tayang-di-samoa ","sumber")</f>
        <v>sumber</v>
      </c>
      <c r="G255" s="117" t="str">
        <f t="shared" si="30"/>
        <v>lokasi</v>
      </c>
      <c r="H255" s="115">
        <v>295.0</v>
      </c>
      <c r="I255" s="118">
        <v>2.0</v>
      </c>
      <c r="J255" s="114">
        <v>3.0</v>
      </c>
      <c r="K255" s="119" t="s">
        <v>1543</v>
      </c>
      <c r="L255" s="114">
        <v>0.0</v>
      </c>
      <c r="M255" s="114">
        <v>0.0</v>
      </c>
      <c r="N255" s="120">
        <v>0.0</v>
      </c>
      <c r="O255" s="114">
        <v>0.0</v>
      </c>
      <c r="P255" s="114">
        <v>0.0</v>
      </c>
      <c r="Q255" s="114">
        <v>0.0</v>
      </c>
      <c r="R255" s="121">
        <v>-1.0</v>
      </c>
      <c r="S255" s="114"/>
      <c r="T255" s="114">
        <v>0.0</v>
      </c>
      <c r="U255" s="114">
        <v>0.0</v>
      </c>
      <c r="V255" s="114">
        <v>1.0</v>
      </c>
      <c r="W255" s="122"/>
      <c r="X255" s="122"/>
      <c r="Y255" s="122"/>
    </row>
    <row r="256">
      <c r="A256" s="105">
        <v>2.0</v>
      </c>
      <c r="B256" s="106" t="s">
        <v>1544</v>
      </c>
      <c r="C256" s="40">
        <v>253.0</v>
      </c>
      <c r="D256" s="107">
        <v>10.0</v>
      </c>
      <c r="E256" s="108">
        <v>43618.0</v>
      </c>
      <c r="F256" s="42" t="str">
        <f>HYPERLINK("https://tekno.tempo.co/read/1211567/manusia-prasejarah-lukis-letusan-gunung-berapi-di-batu ","sumber")</f>
        <v>sumber</v>
      </c>
      <c r="G256" s="40" t="s">
        <v>33</v>
      </c>
      <c r="H256" s="107">
        <v>461.0</v>
      </c>
      <c r="I256" s="109"/>
      <c r="J256" s="40">
        <v>3.0</v>
      </c>
      <c r="K256" s="110"/>
      <c r="L256" s="41"/>
      <c r="M256" s="41"/>
      <c r="N256" s="41"/>
      <c r="O256" s="41"/>
      <c r="P256" s="41"/>
      <c r="Q256" s="40"/>
      <c r="R256" s="111"/>
      <c r="S256" s="40"/>
      <c r="T256" s="41"/>
      <c r="U256" s="41"/>
      <c r="V256" s="41"/>
      <c r="W256" s="41"/>
      <c r="X256" s="41"/>
      <c r="Y256" s="41"/>
    </row>
    <row r="257">
      <c r="A257" s="105">
        <v>2.0</v>
      </c>
      <c r="B257" s="106" t="s">
        <v>1545</v>
      </c>
      <c r="C257" s="40">
        <v>254.0</v>
      </c>
      <c r="D257" s="107">
        <v>3.0</v>
      </c>
      <c r="E257" s="108">
        <v>43632.0</v>
      </c>
      <c r="F257" s="42" t="str">
        <f>HYPERLINK("https://celebrity.okezone.com/read/2019/06/14/33/2066514/tak-hanya-elvy-sukaesih-wirdha-3-artis-pernah-berseteru-dengan-sang-ibu ","sumber")</f>
        <v>sumber</v>
      </c>
      <c r="G257" s="40" t="s">
        <v>33</v>
      </c>
      <c r="H257" s="107">
        <v>847.0</v>
      </c>
      <c r="I257" s="109"/>
      <c r="J257" s="40">
        <v>3.0</v>
      </c>
      <c r="K257" s="110"/>
      <c r="L257" s="41"/>
      <c r="M257" s="41"/>
      <c r="N257" s="41"/>
      <c r="O257" s="41"/>
      <c r="P257" s="41"/>
      <c r="Q257" s="40"/>
      <c r="R257" s="111"/>
      <c r="S257" s="40"/>
      <c r="T257" s="41"/>
      <c r="U257" s="41"/>
      <c r="V257" s="41"/>
      <c r="W257" s="41"/>
      <c r="X257" s="41"/>
      <c r="Y257" s="41"/>
    </row>
    <row r="258">
      <c r="A258" s="101">
        <v>1.0</v>
      </c>
      <c r="B258" s="96" t="s">
        <v>1546</v>
      </c>
      <c r="C258" s="33">
        <v>255.0</v>
      </c>
      <c r="D258" s="97">
        <v>2.0</v>
      </c>
      <c r="E258" s="98">
        <v>43635.0</v>
      </c>
      <c r="F258" s="35" t="str">
        <f>HYPERLINK("https://www.cnnindonesia.com/hiburan/20190618201106-234-404409/elton-john-akan-terima-penghargaan-dari-presiden-prancis ","sumber")</f>
        <v>sumber</v>
      </c>
      <c r="G258" s="35" t="str">
        <f t="shared" ref="G258:G271" si="31">HYPERLINK("https://drive.google.com/open?id=15K5sriRJOw0JTPqD9yRZzl0fwZcfdV8X","lokasi")</f>
        <v>lokasi</v>
      </c>
      <c r="H258" s="97">
        <v>285.0</v>
      </c>
      <c r="I258" s="99">
        <v>3.0</v>
      </c>
      <c r="J258" s="33">
        <v>3.0</v>
      </c>
      <c r="K258" s="102" t="s">
        <v>1547</v>
      </c>
      <c r="L258" s="33">
        <v>0.0</v>
      </c>
      <c r="M258" s="33">
        <v>0.0</v>
      </c>
      <c r="N258" s="37">
        <v>0.0</v>
      </c>
      <c r="O258" s="33">
        <v>0.0</v>
      </c>
      <c r="P258" s="33">
        <v>0.0</v>
      </c>
      <c r="Q258" s="33">
        <v>0.0</v>
      </c>
      <c r="R258" s="33">
        <v>1.0</v>
      </c>
      <c r="S258" s="33"/>
      <c r="T258" s="33">
        <v>0.0</v>
      </c>
      <c r="U258" s="33">
        <v>0.0</v>
      </c>
      <c r="V258" s="33">
        <v>1.0</v>
      </c>
      <c r="W258" s="36"/>
      <c r="X258" s="36"/>
      <c r="Y258" s="36"/>
    </row>
    <row r="259">
      <c r="A259" s="101">
        <v>1.0</v>
      </c>
      <c r="B259" s="96" t="s">
        <v>1548</v>
      </c>
      <c r="C259" s="33">
        <v>256.0</v>
      </c>
      <c r="D259" s="97">
        <v>9.0</v>
      </c>
      <c r="E259" s="98">
        <v>43635.0</v>
      </c>
      <c r="F259" s="35" t="str">
        <f>HYPERLINK("https://nasional.republika.co.id/berita/nasional/daerah/ptcllm335/wagub-sumbar-ingin-pelaku-maksiat-diberi-hukum-berat ","sumber")</f>
        <v>sumber</v>
      </c>
      <c r="G259" s="35" t="str">
        <f t="shared" si="31"/>
        <v>lokasi</v>
      </c>
      <c r="H259" s="97">
        <v>305.0</v>
      </c>
      <c r="I259" s="99">
        <v>4.0</v>
      </c>
      <c r="J259" s="33">
        <v>3.0</v>
      </c>
      <c r="K259" s="102" t="s">
        <v>1549</v>
      </c>
      <c r="L259" s="33">
        <v>0.0</v>
      </c>
      <c r="M259" s="33">
        <v>0.0</v>
      </c>
      <c r="N259" s="37">
        <v>0.0</v>
      </c>
      <c r="O259" s="33">
        <v>0.0</v>
      </c>
      <c r="P259" s="33">
        <v>0.0</v>
      </c>
      <c r="Q259" s="33">
        <v>0.0</v>
      </c>
      <c r="R259" s="33">
        <v>-1.0</v>
      </c>
      <c r="S259" s="33" t="s">
        <v>1550</v>
      </c>
      <c r="T259" s="33">
        <v>1.0</v>
      </c>
      <c r="U259" s="33">
        <v>0.0</v>
      </c>
      <c r="V259" s="33">
        <v>1.0</v>
      </c>
      <c r="W259" s="36"/>
      <c r="X259" s="36"/>
      <c r="Y259" s="36"/>
    </row>
    <row r="260">
      <c r="A260" s="112">
        <v>1.0</v>
      </c>
      <c r="B260" s="125" t="s">
        <v>1551</v>
      </c>
      <c r="C260" s="114">
        <v>257.0</v>
      </c>
      <c r="D260" s="115">
        <v>5.0</v>
      </c>
      <c r="E260" s="116">
        <v>43629.0</v>
      </c>
      <c r="F260" s="117" t="str">
        <f>HYPERLINK("https://tirto.id/macet-semrawut-korupsi-solusi-pemkot-depok-jadi-kota-religius-ecj4 ","sumber")</f>
        <v>sumber</v>
      </c>
      <c r="G260" s="117" t="str">
        <f t="shared" si="31"/>
        <v>lokasi</v>
      </c>
      <c r="H260" s="115">
        <v>1018.0</v>
      </c>
      <c r="I260" s="118">
        <v>4.0</v>
      </c>
      <c r="J260" s="114">
        <v>3.0</v>
      </c>
      <c r="K260" s="119" t="s">
        <v>1552</v>
      </c>
      <c r="L260" s="114">
        <v>0.0</v>
      </c>
      <c r="M260" s="114">
        <v>0.0</v>
      </c>
      <c r="N260" s="120">
        <v>0.0</v>
      </c>
      <c r="O260" s="114">
        <v>0.0</v>
      </c>
      <c r="P260" s="114">
        <v>0.0</v>
      </c>
      <c r="Q260" s="114" t="s">
        <v>104</v>
      </c>
      <c r="R260" s="128" t="s">
        <v>1553</v>
      </c>
      <c r="S260" s="114"/>
      <c r="T260" s="114">
        <v>0.0</v>
      </c>
      <c r="U260" s="114">
        <v>0.0</v>
      </c>
      <c r="V260" s="114">
        <v>1.0</v>
      </c>
      <c r="W260" s="122"/>
      <c r="X260" s="122"/>
      <c r="Y260" s="122"/>
    </row>
    <row r="261">
      <c r="A261" s="101">
        <v>1.0</v>
      </c>
      <c r="B261" s="96" t="s">
        <v>1554</v>
      </c>
      <c r="C261" s="33">
        <v>258.0</v>
      </c>
      <c r="D261" s="97">
        <v>8.0</v>
      </c>
      <c r="E261" s="98">
        <v>43640.0</v>
      </c>
      <c r="F261" s="35" t="str">
        <f>HYPERLINK("https://jatim.suara.com/read/2019/06/24/135617/berawal-ajakan-pesta-sabu-kisah-pasangan-lesbian-di-bali-terungkap ","sumber")</f>
        <v>sumber</v>
      </c>
      <c r="G261" s="35" t="str">
        <f t="shared" si="31"/>
        <v>lokasi</v>
      </c>
      <c r="H261" s="97">
        <v>272.0</v>
      </c>
      <c r="I261" s="99">
        <v>1.0</v>
      </c>
      <c r="J261" s="33">
        <v>3.0</v>
      </c>
      <c r="K261" s="102" t="s">
        <v>1555</v>
      </c>
      <c r="L261" s="33">
        <v>0.0</v>
      </c>
      <c r="M261" s="33">
        <v>-1.0</v>
      </c>
      <c r="N261" s="37">
        <v>0.0</v>
      </c>
      <c r="O261" s="33">
        <v>0.0</v>
      </c>
      <c r="P261" s="33">
        <v>-1.0</v>
      </c>
      <c r="Q261" s="33">
        <v>0.0</v>
      </c>
      <c r="R261" s="33">
        <v>0.0</v>
      </c>
      <c r="S261" s="33" t="s">
        <v>1556</v>
      </c>
      <c r="T261" s="33">
        <v>1.0</v>
      </c>
      <c r="U261" s="33">
        <v>-1.0</v>
      </c>
      <c r="V261" s="33">
        <v>0.0</v>
      </c>
      <c r="W261" s="36"/>
      <c r="X261" s="36"/>
      <c r="Y261" s="36"/>
    </row>
    <row r="262">
      <c r="A262" s="101">
        <v>1.0</v>
      </c>
      <c r="B262" s="96" t="s">
        <v>1557</v>
      </c>
      <c r="C262" s="33">
        <v>259.0</v>
      </c>
      <c r="D262" s="97">
        <v>6.0</v>
      </c>
      <c r="E262" s="98">
        <v>43643.0</v>
      </c>
      <c r="F262" s="35" t="str">
        <f>HYPERLINK("https://internasional.kompas.com/read/2019/06/27/07464391/pangeran-william-mengaku-tak-keberatan-jika-anaknya-menjadi-gay ","sumber")</f>
        <v>sumber</v>
      </c>
      <c r="G262" s="35" t="str">
        <f t="shared" si="31"/>
        <v>lokasi</v>
      </c>
      <c r="H262" s="97">
        <v>478.0</v>
      </c>
      <c r="I262" s="99">
        <v>2.0</v>
      </c>
      <c r="J262" s="33">
        <v>3.0</v>
      </c>
      <c r="K262" s="102" t="s">
        <v>1558</v>
      </c>
      <c r="L262" s="33">
        <v>0.0</v>
      </c>
      <c r="M262" s="33">
        <v>0.0</v>
      </c>
      <c r="N262" s="37">
        <v>0.0</v>
      </c>
      <c r="O262" s="33">
        <v>0.0</v>
      </c>
      <c r="P262" s="33">
        <v>0.0</v>
      </c>
      <c r="Q262" s="33">
        <v>0.0</v>
      </c>
      <c r="R262" s="33">
        <v>1.0</v>
      </c>
      <c r="S262" s="33"/>
      <c r="T262" s="33">
        <v>0.0</v>
      </c>
      <c r="U262" s="33">
        <v>0.0</v>
      </c>
      <c r="V262" s="33">
        <v>0.0</v>
      </c>
      <c r="W262" s="36"/>
      <c r="X262" s="36"/>
      <c r="Y262" s="36"/>
    </row>
    <row r="263">
      <c r="A263" s="101">
        <v>1.0</v>
      </c>
      <c r="B263" s="96" t="s">
        <v>1559</v>
      </c>
      <c r="C263" s="33">
        <v>260.0</v>
      </c>
      <c r="D263" s="97">
        <v>10.0</v>
      </c>
      <c r="E263" s="98">
        <v>43643.0</v>
      </c>
      <c r="F263" s="35" t="str">
        <f>HYPERLINK("https://cantik.tempo.co/read/1218636/inspirasi-fashion-serba-kulit-ala-lady-gaga ","sumber")</f>
        <v>sumber</v>
      </c>
      <c r="G263" s="35" t="str">
        <f t="shared" si="31"/>
        <v>lokasi</v>
      </c>
      <c r="H263" s="97">
        <v>285.0</v>
      </c>
      <c r="I263" s="99">
        <v>2.0</v>
      </c>
      <c r="J263" s="33">
        <v>3.0</v>
      </c>
      <c r="K263" s="102" t="s">
        <v>1560</v>
      </c>
      <c r="L263" s="33">
        <v>0.0</v>
      </c>
      <c r="M263" s="33">
        <v>0.0</v>
      </c>
      <c r="N263" s="37">
        <v>0.0</v>
      </c>
      <c r="O263" s="33">
        <v>0.0</v>
      </c>
      <c r="P263" s="33">
        <v>0.0</v>
      </c>
      <c r="Q263" s="33">
        <v>-1.0</v>
      </c>
      <c r="R263" s="33">
        <v>0.0</v>
      </c>
      <c r="S263" s="33"/>
      <c r="T263" s="33">
        <v>0.0</v>
      </c>
      <c r="U263" s="33">
        <v>-1.0</v>
      </c>
      <c r="V263" s="33">
        <v>1.0</v>
      </c>
      <c r="W263" s="36"/>
      <c r="X263" s="36"/>
      <c r="Y263" s="36"/>
    </row>
    <row r="264">
      <c r="A264" s="112">
        <v>1.0</v>
      </c>
      <c r="B264" s="125" t="s">
        <v>1561</v>
      </c>
      <c r="C264" s="114">
        <v>261.0</v>
      </c>
      <c r="D264" s="115">
        <v>7.0</v>
      </c>
      <c r="E264" s="116">
        <v>43629.0</v>
      </c>
      <c r="F264" s="117" t="str">
        <f>HYPERLINK("http://www.tribunnews.com/internasional/2019/06/13/video-homoseksual-menteri-malaysia-tersebar-pelaku-dia-memaksa-saya ","sumber")</f>
        <v>sumber</v>
      </c>
      <c r="G264" s="117" t="str">
        <f t="shared" si="31"/>
        <v>lokasi</v>
      </c>
      <c r="H264" s="115">
        <v>162.0</v>
      </c>
      <c r="I264" s="118">
        <v>1.0</v>
      </c>
      <c r="J264" s="114">
        <v>3.0</v>
      </c>
      <c r="K264" s="119" t="s">
        <v>1562</v>
      </c>
      <c r="L264" s="114">
        <v>0.0</v>
      </c>
      <c r="M264" s="114">
        <v>-1.0</v>
      </c>
      <c r="N264" s="120">
        <v>0.0</v>
      </c>
      <c r="O264" s="114">
        <v>0.0</v>
      </c>
      <c r="P264" s="114">
        <v>0.0</v>
      </c>
      <c r="Q264" s="114">
        <v>2.0</v>
      </c>
      <c r="R264" s="121">
        <v>0.0</v>
      </c>
      <c r="S264" s="114"/>
      <c r="T264" s="114">
        <v>0.0</v>
      </c>
      <c r="U264" s="114">
        <v>0.0</v>
      </c>
      <c r="V264" s="114">
        <v>0.0</v>
      </c>
      <c r="W264" s="122"/>
      <c r="X264" s="122"/>
      <c r="Y264" s="122"/>
    </row>
    <row r="265">
      <c r="A265" s="101">
        <v>1.0</v>
      </c>
      <c r="B265" s="96" t="s">
        <v>1563</v>
      </c>
      <c r="C265" s="33">
        <v>262.0</v>
      </c>
      <c r="D265" s="97">
        <v>1.0</v>
      </c>
      <c r="E265" s="98">
        <v>43645.0</v>
      </c>
      <c r="F265" s="35" t="str">
        <f>HYPERLINK("https://news.detik.com/berita/d-4604965/polda-sulsel-tangkap-perampok-yang-bunuh-waria-di-biak-numfor-papua ","sumber")</f>
        <v>sumber</v>
      </c>
      <c r="G265" s="35" t="str">
        <f t="shared" si="31"/>
        <v>lokasi</v>
      </c>
      <c r="H265" s="97">
        <v>275.0</v>
      </c>
      <c r="I265" s="99">
        <v>1.0</v>
      </c>
      <c r="J265" s="33">
        <v>3.0</v>
      </c>
      <c r="K265" s="102" t="s">
        <v>1564</v>
      </c>
      <c r="L265" s="33">
        <v>0.0</v>
      </c>
      <c r="M265" s="50">
        <v>0.0</v>
      </c>
      <c r="N265" s="33">
        <v>-1.0</v>
      </c>
      <c r="O265" s="33">
        <v>0.0</v>
      </c>
      <c r="P265" s="33">
        <v>0.0</v>
      </c>
      <c r="Q265" s="33">
        <v>0.0</v>
      </c>
      <c r="R265" s="33">
        <v>0.0</v>
      </c>
      <c r="S265" s="33"/>
      <c r="T265" s="33">
        <v>0.0</v>
      </c>
      <c r="U265" s="33">
        <v>-1.0</v>
      </c>
      <c r="V265" s="33">
        <v>1.0</v>
      </c>
      <c r="W265" s="36"/>
      <c r="X265" s="36"/>
      <c r="Y265" s="36"/>
    </row>
    <row r="266">
      <c r="A266" s="101">
        <v>1.0</v>
      </c>
      <c r="B266" s="96" t="s">
        <v>1565</v>
      </c>
      <c r="C266" s="33">
        <v>263.0</v>
      </c>
      <c r="D266" s="97">
        <v>1.0</v>
      </c>
      <c r="E266" s="98">
        <v>43646.0</v>
      </c>
      <c r="F266" s="35" t="str">
        <f>HYPERLINK("https://hot.detik.com/celeb/d-4605550/onadio-eks-killing-me-inside-resmi-nikah-ini-lo-istri-cantiknya ","sumber")</f>
        <v>sumber</v>
      </c>
      <c r="G266" s="35" t="str">
        <f t="shared" si="31"/>
        <v>lokasi</v>
      </c>
      <c r="H266" s="97">
        <v>344.0</v>
      </c>
      <c r="I266" s="99">
        <v>2.0</v>
      </c>
      <c r="J266" s="33">
        <v>3.0</v>
      </c>
      <c r="K266" s="102" t="s">
        <v>1566</v>
      </c>
      <c r="L266" s="33">
        <v>0.0</v>
      </c>
      <c r="M266" s="33">
        <v>0.0</v>
      </c>
      <c r="N266" s="37">
        <v>0.0</v>
      </c>
      <c r="O266" s="33">
        <v>0.0</v>
      </c>
      <c r="P266" s="33">
        <v>0.0</v>
      </c>
      <c r="Q266" s="33">
        <v>0.0</v>
      </c>
      <c r="R266" s="33">
        <v>1.0</v>
      </c>
      <c r="S266" s="33" t="s">
        <v>1567</v>
      </c>
      <c r="T266" s="33">
        <v>1.0</v>
      </c>
      <c r="U266" s="33">
        <v>0.0</v>
      </c>
      <c r="V266" s="33">
        <v>0.0</v>
      </c>
      <c r="W266" s="36"/>
      <c r="X266" s="36"/>
      <c r="Y266" s="36"/>
    </row>
    <row r="267">
      <c r="A267" s="101">
        <v>1.0</v>
      </c>
      <c r="B267" s="96" t="s">
        <v>1568</v>
      </c>
      <c r="C267" s="33">
        <v>264.0</v>
      </c>
      <c r="D267" s="97">
        <v>8.0</v>
      </c>
      <c r="E267" s="98">
        <v>43650.0</v>
      </c>
      <c r="F267" s="35" t="str">
        <f>HYPERLINK("https://jatim.suara.com/read/2019/07/04/215429/salon-milik-waria-dibobol-maling-pretty-lemas-uang-rp-36-juta-lenyap ","sumber")</f>
        <v>sumber</v>
      </c>
      <c r="G267" s="35" t="str">
        <f t="shared" si="31"/>
        <v>lokasi</v>
      </c>
      <c r="H267" s="97">
        <v>308.0</v>
      </c>
      <c r="I267" s="99">
        <v>1.0</v>
      </c>
      <c r="J267" s="33">
        <v>3.0</v>
      </c>
      <c r="K267" s="102" t="s">
        <v>1569</v>
      </c>
      <c r="L267" s="33">
        <v>0.0</v>
      </c>
      <c r="M267" s="50">
        <v>0.0</v>
      </c>
      <c r="N267" s="37">
        <v>0.0</v>
      </c>
      <c r="O267" s="33">
        <v>0.0</v>
      </c>
      <c r="P267" s="33">
        <v>-1.0</v>
      </c>
      <c r="Q267" s="33" t="s">
        <v>61</v>
      </c>
      <c r="R267" s="33" t="s">
        <v>61</v>
      </c>
      <c r="S267" s="33"/>
      <c r="T267" s="33">
        <v>0.0</v>
      </c>
      <c r="U267" s="33">
        <v>-1.0</v>
      </c>
      <c r="V267" s="33">
        <v>1.0</v>
      </c>
      <c r="W267" s="36"/>
      <c r="X267" s="36"/>
      <c r="Y267" s="36"/>
    </row>
    <row r="268">
      <c r="A268" s="112">
        <v>1.0</v>
      </c>
      <c r="B268" s="125" t="s">
        <v>1570</v>
      </c>
      <c r="C268" s="114">
        <v>265.0</v>
      </c>
      <c r="D268" s="115">
        <v>10.0</v>
      </c>
      <c r="E268" s="116">
        <v>43671.0</v>
      </c>
      <c r="F268" s="117" t="str">
        <f>HYPERLINK("https://metro.tempo.co/read/1228494/perda-anti-lgbt-di-depok-anggota-dprd-pertanyakan-banyak-hal ","sumber")</f>
        <v>sumber</v>
      </c>
      <c r="G268" s="117" t="str">
        <f t="shared" si="31"/>
        <v>lokasi</v>
      </c>
      <c r="H268" s="115">
        <v>30.0</v>
      </c>
      <c r="I268" s="118">
        <v>4.0</v>
      </c>
      <c r="J268" s="114">
        <v>3.0</v>
      </c>
      <c r="K268" s="119" t="s">
        <v>1571</v>
      </c>
      <c r="L268" s="114">
        <v>0.0</v>
      </c>
      <c r="M268" s="114">
        <v>0.0</v>
      </c>
      <c r="N268" s="120">
        <v>0.0</v>
      </c>
      <c r="O268" s="114">
        <v>0.0</v>
      </c>
      <c r="P268" s="114">
        <v>0.0</v>
      </c>
      <c r="Q268" s="114" t="s">
        <v>53</v>
      </c>
      <c r="R268" s="121" t="s">
        <v>392</v>
      </c>
      <c r="S268" s="114"/>
      <c r="T268" s="114">
        <v>0.0</v>
      </c>
      <c r="U268" s="114">
        <v>0.0</v>
      </c>
      <c r="V268" s="114">
        <v>1.0</v>
      </c>
      <c r="W268" s="122"/>
      <c r="X268" s="122"/>
      <c r="Y268" s="122"/>
    </row>
    <row r="269">
      <c r="A269" s="112">
        <v>1.0</v>
      </c>
      <c r="B269" s="125" t="s">
        <v>1572</v>
      </c>
      <c r="C269" s="114">
        <v>266.0</v>
      </c>
      <c r="D269" s="115">
        <v>6.0</v>
      </c>
      <c r="E269" s="116">
        <v>43655.0</v>
      </c>
      <c r="F269" s="117" t="str">
        <f>HYPERLINK("https://olahraga.kompas.com/read/2019/07/09/23505848/rapinoe-berpeluang-jadi-presiden-as-lgbt-pertama ","sumber")</f>
        <v>sumber</v>
      </c>
      <c r="G269" s="117" t="str">
        <f t="shared" si="31"/>
        <v>lokasi</v>
      </c>
      <c r="H269" s="115">
        <v>273.0</v>
      </c>
      <c r="I269" s="118">
        <v>2.0</v>
      </c>
      <c r="J269" s="114">
        <v>3.0</v>
      </c>
      <c r="K269" s="119" t="s">
        <v>1573</v>
      </c>
      <c r="L269" s="114">
        <v>0.0</v>
      </c>
      <c r="M269" s="114">
        <v>0.0</v>
      </c>
      <c r="N269" s="120">
        <v>0.0</v>
      </c>
      <c r="O269" s="114">
        <v>0.0</v>
      </c>
      <c r="P269" s="114">
        <v>0.0</v>
      </c>
      <c r="Q269" s="114">
        <v>2.0</v>
      </c>
      <c r="R269" s="121">
        <v>1.0</v>
      </c>
      <c r="S269" s="114"/>
      <c r="T269" s="114">
        <v>0.0</v>
      </c>
      <c r="U269" s="114">
        <v>0.0</v>
      </c>
      <c r="V269" s="114">
        <v>1.0</v>
      </c>
      <c r="W269" s="122"/>
      <c r="X269" s="122"/>
      <c r="Y269" s="122"/>
    </row>
    <row r="270">
      <c r="A270" s="101">
        <v>1.0</v>
      </c>
      <c r="B270" s="96" t="s">
        <v>1574</v>
      </c>
      <c r="C270" s="33">
        <v>267.0</v>
      </c>
      <c r="D270" s="97">
        <v>10.0</v>
      </c>
      <c r="E270" s="98">
        <v>43656.0</v>
      </c>
      <c r="F270" s="35" t="str">
        <f>HYPERLINK("https://dunia.tempo.co/read/1223058/parlemen-ingin-irlandia-utara-sahkan-pernikahan-sesama-jenis ","sumber")</f>
        <v>sumber</v>
      </c>
      <c r="G270" s="35" t="str">
        <f t="shared" si="31"/>
        <v>lokasi</v>
      </c>
      <c r="H270" s="97">
        <v>336.0</v>
      </c>
      <c r="I270" s="99">
        <v>4.0</v>
      </c>
      <c r="J270" s="33">
        <v>3.0</v>
      </c>
      <c r="K270" s="102" t="s">
        <v>1575</v>
      </c>
      <c r="L270" s="33">
        <v>0.0</v>
      </c>
      <c r="M270" s="33">
        <v>0.0</v>
      </c>
      <c r="N270" s="37">
        <v>0.0</v>
      </c>
      <c r="O270" s="33">
        <v>0.0</v>
      </c>
      <c r="P270" s="33">
        <v>0.0</v>
      </c>
      <c r="Q270" s="33">
        <v>2.0</v>
      </c>
      <c r="R270" s="33">
        <v>1.0</v>
      </c>
      <c r="S270" s="33"/>
      <c r="T270" s="33">
        <v>0.0</v>
      </c>
      <c r="U270" s="33">
        <v>0.0</v>
      </c>
      <c r="V270" s="33">
        <v>1.0</v>
      </c>
      <c r="W270" s="36"/>
      <c r="X270" s="36"/>
      <c r="Y270" s="36"/>
    </row>
    <row r="271">
      <c r="A271" s="112">
        <v>1.0</v>
      </c>
      <c r="B271" s="125" t="s">
        <v>1576</v>
      </c>
      <c r="C271" s="114">
        <v>268.0</v>
      </c>
      <c r="D271" s="115">
        <v>5.0</v>
      </c>
      <c r="E271" s="116">
        <v>43657.0</v>
      </c>
      <c r="F271" s="117" t="str">
        <f>HYPERLINK("https://tirto.id/ditjen-pas-kemenkumham-akan-pisahkan-napi-lgbt-ed3L ","sumber")</f>
        <v>sumber</v>
      </c>
      <c r="G271" s="117" t="str">
        <f t="shared" si="31"/>
        <v>lokasi</v>
      </c>
      <c r="H271" s="115">
        <v>316.0</v>
      </c>
      <c r="I271" s="118">
        <v>4.0</v>
      </c>
      <c r="J271" s="114">
        <v>3.0</v>
      </c>
      <c r="K271" s="119" t="s">
        <v>1577</v>
      </c>
      <c r="L271" s="114">
        <v>0.0</v>
      </c>
      <c r="M271" s="114">
        <v>0.0</v>
      </c>
      <c r="N271" s="120">
        <v>0.0</v>
      </c>
      <c r="O271" s="114">
        <v>0.0</v>
      </c>
      <c r="P271" s="114">
        <v>0.0</v>
      </c>
      <c r="Q271" s="114">
        <v>0.0</v>
      </c>
      <c r="R271" s="121">
        <v>-1.0</v>
      </c>
      <c r="S271" s="114"/>
      <c r="T271" s="114">
        <v>0.0</v>
      </c>
      <c r="U271" s="114">
        <v>-1.0</v>
      </c>
      <c r="V271" s="114">
        <v>1.0</v>
      </c>
      <c r="W271" s="122"/>
      <c r="X271" s="122"/>
      <c r="Y271" s="122"/>
    </row>
    <row r="272">
      <c r="A272" s="105">
        <v>2.0</v>
      </c>
      <c r="B272" s="106" t="s">
        <v>1578</v>
      </c>
      <c r="C272" s="40">
        <v>269.0</v>
      </c>
      <c r="D272" s="107">
        <v>1.0</v>
      </c>
      <c r="E272" s="108">
        <v>43659.0</v>
      </c>
      <c r="F272" s="42" t="str">
        <f>HYPERLINK("https://hot.detik.com/movie/d-4622775/avengers-endgame-rilis-lagi-siapa-aktor-yang-untung ","sumber")</f>
        <v>sumber</v>
      </c>
      <c r="G272" s="40" t="s">
        <v>33</v>
      </c>
      <c r="H272" s="107">
        <v>1763.0</v>
      </c>
      <c r="I272" s="109"/>
      <c r="J272" s="40">
        <v>3.0</v>
      </c>
      <c r="K272" s="110"/>
      <c r="L272" s="41"/>
      <c r="M272" s="41"/>
      <c r="N272" s="41"/>
      <c r="O272" s="41"/>
      <c r="P272" s="41"/>
      <c r="Q272" s="40"/>
      <c r="R272" s="111"/>
      <c r="S272" s="40"/>
      <c r="T272" s="41"/>
      <c r="U272" s="41"/>
      <c r="V272" s="41"/>
      <c r="W272" s="41"/>
      <c r="X272" s="41"/>
      <c r="Y272" s="41"/>
    </row>
    <row r="273">
      <c r="A273" s="105">
        <v>2.0</v>
      </c>
      <c r="B273" s="106" t="s">
        <v>1579</v>
      </c>
      <c r="C273" s="40">
        <v>270.0</v>
      </c>
      <c r="D273" s="107">
        <v>9.0</v>
      </c>
      <c r="E273" s="108">
        <v>43666.0</v>
      </c>
      <c r="F273" s="42" t="str">
        <f>HYPERLINK("https://senggang.republika.co.id/berita/puwn73335/indro-warkop-sayangkan-nunung-gunakan-narkoba ","sumber")</f>
        <v>sumber</v>
      </c>
      <c r="G273" s="40" t="s">
        <v>33</v>
      </c>
      <c r="H273" s="107">
        <v>239.0</v>
      </c>
      <c r="I273" s="109"/>
      <c r="J273" s="40">
        <v>3.0</v>
      </c>
      <c r="K273" s="110"/>
      <c r="L273" s="41"/>
      <c r="M273" s="41"/>
      <c r="N273" s="41"/>
      <c r="O273" s="41"/>
      <c r="P273" s="41"/>
      <c r="Q273" s="40"/>
      <c r="R273" s="111"/>
      <c r="S273" s="40"/>
      <c r="T273" s="41"/>
      <c r="U273" s="41"/>
      <c r="V273" s="41"/>
      <c r="W273" s="41"/>
      <c r="X273" s="41"/>
      <c r="Y273" s="41"/>
    </row>
    <row r="274">
      <c r="A274" s="101">
        <v>1.0</v>
      </c>
      <c r="B274" s="96" t="s">
        <v>1580</v>
      </c>
      <c r="C274" s="33">
        <v>271.0</v>
      </c>
      <c r="D274" s="97">
        <v>10.0</v>
      </c>
      <c r="E274" s="98">
        <v>43666.0</v>
      </c>
      <c r="F274" s="35" t="str">
        <f>HYPERLINK("https://metro.tempo.co/read/1226597/dprd-depok-kembali-usulkan-pembahasan-raperda-anti-lgbt ","sumber")</f>
        <v>sumber</v>
      </c>
      <c r="G274" s="35" t="str">
        <f t="shared" ref="G274:G277" si="32">HYPERLINK("https://drive.google.com/open?id=15K5sriRJOw0JTPqD9yRZzl0fwZcfdV8X","lokasi")</f>
        <v>lokasi</v>
      </c>
      <c r="H274" s="97">
        <v>184.0</v>
      </c>
      <c r="I274" s="99">
        <v>4.0</v>
      </c>
      <c r="J274" s="33">
        <v>3.0</v>
      </c>
      <c r="K274" s="102" t="s">
        <v>1581</v>
      </c>
      <c r="L274" s="33">
        <v>0.0</v>
      </c>
      <c r="M274" s="33">
        <v>-1.0</v>
      </c>
      <c r="N274" s="37">
        <v>0.0</v>
      </c>
      <c r="O274" s="33">
        <v>0.0</v>
      </c>
      <c r="P274" s="33">
        <v>0.0</v>
      </c>
      <c r="Q274" s="33" t="s">
        <v>61</v>
      </c>
      <c r="R274" s="33" t="s">
        <v>685</v>
      </c>
      <c r="S274" s="33"/>
      <c r="T274" s="33">
        <v>0.0</v>
      </c>
      <c r="U274" s="33">
        <v>0.0</v>
      </c>
      <c r="V274" s="33">
        <v>1.0</v>
      </c>
      <c r="W274" s="36"/>
      <c r="X274" s="36"/>
      <c r="Y274" s="36"/>
    </row>
    <row r="275">
      <c r="A275" s="112">
        <v>1.0</v>
      </c>
      <c r="B275" s="125" t="s">
        <v>1582</v>
      </c>
      <c r="C275" s="114">
        <v>272.0</v>
      </c>
      <c r="D275" s="115">
        <v>1.0</v>
      </c>
      <c r="E275" s="116">
        <v>43647.0</v>
      </c>
      <c r="F275" s="117" t="str">
        <f>HYPERLINK("https://news.detik.com/berita/d-4606921/dprd-soroti-kontes-waria-di-pangkalpinang ","sumber")</f>
        <v>sumber</v>
      </c>
      <c r="G275" s="117" t="str">
        <f t="shared" si="32"/>
        <v>lokasi</v>
      </c>
      <c r="H275" s="115">
        <v>211.0</v>
      </c>
      <c r="I275" s="118">
        <v>3.0</v>
      </c>
      <c r="J275" s="114">
        <v>3.0</v>
      </c>
      <c r="K275" s="119" t="s">
        <v>1583</v>
      </c>
      <c r="L275" s="114">
        <v>0.0</v>
      </c>
      <c r="M275" s="114">
        <v>0.0</v>
      </c>
      <c r="N275" s="120">
        <v>0.0</v>
      </c>
      <c r="O275" s="114">
        <v>0.0</v>
      </c>
      <c r="P275" s="114">
        <v>0.0</v>
      </c>
      <c r="Q275" s="114">
        <v>0.0</v>
      </c>
      <c r="R275" s="121">
        <v>-1.0</v>
      </c>
      <c r="S275" s="114"/>
      <c r="T275" s="114">
        <v>0.0</v>
      </c>
      <c r="U275" s="114">
        <v>0.0</v>
      </c>
      <c r="V275" s="114">
        <v>1.0</v>
      </c>
      <c r="W275" s="122"/>
      <c r="X275" s="122"/>
      <c r="Y275" s="122"/>
    </row>
    <row r="276">
      <c r="A276" s="101">
        <v>1.0</v>
      </c>
      <c r="B276" s="96" t="s">
        <v>1584</v>
      </c>
      <c r="C276" s="33">
        <v>273.0</v>
      </c>
      <c r="D276" s="97">
        <v>2.0</v>
      </c>
      <c r="E276" s="98">
        <v>43670.0</v>
      </c>
      <c r="F276" s="35" t="str">
        <f>HYPERLINK("https://www.cnnindonesia.com/hiburan/20190723215406-220-414911/marvel-tonjolkan-lebih-banyak-keberagaman-di-masa-depan ","sumber")</f>
        <v>sumber</v>
      </c>
      <c r="G276" s="35" t="str">
        <f t="shared" si="32"/>
        <v>lokasi</v>
      </c>
      <c r="H276" s="97">
        <v>678.0</v>
      </c>
      <c r="I276" s="99">
        <v>2.0</v>
      </c>
      <c r="J276" s="33">
        <v>3.0</v>
      </c>
      <c r="K276" s="102" t="s">
        <v>1585</v>
      </c>
      <c r="L276" s="33">
        <v>0.0</v>
      </c>
      <c r="M276" s="33">
        <v>0.0</v>
      </c>
      <c r="N276" s="37">
        <v>0.0</v>
      </c>
      <c r="O276" s="33">
        <v>0.0</v>
      </c>
      <c r="P276" s="33">
        <v>0.0</v>
      </c>
      <c r="Q276" s="33" t="s">
        <v>53</v>
      </c>
      <c r="R276" s="33" t="s">
        <v>1586</v>
      </c>
      <c r="S276" s="33"/>
      <c r="T276" s="33">
        <v>0.0</v>
      </c>
      <c r="U276" s="33">
        <v>0.0</v>
      </c>
      <c r="V276" s="33">
        <v>1.0</v>
      </c>
      <c r="W276" s="36"/>
      <c r="X276" s="36"/>
      <c r="Y276" s="36"/>
    </row>
    <row r="277">
      <c r="A277" s="101">
        <v>1.0</v>
      </c>
      <c r="B277" s="96" t="s">
        <v>1587</v>
      </c>
      <c r="C277" s="33">
        <v>274.0</v>
      </c>
      <c r="D277" s="97">
        <v>4.0</v>
      </c>
      <c r="E277" s="98">
        <v>43670.0</v>
      </c>
      <c r="F277" s="35" t="str">
        <f>HYPERLINK("https://www.liputan6.com/health/read/4019363/kenali-cara-penularan-virus-hepatitis-a-hepatitis-b-dan-hepatitis-c ","sumber")</f>
        <v>sumber</v>
      </c>
      <c r="G277" s="35" t="str">
        <f t="shared" si="32"/>
        <v>lokasi</v>
      </c>
      <c r="H277" s="97">
        <v>419.0</v>
      </c>
      <c r="I277" s="99">
        <v>2.0</v>
      </c>
      <c r="J277" s="33">
        <v>3.0</v>
      </c>
      <c r="K277" s="102" t="s">
        <v>1588</v>
      </c>
      <c r="L277" s="33">
        <v>0.0</v>
      </c>
      <c r="M277" s="33">
        <v>0.0</v>
      </c>
      <c r="N277" s="37">
        <v>0.0</v>
      </c>
      <c r="O277" s="33">
        <v>0.0</v>
      </c>
      <c r="P277" s="33">
        <v>0.0</v>
      </c>
      <c r="Q277" s="33" t="s">
        <v>61</v>
      </c>
      <c r="R277" s="33" t="s">
        <v>85</v>
      </c>
      <c r="S277" s="33"/>
      <c r="T277" s="33">
        <v>0.0</v>
      </c>
      <c r="U277" s="33">
        <v>-1.0</v>
      </c>
      <c r="V277" s="33">
        <v>1.0</v>
      </c>
      <c r="W277" s="36"/>
      <c r="X277" s="36"/>
      <c r="Y277" s="36"/>
    </row>
    <row r="278">
      <c r="A278" s="105">
        <v>2.0</v>
      </c>
      <c r="B278" s="106" t="s">
        <v>1589</v>
      </c>
      <c r="C278" s="40">
        <v>275.0</v>
      </c>
      <c r="D278" s="107">
        <v>3.0</v>
      </c>
      <c r="E278" s="108">
        <v>43680.0</v>
      </c>
      <c r="F278" s="42" t="str">
        <f>HYPERLINK("https://nasional.okezone.com/read/2019/08/03/337/2087270/90-persen-pelaku-kejahatan-seksual-pada-anak-merupakan-orang-terdekat ","sumber")</f>
        <v>sumber</v>
      </c>
      <c r="G278" s="40" t="s">
        <v>33</v>
      </c>
      <c r="H278" s="107">
        <v>190.0</v>
      </c>
      <c r="I278" s="123"/>
      <c r="J278" s="40">
        <v>3.0</v>
      </c>
      <c r="K278" s="110"/>
      <c r="L278" s="41"/>
      <c r="M278" s="41"/>
      <c r="N278" s="41"/>
      <c r="O278" s="41"/>
      <c r="P278" s="41"/>
      <c r="Q278" s="40"/>
      <c r="R278" s="111"/>
      <c r="S278" s="40"/>
      <c r="T278" s="41"/>
      <c r="U278" s="41"/>
      <c r="V278" s="41"/>
      <c r="W278" s="41"/>
      <c r="X278" s="41"/>
      <c r="Y278" s="41"/>
    </row>
    <row r="279">
      <c r="A279" s="112">
        <v>1.0</v>
      </c>
      <c r="B279" s="125" t="s">
        <v>1590</v>
      </c>
      <c r="C279" s="114">
        <v>276.0</v>
      </c>
      <c r="D279" s="115">
        <v>10.0</v>
      </c>
      <c r="E279" s="116">
        <v>43680.0</v>
      </c>
      <c r="F279" s="117" t="str">
        <f>HYPERLINK("https://nasional.tempo.co/read/1231857/komik-tni-singgung-lgbt-dan-hivaids-menuai-kritik ","sumber")</f>
        <v>sumber</v>
      </c>
      <c r="G279" s="117" t="str">
        <f t="shared" ref="G279:G281" si="33">HYPERLINK("https://drive.google.com/open?id=15K5sriRJOw0JTPqD9yRZzl0fwZcfdV8X","lokasi")</f>
        <v>lokasi</v>
      </c>
      <c r="H279" s="115">
        <v>350.0</v>
      </c>
      <c r="I279" s="118">
        <v>2.0</v>
      </c>
      <c r="J279" s="114">
        <v>3.0</v>
      </c>
      <c r="K279" s="119" t="s">
        <v>1591</v>
      </c>
      <c r="L279" s="114">
        <v>0.0</v>
      </c>
      <c r="M279" s="114">
        <v>0.0</v>
      </c>
      <c r="N279" s="120">
        <v>0.0</v>
      </c>
      <c r="O279" s="114">
        <v>0.0</v>
      </c>
      <c r="P279" s="114">
        <v>0.0</v>
      </c>
      <c r="Q279" s="114" t="s">
        <v>100</v>
      </c>
      <c r="R279" s="121" t="s">
        <v>192</v>
      </c>
      <c r="S279" s="114"/>
      <c r="T279" s="114">
        <v>0.0</v>
      </c>
      <c r="U279" s="114">
        <v>0.0</v>
      </c>
      <c r="V279" s="114">
        <v>1.0</v>
      </c>
      <c r="W279" s="122"/>
      <c r="X279" s="122"/>
      <c r="Y279" s="122"/>
    </row>
    <row r="280">
      <c r="A280" s="101">
        <v>1.0</v>
      </c>
      <c r="B280" s="96" t="s">
        <v>1592</v>
      </c>
      <c r="C280" s="33">
        <v>277.0</v>
      </c>
      <c r="D280" s="97">
        <v>8.0</v>
      </c>
      <c r="E280" s="98">
        <v>43682.0</v>
      </c>
      <c r="F280" s="35" t="str">
        <f>HYPERLINK("https://www.suara.com/lifestyle/2019/08/05/112719/victoria-secret-rekrut-model-transgendervalentina-sampaio ","sumber")</f>
        <v>sumber</v>
      </c>
      <c r="G280" s="35" t="str">
        <f t="shared" si="33"/>
        <v>lokasi</v>
      </c>
      <c r="H280" s="97">
        <v>230.0</v>
      </c>
      <c r="I280" s="99">
        <v>2.0</v>
      </c>
      <c r="J280" s="33">
        <v>3.0</v>
      </c>
      <c r="K280" s="102" t="s">
        <v>1593</v>
      </c>
      <c r="L280" s="33">
        <v>0.0</v>
      </c>
      <c r="M280" s="33">
        <v>0.0</v>
      </c>
      <c r="N280" s="37">
        <v>0.0</v>
      </c>
      <c r="O280" s="33">
        <v>0.0</v>
      </c>
      <c r="P280" s="33">
        <v>0.0</v>
      </c>
      <c r="Q280" s="33" t="s">
        <v>1594</v>
      </c>
      <c r="R280" s="33" t="s">
        <v>392</v>
      </c>
      <c r="S280" s="33"/>
      <c r="T280" s="33">
        <v>0.0</v>
      </c>
      <c r="U280" s="33">
        <v>0.0</v>
      </c>
      <c r="V280" s="33">
        <v>1.0</v>
      </c>
      <c r="W280" s="36"/>
      <c r="X280" s="36"/>
      <c r="Y280" s="36"/>
    </row>
    <row r="281">
      <c r="A281" s="101">
        <v>1.0</v>
      </c>
      <c r="B281" s="96" t="s">
        <v>1595</v>
      </c>
      <c r="C281" s="33">
        <v>278.0</v>
      </c>
      <c r="D281" s="97">
        <v>7.0</v>
      </c>
      <c r="E281" s="98">
        <v>43684.0</v>
      </c>
      <c r="F281" s="35" t="str">
        <f>HYPERLINK("https://www.tribunnews.com/lifestyle/2019/08/08/niat-menikah-tanpa-anak-duda-beranak-satu-hasrat-mengawini-transgender-kisah-cinta-sigit-stasya ","sumber")</f>
        <v>sumber</v>
      </c>
      <c r="G281" s="35" t="str">
        <f t="shared" si="33"/>
        <v>lokasi</v>
      </c>
      <c r="H281" s="97">
        <v>248.0</v>
      </c>
      <c r="I281" s="99">
        <v>2.0</v>
      </c>
      <c r="J281" s="33">
        <v>3.0</v>
      </c>
      <c r="K281" s="102" t="s">
        <v>1596</v>
      </c>
      <c r="L281" s="33">
        <v>0.0</v>
      </c>
      <c r="M281" s="33">
        <v>0.0</v>
      </c>
      <c r="N281" s="33">
        <v>-1.0</v>
      </c>
      <c r="O281" s="33">
        <v>0.0</v>
      </c>
      <c r="P281" s="33">
        <v>-1.0</v>
      </c>
      <c r="Q281" s="33" t="s">
        <v>119</v>
      </c>
      <c r="R281" s="33" t="s">
        <v>100</v>
      </c>
      <c r="S281" s="33" t="s">
        <v>1597</v>
      </c>
      <c r="T281" s="33">
        <v>2.0</v>
      </c>
      <c r="U281" s="33">
        <v>-1.0</v>
      </c>
      <c r="V281" s="33">
        <v>0.0</v>
      </c>
      <c r="W281" s="36"/>
      <c r="X281" s="36"/>
      <c r="Y281" s="36"/>
    </row>
    <row r="282">
      <c r="A282" s="105">
        <v>2.0</v>
      </c>
      <c r="B282" s="106" t="s">
        <v>1598</v>
      </c>
      <c r="C282" s="40">
        <v>279.0</v>
      </c>
      <c r="D282" s="107">
        <v>5.0</v>
      </c>
      <c r="E282" s="108">
        <v>43686.0</v>
      </c>
      <c r="F282" s="42" t="str">
        <f>HYPERLINK("https://tirto.id/sinopsis-my-only-one-episode-49-dan-50-di-trans-tv-efZv ","sumber")</f>
        <v>sumber</v>
      </c>
      <c r="G282" s="40" t="s">
        <v>33</v>
      </c>
      <c r="H282" s="107">
        <v>530.0</v>
      </c>
      <c r="I282" s="109"/>
      <c r="J282" s="40">
        <v>3.0</v>
      </c>
      <c r="K282" s="110"/>
      <c r="L282" s="41"/>
      <c r="M282" s="41"/>
      <c r="N282" s="41"/>
      <c r="O282" s="41"/>
      <c r="P282" s="41"/>
      <c r="Q282" s="40"/>
      <c r="R282" s="111"/>
      <c r="S282" s="40"/>
      <c r="T282" s="41"/>
      <c r="U282" s="41"/>
      <c r="V282" s="41"/>
      <c r="W282" s="41"/>
      <c r="X282" s="41"/>
      <c r="Y282" s="41"/>
    </row>
    <row r="283">
      <c r="A283" s="101">
        <v>1.0</v>
      </c>
      <c r="B283" s="96" t="s">
        <v>1599</v>
      </c>
      <c r="C283" s="33">
        <v>280.0</v>
      </c>
      <c r="D283" s="97">
        <v>6.0</v>
      </c>
      <c r="E283" s="98">
        <v>43689.0</v>
      </c>
      <c r="F283" s="35" t="str">
        <f>HYPERLINK("https://regional.kompas.com/read/2019/08/12/15104491/18-anggota-pers-mahasiswa-yang-dipecat-gugat-rektor-usu-ke-ptun ","sumber")</f>
        <v>sumber</v>
      </c>
      <c r="G283" s="35" t="str">
        <f t="shared" ref="G283:G286" si="34">HYPERLINK("https://drive.google.com/open?id=15K5sriRJOw0JTPqD9yRZzl0fwZcfdV8X","lokasi")</f>
        <v>lokasi</v>
      </c>
      <c r="H283" s="97">
        <v>217.0</v>
      </c>
      <c r="I283" s="99">
        <v>1.0</v>
      </c>
      <c r="J283" s="33">
        <v>3.0</v>
      </c>
      <c r="K283" s="102" t="s">
        <v>1600</v>
      </c>
      <c r="L283" s="33">
        <v>0.0</v>
      </c>
      <c r="M283" s="33">
        <v>1.0</v>
      </c>
      <c r="N283" s="37">
        <v>0.0</v>
      </c>
      <c r="O283" s="33">
        <v>0.0</v>
      </c>
      <c r="P283" s="33">
        <v>0.0</v>
      </c>
      <c r="Q283" s="33">
        <v>0.0</v>
      </c>
      <c r="R283" s="33">
        <v>1.0</v>
      </c>
      <c r="S283" s="33"/>
      <c r="T283" s="33">
        <v>0.0</v>
      </c>
      <c r="U283" s="33">
        <v>0.0</v>
      </c>
      <c r="V283" s="33">
        <v>1.0</v>
      </c>
      <c r="W283" s="36"/>
      <c r="X283" s="36"/>
      <c r="Y283" s="36"/>
    </row>
    <row r="284">
      <c r="A284" s="101">
        <v>1.0</v>
      </c>
      <c r="B284" s="96" t="s">
        <v>1601</v>
      </c>
      <c r="C284" s="33">
        <v>281.0</v>
      </c>
      <c r="D284" s="97">
        <v>8.0</v>
      </c>
      <c r="E284" s="98">
        <v>43694.0</v>
      </c>
      <c r="F284" s="35" t="str">
        <f>HYPERLINK("https://www.suara.com/lifestyle/2019/08/17/165115/catriona-gray-dukung-transpuan-boleh-pakai-toilet-wanita ","sumber")</f>
        <v>sumber</v>
      </c>
      <c r="G284" s="35" t="str">
        <f t="shared" si="34"/>
        <v>lokasi</v>
      </c>
      <c r="H284" s="97">
        <v>223.0</v>
      </c>
      <c r="I284" s="99">
        <v>1.0</v>
      </c>
      <c r="J284" s="33">
        <v>3.0</v>
      </c>
      <c r="K284" s="102" t="s">
        <v>1602</v>
      </c>
      <c r="L284" s="33">
        <v>0.0</v>
      </c>
      <c r="M284" s="33">
        <v>1.0</v>
      </c>
      <c r="N284" s="37">
        <v>0.0</v>
      </c>
      <c r="O284" s="33">
        <v>0.0</v>
      </c>
      <c r="P284" s="33">
        <v>0.0</v>
      </c>
      <c r="Q284" s="33" t="s">
        <v>210</v>
      </c>
      <c r="R284" s="33" t="s">
        <v>192</v>
      </c>
      <c r="S284" s="33"/>
      <c r="T284" s="33">
        <v>0.0</v>
      </c>
      <c r="U284" s="33">
        <v>0.0</v>
      </c>
      <c r="V284" s="33">
        <v>1.0</v>
      </c>
      <c r="W284" s="36"/>
      <c r="X284" s="36"/>
      <c r="Y284" s="36"/>
    </row>
    <row r="285">
      <c r="A285" s="112">
        <v>1.0</v>
      </c>
      <c r="B285" s="125" t="s">
        <v>1603</v>
      </c>
      <c r="C285" s="114">
        <v>282.0</v>
      </c>
      <c r="D285" s="115">
        <v>4.0</v>
      </c>
      <c r="E285" s="116">
        <v>43707.0</v>
      </c>
      <c r="F285" s="117" t="str">
        <f>HYPERLINK("https://www.liputan6.com/lifestyle/read/4050486/teddy-quinlivan-model-transgender-pertama-yang-tampil-di-iklan-chanel ","sumber")</f>
        <v>sumber</v>
      </c>
      <c r="G285" s="117" t="str">
        <f t="shared" si="34"/>
        <v>lokasi</v>
      </c>
      <c r="H285" s="115">
        <v>360.0</v>
      </c>
      <c r="I285" s="118">
        <v>2.0</v>
      </c>
      <c r="J285" s="114">
        <v>3.0</v>
      </c>
      <c r="K285" s="119" t="s">
        <v>1604</v>
      </c>
      <c r="L285" s="114">
        <v>0.0</v>
      </c>
      <c r="M285" s="114">
        <v>0.0</v>
      </c>
      <c r="N285" s="120">
        <v>0.0</v>
      </c>
      <c r="O285" s="114">
        <v>0.0</v>
      </c>
      <c r="P285" s="114">
        <v>0.0</v>
      </c>
      <c r="Q285" s="114" t="s">
        <v>210</v>
      </c>
      <c r="R285" s="121" t="s">
        <v>192</v>
      </c>
      <c r="S285" s="114"/>
      <c r="T285" s="114">
        <v>0.0</v>
      </c>
      <c r="U285" s="114">
        <v>0.0</v>
      </c>
      <c r="V285" s="114">
        <v>0.0</v>
      </c>
      <c r="W285" s="122"/>
      <c r="X285" s="122"/>
      <c r="Y285" s="122"/>
    </row>
    <row r="286">
      <c r="A286" s="101">
        <v>1.0</v>
      </c>
      <c r="B286" s="96" t="s">
        <v>1605</v>
      </c>
      <c r="C286" s="33">
        <v>283.0</v>
      </c>
      <c r="D286" s="97">
        <v>9.0</v>
      </c>
      <c r="E286" s="98">
        <v>43709.0</v>
      </c>
      <c r="F286" s="35" t="str">
        <f>HYPERLINK("https://senggang.republika.co.id/berita/px4qyj19000/shawn-mendes-luncurkan-yayasan-amal ","sumber")</f>
        <v>sumber</v>
      </c>
      <c r="G286" s="35" t="str">
        <f t="shared" si="34"/>
        <v>lokasi</v>
      </c>
      <c r="H286" s="97">
        <v>246.0</v>
      </c>
      <c r="I286" s="99">
        <v>2.0</v>
      </c>
      <c r="J286" s="33">
        <v>3.0</v>
      </c>
      <c r="K286" s="102" t="s">
        <v>1606</v>
      </c>
      <c r="L286" s="33">
        <v>0.0</v>
      </c>
      <c r="M286" s="33">
        <v>0.0</v>
      </c>
      <c r="N286" s="37">
        <v>0.0</v>
      </c>
      <c r="O286" s="33">
        <v>0.0</v>
      </c>
      <c r="P286" s="33">
        <v>0.0</v>
      </c>
      <c r="Q286" s="33">
        <v>0.0</v>
      </c>
      <c r="R286" s="33">
        <v>1.0</v>
      </c>
      <c r="S286" s="33"/>
      <c r="T286" s="33">
        <v>0.0</v>
      </c>
      <c r="U286" s="33">
        <v>0.0</v>
      </c>
      <c r="V286" s="33">
        <v>1.0</v>
      </c>
      <c r="W286" s="36"/>
      <c r="X286" s="36"/>
      <c r="Y286" s="36"/>
    </row>
    <row r="287">
      <c r="A287" s="105">
        <v>2.0</v>
      </c>
      <c r="B287" s="106" t="s">
        <v>1607</v>
      </c>
      <c r="C287" s="40">
        <v>284.0</v>
      </c>
      <c r="D287" s="107">
        <v>9.0</v>
      </c>
      <c r="E287" s="108">
        <v>43710.0</v>
      </c>
      <c r="F287" s="42" t="str">
        <f>HYPERLINK("https://republika.co.id/berita/px6uls349/idola-para-generasi-sudahkah-beri-contoh-yang-baik ","sumber")</f>
        <v>sumber</v>
      </c>
      <c r="G287" s="40" t="s">
        <v>33</v>
      </c>
      <c r="H287" s="107">
        <v>441.0</v>
      </c>
      <c r="I287" s="123"/>
      <c r="J287" s="40">
        <v>3.0</v>
      </c>
      <c r="K287" s="124"/>
      <c r="L287" s="40"/>
      <c r="M287" s="40"/>
      <c r="N287" s="40"/>
      <c r="O287" s="40"/>
      <c r="P287" s="40"/>
      <c r="Q287" s="40"/>
      <c r="R287" s="111"/>
      <c r="S287" s="40"/>
      <c r="T287" s="41"/>
      <c r="U287" s="40"/>
      <c r="V287" s="40"/>
      <c r="W287" s="41"/>
      <c r="X287" s="41"/>
      <c r="Y287" s="41"/>
    </row>
    <row r="288">
      <c r="A288" s="105">
        <v>2.0</v>
      </c>
      <c r="B288" s="106" t="s">
        <v>69</v>
      </c>
      <c r="C288" s="40">
        <v>285.0</v>
      </c>
      <c r="D288" s="107">
        <v>1.0</v>
      </c>
      <c r="E288" s="108">
        <v>43734.0</v>
      </c>
      <c r="F288" s="42" t="str">
        <f>HYPERLINK("https://hot.detik.com/celeb/d-4722938/jelang-menikah-jennifer-lawrence-habiskan-waktu-dengan-sang-bunda ","sumber")</f>
        <v>sumber</v>
      </c>
      <c r="G288" s="40" t="s">
        <v>33</v>
      </c>
      <c r="H288" s="107">
        <v>1687.0</v>
      </c>
      <c r="I288" s="109"/>
      <c r="J288" s="40">
        <v>3.0</v>
      </c>
      <c r="K288" s="110"/>
      <c r="L288" s="41"/>
      <c r="M288" s="41"/>
      <c r="N288" s="41"/>
      <c r="O288" s="41"/>
      <c r="P288" s="41"/>
      <c r="Q288" s="40"/>
      <c r="R288" s="111"/>
      <c r="S288" s="40"/>
      <c r="T288" s="41"/>
      <c r="U288" s="41"/>
      <c r="V288" s="41"/>
      <c r="W288" s="41"/>
      <c r="X288" s="41"/>
      <c r="Y288" s="41"/>
    </row>
    <row r="289">
      <c r="A289" s="112">
        <v>1.0</v>
      </c>
      <c r="B289" s="125" t="s">
        <v>1608</v>
      </c>
      <c r="C289" s="114">
        <v>286.0</v>
      </c>
      <c r="D289" s="115">
        <v>6.0</v>
      </c>
      <c r="E289" s="116">
        <v>43473.0</v>
      </c>
      <c r="F289" s="117" t="str">
        <f>HYPERLINK("https://regional.kompas.com/read/2019/01/08/13343261/rektor-ugm-penuhi-panggilan-ombudsman-soal-kasus-dugaan-pelecehan-seksual ","sumber")</f>
        <v>sumber</v>
      </c>
      <c r="G289" s="117" t="str">
        <f t="shared" ref="G289:G305" si="35">HYPERLINK("https://drive.google.com/open?id=15K5sriRJOw0JTPqD9yRZzl0fwZcfdV8X","lokasi")</f>
        <v>lokasi</v>
      </c>
      <c r="H289" s="115">
        <v>362.0</v>
      </c>
      <c r="I289" s="118">
        <v>1.0</v>
      </c>
      <c r="J289" s="114">
        <v>1.0</v>
      </c>
      <c r="K289" s="119" t="s">
        <v>1609</v>
      </c>
      <c r="L289" s="114">
        <v>0.0</v>
      </c>
      <c r="M289" s="114">
        <v>-1.0</v>
      </c>
      <c r="N289" s="120">
        <v>0.0</v>
      </c>
      <c r="O289" s="114">
        <v>1.0</v>
      </c>
      <c r="P289" s="114">
        <v>0.0</v>
      </c>
      <c r="Q289" s="114">
        <v>0.0</v>
      </c>
      <c r="R289" s="121">
        <v>0.0</v>
      </c>
      <c r="S289" s="114"/>
      <c r="T289" s="114">
        <v>0.0</v>
      </c>
      <c r="U289" s="114">
        <v>0.0</v>
      </c>
      <c r="V289" s="114">
        <v>1.0</v>
      </c>
      <c r="W289" s="122"/>
      <c r="X289" s="122"/>
      <c r="Y289" s="122"/>
    </row>
    <row r="290">
      <c r="A290" s="101">
        <v>1.0</v>
      </c>
      <c r="B290" s="96" t="s">
        <v>1610</v>
      </c>
      <c r="C290" s="33">
        <v>287.0</v>
      </c>
      <c r="D290" s="97">
        <v>6.0</v>
      </c>
      <c r="E290" s="98">
        <v>43470.0</v>
      </c>
      <c r="F290" s="35" t="str">
        <f>HYPERLINK("https://regional.kompas.com/read/2019/01/05/19580821/polisi-sekali-kencan-dengan-artis-va-tarifnya-rp-80-juta ","sumber")</f>
        <v>sumber</v>
      </c>
      <c r="G290" s="35" t="str">
        <f t="shared" si="35"/>
        <v>lokasi</v>
      </c>
      <c r="H290" s="97">
        <v>149.0</v>
      </c>
      <c r="I290" s="99">
        <v>1.0</v>
      </c>
      <c r="J290" s="33">
        <v>1.0</v>
      </c>
      <c r="K290" s="102" t="s">
        <v>1611</v>
      </c>
      <c r="L290" s="33">
        <v>0.0</v>
      </c>
      <c r="M290" s="33">
        <v>-1.0</v>
      </c>
      <c r="N290" s="37">
        <v>0.0</v>
      </c>
      <c r="O290" s="33">
        <v>0.0</v>
      </c>
      <c r="P290" s="33">
        <v>0.0</v>
      </c>
      <c r="Q290" s="33">
        <v>0.0</v>
      </c>
      <c r="R290" s="33">
        <v>0.0</v>
      </c>
      <c r="S290" s="33"/>
      <c r="T290" s="33">
        <v>0.0</v>
      </c>
      <c r="U290" s="33">
        <v>0.0</v>
      </c>
      <c r="V290" s="33">
        <v>1.0</v>
      </c>
      <c r="W290" s="36"/>
      <c r="X290" s="36"/>
      <c r="Y290" s="36"/>
    </row>
    <row r="291">
      <c r="A291" s="101">
        <v>1.0</v>
      </c>
      <c r="B291" s="96" t="s">
        <v>1612</v>
      </c>
      <c r="C291" s="33">
        <v>288.0</v>
      </c>
      <c r="D291" s="97">
        <v>6.0</v>
      </c>
      <c r="E291" s="98">
        <v>43471.0</v>
      </c>
      <c r="F291" s="35" t="str">
        <f>HYPERLINK("https://entertainment.kompas.com/read/2019/01/06/112435410/polisi-sebut-pria-diduga-pemesan-artis-va-adalah-pengusaha ","sumber")</f>
        <v>sumber</v>
      </c>
      <c r="G291" s="35" t="str">
        <f t="shared" si="35"/>
        <v>lokasi</v>
      </c>
      <c r="H291" s="97">
        <v>276.0</v>
      </c>
      <c r="I291" s="99">
        <v>1.0</v>
      </c>
      <c r="J291" s="33">
        <v>1.0</v>
      </c>
      <c r="K291" s="102" t="s">
        <v>1613</v>
      </c>
      <c r="L291" s="33">
        <v>0.0</v>
      </c>
      <c r="M291" s="33">
        <v>-1.0</v>
      </c>
      <c r="N291" s="33">
        <v>-1.0</v>
      </c>
      <c r="O291" s="33">
        <v>0.0</v>
      </c>
      <c r="P291" s="33">
        <v>0.0</v>
      </c>
      <c r="Q291" s="33" t="s">
        <v>61</v>
      </c>
      <c r="R291" s="33" t="s">
        <v>685</v>
      </c>
      <c r="S291" s="33"/>
      <c r="T291" s="33">
        <v>0.0</v>
      </c>
      <c r="U291" s="33">
        <v>0.0</v>
      </c>
      <c r="V291" s="33">
        <v>0.0</v>
      </c>
      <c r="W291" s="36"/>
      <c r="X291" s="36"/>
      <c r="Y291" s="36"/>
    </row>
    <row r="292">
      <c r="A292" s="101">
        <v>1.0</v>
      </c>
      <c r="B292" s="96" t="s">
        <v>1614</v>
      </c>
      <c r="C292" s="33">
        <v>289.0</v>
      </c>
      <c r="D292" s="97">
        <v>1.0</v>
      </c>
      <c r="E292" s="98">
        <v>43472.0</v>
      </c>
      <c r="F292" s="35" t="str">
        <f>HYPERLINK("https://news.detik.com/berita-jawa-timur/d-4374329/bapak-bejat-perkosa-anak-kandung-hingga-hamil-6-bulan ","sumber")</f>
        <v>sumber</v>
      </c>
      <c r="G292" s="35" t="str">
        <f t="shared" si="35"/>
        <v>lokasi</v>
      </c>
      <c r="H292" s="97">
        <v>251.0</v>
      </c>
      <c r="I292" s="99">
        <v>1.0</v>
      </c>
      <c r="J292" s="33">
        <v>1.0</v>
      </c>
      <c r="K292" s="102" t="s">
        <v>1615</v>
      </c>
      <c r="L292" s="33">
        <v>0.0</v>
      </c>
      <c r="M292" s="33">
        <v>-1.0</v>
      </c>
      <c r="N292" s="37">
        <v>0.0</v>
      </c>
      <c r="O292" s="33">
        <v>-1.0</v>
      </c>
      <c r="P292" s="33">
        <v>0.0</v>
      </c>
      <c r="Q292" s="33" t="s">
        <v>61</v>
      </c>
      <c r="R292" s="33" t="s">
        <v>62</v>
      </c>
      <c r="S292" s="33"/>
      <c r="T292" s="33">
        <v>0.0</v>
      </c>
      <c r="U292" s="33">
        <v>0.0</v>
      </c>
      <c r="V292" s="33">
        <v>1.0</v>
      </c>
      <c r="W292" s="36"/>
      <c r="X292" s="36"/>
      <c r="Y292" s="36"/>
    </row>
    <row r="293">
      <c r="A293" s="101">
        <v>1.0</v>
      </c>
      <c r="B293" s="96" t="s">
        <v>1616</v>
      </c>
      <c r="C293" s="33">
        <v>290.0</v>
      </c>
      <c r="D293" s="97">
        <v>5.0</v>
      </c>
      <c r="E293" s="98">
        <v>43472.0</v>
      </c>
      <c r="F293" s="35" t="str">
        <f>HYPERLINK("https://tirto.id/kasus-pelecehan-seksual-dewas-bpjs-tk-tak-pecat-ra-ddxm ","sumber")</f>
        <v>sumber</v>
      </c>
      <c r="G293" s="35" t="str">
        <f t="shared" si="35"/>
        <v>lokasi</v>
      </c>
      <c r="H293" s="97">
        <v>271.0</v>
      </c>
      <c r="I293" s="99">
        <v>1.0</v>
      </c>
      <c r="J293" s="33">
        <v>1.0</v>
      </c>
      <c r="K293" s="102" t="s">
        <v>1617</v>
      </c>
      <c r="L293" s="33">
        <v>0.0</v>
      </c>
      <c r="M293" s="33">
        <v>1.0</v>
      </c>
      <c r="N293" s="37">
        <v>0.0</v>
      </c>
      <c r="O293" s="33">
        <v>1.0</v>
      </c>
      <c r="P293" s="33">
        <v>0.0</v>
      </c>
      <c r="Q293" s="33" t="s">
        <v>119</v>
      </c>
      <c r="R293" s="33" t="s">
        <v>173</v>
      </c>
      <c r="S293" s="33"/>
      <c r="T293" s="33">
        <v>0.0</v>
      </c>
      <c r="U293" s="33">
        <v>0.0</v>
      </c>
      <c r="V293" s="33">
        <v>1.0</v>
      </c>
      <c r="W293" s="36"/>
      <c r="X293" s="36"/>
      <c r="Y293" s="36"/>
    </row>
    <row r="294">
      <c r="A294" s="101">
        <v>1.0</v>
      </c>
      <c r="B294" s="96" t="s">
        <v>1618</v>
      </c>
      <c r="C294" s="33">
        <v>291.0</v>
      </c>
      <c r="D294" s="97">
        <v>8.0</v>
      </c>
      <c r="E294" s="98">
        <v>43474.0</v>
      </c>
      <c r="F294" s="35" t="str">
        <f>HYPERLINK("https://www.suara.com/entertainment/2019/01/09/150211/ramai-di-medsos-lagu-tentang-vanessa-angel-menjemput-rezeki ","sumber")</f>
        <v>sumber</v>
      </c>
      <c r="G294" s="35" t="str">
        <f t="shared" si="35"/>
        <v>lokasi</v>
      </c>
      <c r="H294" s="97">
        <v>148.0</v>
      </c>
      <c r="I294" s="99">
        <v>2.0</v>
      </c>
      <c r="J294" s="33">
        <v>1.0</v>
      </c>
      <c r="K294" s="33"/>
      <c r="L294" s="33">
        <v>0.0</v>
      </c>
      <c r="M294" s="33">
        <v>0.0</v>
      </c>
      <c r="N294" s="37">
        <v>0.0</v>
      </c>
      <c r="O294" s="33">
        <v>0.0</v>
      </c>
      <c r="P294" s="33">
        <v>0.0</v>
      </c>
      <c r="Q294" s="33"/>
      <c r="R294" s="33"/>
      <c r="S294" s="33"/>
      <c r="T294" s="33">
        <v>0.0</v>
      </c>
      <c r="U294" s="33">
        <v>-1.0</v>
      </c>
      <c r="V294" s="33">
        <v>0.0</v>
      </c>
      <c r="W294" s="36"/>
      <c r="X294" s="36"/>
      <c r="Y294" s="36"/>
    </row>
    <row r="295">
      <c r="A295" s="101">
        <v>1.0</v>
      </c>
      <c r="B295" s="96" t="s">
        <v>1619</v>
      </c>
      <c r="C295" s="33">
        <v>292.0</v>
      </c>
      <c r="D295" s="97">
        <v>3.0</v>
      </c>
      <c r="E295" s="98">
        <v>43476.0</v>
      </c>
      <c r="F295" s="35" t="str">
        <f>HYPERLINK("https://lifestyle.okezone.com/read/2019/01/10/196/2002819/saling-mengaku-korban-siapakah-korban-dalam-prostitusi-online-sesungguhnya ","sumber")</f>
        <v>sumber</v>
      </c>
      <c r="G295" s="35" t="str">
        <f t="shared" si="35"/>
        <v>lokasi</v>
      </c>
      <c r="H295" s="97">
        <v>516.0</v>
      </c>
      <c r="I295" s="99">
        <v>1.0</v>
      </c>
      <c r="J295" s="33">
        <v>1.0</v>
      </c>
      <c r="K295" s="102" t="s">
        <v>1620</v>
      </c>
      <c r="L295" s="33">
        <v>0.0</v>
      </c>
      <c r="M295" s="50">
        <v>0.0</v>
      </c>
      <c r="N295" s="37">
        <v>0.0</v>
      </c>
      <c r="O295" s="33">
        <v>0.0</v>
      </c>
      <c r="P295" s="33">
        <v>0.0</v>
      </c>
      <c r="Q295" s="33">
        <v>0.0</v>
      </c>
      <c r="R295" s="33">
        <v>1.0</v>
      </c>
      <c r="S295" s="33"/>
      <c r="T295" s="33">
        <v>0.0</v>
      </c>
      <c r="U295" s="33">
        <v>0.0</v>
      </c>
      <c r="V295" s="33">
        <v>1.0</v>
      </c>
      <c r="W295" s="36"/>
      <c r="X295" s="36"/>
      <c r="Y295" s="36"/>
    </row>
    <row r="296">
      <c r="A296" s="101">
        <v>1.0</v>
      </c>
      <c r="B296" s="96" t="s">
        <v>1621</v>
      </c>
      <c r="C296" s="33">
        <v>293.0</v>
      </c>
      <c r="D296" s="97">
        <v>4.0</v>
      </c>
      <c r="E296" s="98">
        <v>43479.0</v>
      </c>
      <c r="F296" s="35" t="str">
        <f>HYPERLINK("https://www.liputan6.com/showbiz/read/3870767/polda-jatim-kirim-surat-panggilan-kasus-dugaan-prostitusi-online-2-model-respons ","sumber")</f>
        <v>sumber</v>
      </c>
      <c r="G296" s="35" t="str">
        <f t="shared" si="35"/>
        <v>lokasi</v>
      </c>
      <c r="H296" s="97">
        <v>347.0</v>
      </c>
      <c r="I296" s="99">
        <v>1.0</v>
      </c>
      <c r="J296" s="33">
        <v>1.0</v>
      </c>
      <c r="K296" s="102" t="s">
        <v>1622</v>
      </c>
      <c r="L296" s="33">
        <v>0.0</v>
      </c>
      <c r="M296" s="33">
        <v>-1.0</v>
      </c>
      <c r="N296" s="37">
        <v>0.0</v>
      </c>
      <c r="O296" s="33">
        <v>0.0</v>
      </c>
      <c r="P296" s="33">
        <v>0.0</v>
      </c>
      <c r="Q296" s="33" t="s">
        <v>53</v>
      </c>
      <c r="R296" s="33" t="s">
        <v>451</v>
      </c>
      <c r="S296" s="33"/>
      <c r="T296" s="33">
        <v>0.0</v>
      </c>
      <c r="U296" s="33">
        <v>0.0</v>
      </c>
      <c r="V296" s="33">
        <v>1.0</v>
      </c>
      <c r="W296" s="36"/>
      <c r="X296" s="36"/>
      <c r="Y296" s="36"/>
    </row>
    <row r="297">
      <c r="A297" s="101">
        <v>1.0</v>
      </c>
      <c r="B297" s="96" t="s">
        <v>1623</v>
      </c>
      <c r="C297" s="33">
        <v>294.0</v>
      </c>
      <c r="D297" s="97">
        <v>1.0</v>
      </c>
      <c r="E297" s="98">
        <v>43481.0</v>
      </c>
      <c r="F297" s="35" t="str">
        <f>HYPERLINK("https://news.detik.com/abc-australia/d-4387010/peringkat-negara-dalam-penanganan-pelecehan-terhadap-anak-anak ","sumber")</f>
        <v>sumber</v>
      </c>
      <c r="G297" s="35" t="str">
        <f t="shared" si="35"/>
        <v>lokasi</v>
      </c>
      <c r="H297" s="97">
        <v>204.0</v>
      </c>
      <c r="I297" s="99">
        <v>5.0</v>
      </c>
      <c r="J297" s="33">
        <v>1.0</v>
      </c>
      <c r="K297" s="33"/>
      <c r="L297" s="33">
        <v>0.0</v>
      </c>
      <c r="M297" s="33">
        <v>0.0</v>
      </c>
      <c r="N297" s="37">
        <v>0.0</v>
      </c>
      <c r="O297" s="33">
        <v>0.0</v>
      </c>
      <c r="P297" s="33">
        <v>0.0</v>
      </c>
      <c r="Q297" s="33"/>
      <c r="R297" s="33"/>
      <c r="S297" s="33"/>
      <c r="T297" s="33">
        <v>0.0</v>
      </c>
      <c r="U297" s="33">
        <v>0.0</v>
      </c>
      <c r="V297" s="33">
        <v>1.0</v>
      </c>
      <c r="W297" s="36"/>
      <c r="X297" s="36"/>
      <c r="Y297" s="36"/>
    </row>
    <row r="298">
      <c r="A298" s="101">
        <v>1.0</v>
      </c>
      <c r="B298" s="96" t="s">
        <v>1624</v>
      </c>
      <c r="C298" s="33">
        <v>295.0</v>
      </c>
      <c r="D298" s="97">
        <v>4.0</v>
      </c>
      <c r="E298" s="98">
        <v>43485.0</v>
      </c>
      <c r="F298" s="35" t="str">
        <f>HYPERLINK("https://www.liputan6.com/showbiz/read/3875525/artis-va-lakukan-prostitusi-gara-gara-banyak-cicilan ","sumber")</f>
        <v>sumber</v>
      </c>
      <c r="G298" s="35" t="str">
        <f t="shared" si="35"/>
        <v>lokasi</v>
      </c>
      <c r="H298" s="97">
        <v>191.0</v>
      </c>
      <c r="I298" s="99">
        <v>1.0</v>
      </c>
      <c r="J298" s="33">
        <v>1.0</v>
      </c>
      <c r="K298" s="102" t="s">
        <v>1625</v>
      </c>
      <c r="L298" s="33">
        <v>0.0</v>
      </c>
      <c r="M298" s="33">
        <v>-1.0</v>
      </c>
      <c r="N298" s="37">
        <v>0.0</v>
      </c>
      <c r="O298" s="33">
        <v>0.0</v>
      </c>
      <c r="P298" s="33">
        <v>-1.0</v>
      </c>
      <c r="Q298" s="33">
        <v>0.0</v>
      </c>
      <c r="R298" s="33">
        <v>-1.0</v>
      </c>
      <c r="S298" s="33"/>
      <c r="T298" s="33">
        <v>0.0</v>
      </c>
      <c r="U298" s="33">
        <v>0.0</v>
      </c>
      <c r="V298" s="33">
        <v>0.0</v>
      </c>
      <c r="W298" s="36"/>
      <c r="X298" s="36"/>
      <c r="Y298" s="36"/>
    </row>
    <row r="299">
      <c r="A299" s="101">
        <v>1.0</v>
      </c>
      <c r="B299" s="96" t="s">
        <v>1626</v>
      </c>
      <c r="C299" s="33">
        <v>296.0</v>
      </c>
      <c r="D299" s="97">
        <v>10.0</v>
      </c>
      <c r="E299" s="98">
        <v>43488.0</v>
      </c>
      <c r="F299" s="35" t="str">
        <f>HYPERLINK("https://dunia.tempo.co/read/1167672/survei-sepertiga-staf-pbb-alami-pelecehan-seksual ","sumber")</f>
        <v>sumber</v>
      </c>
      <c r="G299" s="35" t="str">
        <f t="shared" si="35"/>
        <v>lokasi</v>
      </c>
      <c r="H299" s="97">
        <v>336.0</v>
      </c>
      <c r="I299" s="99">
        <v>5.0</v>
      </c>
      <c r="J299" s="33">
        <v>1.0</v>
      </c>
      <c r="K299" s="102" t="s">
        <v>1627</v>
      </c>
      <c r="L299" s="33">
        <v>0.0</v>
      </c>
      <c r="M299" s="33">
        <v>0.0</v>
      </c>
      <c r="N299" s="37">
        <v>0.0</v>
      </c>
      <c r="O299" s="33">
        <v>0.0</v>
      </c>
      <c r="P299" s="33">
        <v>0.0</v>
      </c>
      <c r="Q299" s="33">
        <v>0.0</v>
      </c>
      <c r="R299" s="33">
        <v>1.0</v>
      </c>
      <c r="S299" s="33"/>
      <c r="T299" s="33">
        <v>0.0</v>
      </c>
      <c r="U299" s="33">
        <v>0.0</v>
      </c>
      <c r="V299" s="33">
        <v>1.0</v>
      </c>
      <c r="W299" s="36"/>
      <c r="X299" s="36"/>
      <c r="Y299" s="36"/>
    </row>
    <row r="300">
      <c r="A300" s="101">
        <v>1.0</v>
      </c>
      <c r="B300" s="96" t="s">
        <v>1628</v>
      </c>
      <c r="C300" s="33">
        <v>297.0</v>
      </c>
      <c r="D300" s="97">
        <v>6.0</v>
      </c>
      <c r="E300" s="98">
        <v>43490.0</v>
      </c>
      <c r="F300" s="35" t="str">
        <f>HYPERLINK("https://entertainment.kompas.com/read/2019/01/25/093803910/chris-brown-gugat-balik-perempuan-yang-menuduhnya-memerkosa ","sumber")</f>
        <v>sumber</v>
      </c>
      <c r="G300" s="35" t="str">
        <f t="shared" si="35"/>
        <v>lokasi</v>
      </c>
      <c r="H300" s="97">
        <v>196.0</v>
      </c>
      <c r="I300" s="99">
        <v>1.0</v>
      </c>
      <c r="J300" s="33">
        <v>1.0</v>
      </c>
      <c r="K300" s="102" t="s">
        <v>1629</v>
      </c>
      <c r="L300" s="33">
        <v>0.0</v>
      </c>
      <c r="M300" s="33">
        <v>-1.0</v>
      </c>
      <c r="N300" s="37">
        <v>0.0</v>
      </c>
      <c r="O300" s="33">
        <v>0.0</v>
      </c>
      <c r="P300" s="33">
        <v>0.0</v>
      </c>
      <c r="Q300" s="33">
        <v>0.0</v>
      </c>
      <c r="R300" s="33">
        <v>-1.0</v>
      </c>
      <c r="S300" s="33"/>
      <c r="T300" s="33">
        <v>0.0</v>
      </c>
      <c r="U300" s="33">
        <v>0.0</v>
      </c>
      <c r="V300" s="33">
        <v>1.0</v>
      </c>
      <c r="W300" s="36"/>
      <c r="X300" s="36"/>
      <c r="Y300" s="36"/>
    </row>
    <row r="301">
      <c r="A301" s="101">
        <v>1.0</v>
      </c>
      <c r="B301" s="96" t="s">
        <v>1630</v>
      </c>
      <c r="C301" s="33">
        <v>298.0</v>
      </c>
      <c r="D301" s="97">
        <v>3.0</v>
      </c>
      <c r="E301" s="98">
        <v>43491.0</v>
      </c>
      <c r="F301" s="35" t="str">
        <f>HYPERLINK("https://news.okezone.com/read/2019/01/26/519/2009632/berkaca-kasus-vanessa-angel-perlu-revisi-uu-untuk-jerat-penikmat-bisnis-lendir ","sumber")</f>
        <v>sumber</v>
      </c>
      <c r="G301" s="35" t="str">
        <f t="shared" si="35"/>
        <v>lokasi</v>
      </c>
      <c r="H301" s="97">
        <v>349.0</v>
      </c>
      <c r="I301" s="99">
        <v>4.0</v>
      </c>
      <c r="J301" s="33">
        <v>1.0</v>
      </c>
      <c r="K301" s="102" t="s">
        <v>1631</v>
      </c>
      <c r="L301" s="33">
        <v>0.0</v>
      </c>
      <c r="M301" s="33">
        <v>0.0</v>
      </c>
      <c r="N301" s="37">
        <v>0.0</v>
      </c>
      <c r="O301" s="33">
        <v>0.0</v>
      </c>
      <c r="P301" s="33">
        <v>0.0</v>
      </c>
      <c r="Q301" s="33">
        <v>0.0</v>
      </c>
      <c r="R301" s="33">
        <v>1.0</v>
      </c>
      <c r="S301" s="33"/>
      <c r="T301" s="33">
        <v>0.0</v>
      </c>
      <c r="U301" s="33">
        <v>0.0</v>
      </c>
      <c r="V301" s="33">
        <v>1.0</v>
      </c>
      <c r="W301" s="36"/>
      <c r="X301" s="36"/>
      <c r="Y301" s="36"/>
    </row>
    <row r="302" ht="15.0" customHeight="1">
      <c r="A302" s="112">
        <v>1.0</v>
      </c>
      <c r="B302" s="125" t="s">
        <v>1632</v>
      </c>
      <c r="C302" s="114">
        <v>299.0</v>
      </c>
      <c r="D302" s="115">
        <v>10.0</v>
      </c>
      <c r="E302" s="116">
        <v>43475.0</v>
      </c>
      <c r="F302" s="117" t="str">
        <f>HYPERLINK("https://metro.tempo.co/read/1163531/djsn-bentuk-tim-panel-untuk-tangani-kasus-rizky-amelia ","sumber")</f>
        <v>sumber</v>
      </c>
      <c r="G302" s="117" t="str">
        <f t="shared" si="35"/>
        <v>lokasi</v>
      </c>
      <c r="H302" s="115">
        <v>338.0</v>
      </c>
      <c r="I302" s="118">
        <v>1.0</v>
      </c>
      <c r="J302" s="114">
        <v>1.0</v>
      </c>
      <c r="K302" s="119" t="s">
        <v>1633</v>
      </c>
      <c r="L302" s="114">
        <v>0.0</v>
      </c>
      <c r="M302" s="50">
        <v>0.0</v>
      </c>
      <c r="N302" s="120">
        <v>0.0</v>
      </c>
      <c r="O302" s="114">
        <v>1.0</v>
      </c>
      <c r="P302" s="114">
        <v>0.0</v>
      </c>
      <c r="Q302" s="114">
        <v>0.0</v>
      </c>
      <c r="R302" s="121">
        <v>0.0</v>
      </c>
      <c r="S302" s="114"/>
      <c r="T302" s="114">
        <v>0.0</v>
      </c>
      <c r="U302" s="114">
        <v>0.0</v>
      </c>
      <c r="V302" s="114">
        <v>1.0</v>
      </c>
      <c r="W302" s="122"/>
      <c r="X302" s="122"/>
      <c r="Y302" s="122"/>
    </row>
    <row r="303">
      <c r="A303" s="101">
        <v>1.0</v>
      </c>
      <c r="B303" s="96" t="s">
        <v>1634</v>
      </c>
      <c r="C303" s="33">
        <v>300.0</v>
      </c>
      <c r="D303" s="97">
        <v>8.0</v>
      </c>
      <c r="E303" s="98">
        <v>43499.0</v>
      </c>
      <c r="F303" s="35" t="str">
        <f>HYPERLINK("https://www.suara.com/entertainment/2019/02/03/154500/pengacara-masih-usahakan-penangguhan-penahanan-vanessa-angel ","sumber")</f>
        <v>sumber</v>
      </c>
      <c r="G303" s="35" t="str">
        <f t="shared" si="35"/>
        <v>lokasi</v>
      </c>
      <c r="H303" s="97">
        <v>259.0</v>
      </c>
      <c r="I303" s="99">
        <v>1.0</v>
      </c>
      <c r="J303" s="33">
        <v>1.0</v>
      </c>
      <c r="K303" s="102" t="s">
        <v>257</v>
      </c>
      <c r="L303" s="33">
        <v>0.0</v>
      </c>
      <c r="M303" s="33">
        <v>1.0</v>
      </c>
      <c r="N303" s="37">
        <v>0.0</v>
      </c>
      <c r="O303" s="33">
        <v>0.0</v>
      </c>
      <c r="P303" s="33">
        <v>0.0</v>
      </c>
      <c r="Q303" s="33">
        <v>2.0</v>
      </c>
      <c r="R303" s="33">
        <v>1.0</v>
      </c>
      <c r="S303" s="33"/>
      <c r="T303" s="33">
        <v>0.0</v>
      </c>
      <c r="U303" s="33">
        <v>0.0</v>
      </c>
      <c r="V303" s="33">
        <v>1.0</v>
      </c>
      <c r="W303" s="36"/>
      <c r="X303" s="36"/>
      <c r="Y303" s="36"/>
    </row>
    <row r="304">
      <c r="A304" s="101">
        <v>1.0</v>
      </c>
      <c r="B304" s="96" t="s">
        <v>1635</v>
      </c>
      <c r="C304" s="33">
        <v>301.0</v>
      </c>
      <c r="D304" s="97">
        <v>6.0</v>
      </c>
      <c r="E304" s="98">
        <v>43502.0</v>
      </c>
      <c r="F304" s="35" t="str">
        <f>HYPERLINK("https://nasional.kompas.com/read/2019/02/06/19222281/soal-ruu-pks-komnas-perempuan-harap-dpr-berdiskusi-dengan-korban-dan ","sumber")</f>
        <v>sumber</v>
      </c>
      <c r="G304" s="35" t="str">
        <f t="shared" si="35"/>
        <v>lokasi</v>
      </c>
      <c r="H304" s="97">
        <v>187.0</v>
      </c>
      <c r="I304" s="99">
        <v>4.0</v>
      </c>
      <c r="J304" s="33">
        <v>1.0</v>
      </c>
      <c r="K304" s="102" t="s">
        <v>1636</v>
      </c>
      <c r="L304" s="33">
        <v>0.0</v>
      </c>
      <c r="M304" s="33">
        <v>0.0</v>
      </c>
      <c r="N304" s="37">
        <v>0.0</v>
      </c>
      <c r="O304" s="33">
        <v>0.0</v>
      </c>
      <c r="P304" s="33">
        <v>0.0</v>
      </c>
      <c r="Q304" s="33">
        <v>1.0</v>
      </c>
      <c r="R304" s="33">
        <v>1.0</v>
      </c>
      <c r="S304" s="33"/>
      <c r="T304" s="33">
        <v>0.0</v>
      </c>
      <c r="U304" s="33">
        <v>0.0</v>
      </c>
      <c r="V304" s="33">
        <v>1.0</v>
      </c>
      <c r="W304" s="36"/>
      <c r="X304" s="36"/>
      <c r="Y304" s="36"/>
    </row>
    <row r="305">
      <c r="A305" s="101">
        <v>1.0</v>
      </c>
      <c r="B305" s="96" t="s">
        <v>1637</v>
      </c>
      <c r="C305" s="33">
        <v>302.0</v>
      </c>
      <c r="D305" s="97">
        <v>3.0</v>
      </c>
      <c r="E305" s="98">
        <v>43505.0</v>
      </c>
      <c r="F305" s="35" t="str">
        <f>HYPERLINK("https://news.okezone.com/read/2019/02/09/337/2015667/fakta-fakta-pasutri-yang-ajak-anaknya-threesome ","sumber")</f>
        <v>sumber</v>
      </c>
      <c r="G305" s="35" t="str">
        <f t="shared" si="35"/>
        <v>lokasi</v>
      </c>
      <c r="H305" s="97">
        <v>620.0</v>
      </c>
      <c r="I305" s="99">
        <v>1.0</v>
      </c>
      <c r="J305" s="33">
        <v>1.0</v>
      </c>
      <c r="K305" s="102" t="s">
        <v>1638</v>
      </c>
      <c r="L305" s="33">
        <v>0.0</v>
      </c>
      <c r="M305" s="33">
        <v>-1.0</v>
      </c>
      <c r="N305" s="37">
        <v>0.0</v>
      </c>
      <c r="O305" s="33">
        <v>-1.0</v>
      </c>
      <c r="P305" s="33">
        <v>-1.0</v>
      </c>
      <c r="Q305" s="33">
        <v>0.0</v>
      </c>
      <c r="R305" s="33">
        <v>0.0</v>
      </c>
      <c r="S305" s="33"/>
      <c r="T305" s="33">
        <v>0.0</v>
      </c>
      <c r="U305" s="33">
        <v>0.0</v>
      </c>
      <c r="V305" s="33">
        <v>1.0</v>
      </c>
      <c r="W305" s="36"/>
      <c r="X305" s="36"/>
      <c r="Y305" s="36"/>
    </row>
    <row r="306">
      <c r="A306" s="105">
        <v>2.0</v>
      </c>
      <c r="B306" s="106" t="s">
        <v>1639</v>
      </c>
      <c r="C306" s="40">
        <v>303.0</v>
      </c>
      <c r="D306" s="107">
        <v>4.0</v>
      </c>
      <c r="E306" s="108">
        <v>43506.0</v>
      </c>
      <c r="F306" s="42" t="str">
        <f>HYPERLINK("https://www.liputan6.com/global/read/3891598/horor-temuan-2-jasad-misterius-tanpa-kepala-di-pantai-thailand ","sumber")</f>
        <v>sumber</v>
      </c>
      <c r="G306" s="40" t="s">
        <v>33</v>
      </c>
      <c r="H306" s="107">
        <v>481.0</v>
      </c>
      <c r="I306" s="109"/>
      <c r="J306" s="40">
        <v>1.0</v>
      </c>
      <c r="K306" s="110"/>
      <c r="L306" s="41"/>
      <c r="M306" s="41"/>
      <c r="N306" s="41"/>
      <c r="O306" s="41"/>
      <c r="P306" s="41"/>
      <c r="Q306" s="40"/>
      <c r="R306" s="111"/>
      <c r="S306" s="40"/>
      <c r="T306" s="41"/>
      <c r="U306" s="41"/>
      <c r="V306" s="41"/>
      <c r="W306" s="41"/>
      <c r="X306" s="41"/>
      <c r="Y306" s="41"/>
    </row>
    <row r="307">
      <c r="A307" s="101">
        <v>1.0</v>
      </c>
      <c r="B307" s="96" t="s">
        <v>1640</v>
      </c>
      <c r="C307" s="33">
        <v>304.0</v>
      </c>
      <c r="D307" s="97">
        <v>6.0</v>
      </c>
      <c r="E307" s="98">
        <v>43515.0</v>
      </c>
      <c r="F307" s="35" t="str">
        <f>HYPERLINK("https://nasional.kompas.com/read/2019/02/19/21170041/korban-dugaan-pelecehan-seksual-dewas-bpjs-tk-harap-ruu-pks-segera-disahkan ","sumber")</f>
        <v>sumber</v>
      </c>
      <c r="G307" s="35" t="str">
        <f t="shared" ref="G307:G308" si="36">HYPERLINK("https://drive.google.com/open?id=15K5sriRJOw0JTPqD9yRZzl0fwZcfdV8X","lokasi")</f>
        <v>lokasi</v>
      </c>
      <c r="H307" s="97">
        <v>253.0</v>
      </c>
      <c r="I307" s="99">
        <v>4.0</v>
      </c>
      <c r="J307" s="33">
        <v>1.0</v>
      </c>
      <c r="K307" s="102" t="s">
        <v>1641</v>
      </c>
      <c r="L307" s="33">
        <v>0.0</v>
      </c>
      <c r="M307" s="33">
        <v>0.0</v>
      </c>
      <c r="N307" s="37">
        <v>0.0</v>
      </c>
      <c r="O307" s="33">
        <v>1.0</v>
      </c>
      <c r="P307" s="33">
        <v>-1.0</v>
      </c>
      <c r="Q307" s="33">
        <v>2.0</v>
      </c>
      <c r="R307" s="33">
        <v>1.0</v>
      </c>
      <c r="S307" s="33"/>
      <c r="T307" s="33">
        <v>0.0</v>
      </c>
      <c r="U307" s="33">
        <v>0.0</v>
      </c>
      <c r="V307" s="33">
        <v>1.0</v>
      </c>
      <c r="W307" s="36"/>
      <c r="X307" s="36"/>
      <c r="Y307" s="36"/>
    </row>
    <row r="308">
      <c r="A308" s="101">
        <v>1.0</v>
      </c>
      <c r="B308" s="96" t="s">
        <v>1642</v>
      </c>
      <c r="C308" s="33">
        <v>305.0</v>
      </c>
      <c r="D308" s="97">
        <v>5.0</v>
      </c>
      <c r="E308" s="98">
        <v>43517.0</v>
      </c>
      <c r="F308" s="35" t="str">
        <f>HYPERLINK("https://tirto.id/lbh-apik-uu-ite-jadi-celah-kriminalisasi-korban-kekerasan-seksual-dhuJ ","sumber")</f>
        <v>sumber</v>
      </c>
      <c r="G308" s="35" t="str">
        <f t="shared" si="36"/>
        <v>lokasi</v>
      </c>
      <c r="H308" s="97">
        <v>256.0</v>
      </c>
      <c r="I308" s="99">
        <v>4.0</v>
      </c>
      <c r="J308" s="33">
        <v>1.0</v>
      </c>
      <c r="K308" s="102" t="s">
        <v>1643</v>
      </c>
      <c r="L308" s="33">
        <v>0.0</v>
      </c>
      <c r="M308" s="33">
        <v>0.0</v>
      </c>
      <c r="N308" s="37">
        <v>0.0</v>
      </c>
      <c r="O308" s="33">
        <v>0.0</v>
      </c>
      <c r="P308" s="33">
        <v>0.0</v>
      </c>
      <c r="Q308" s="33">
        <v>1.0</v>
      </c>
      <c r="R308" s="33">
        <v>1.0</v>
      </c>
      <c r="S308" s="33"/>
      <c r="T308" s="33">
        <v>0.0</v>
      </c>
      <c r="U308" s="33">
        <v>0.0</v>
      </c>
      <c r="V308" s="33">
        <v>1.0</v>
      </c>
      <c r="W308" s="36"/>
      <c r="X308" s="36"/>
      <c r="Y308" s="36"/>
    </row>
    <row r="309">
      <c r="A309" s="105">
        <v>2.0</v>
      </c>
      <c r="B309" s="106" t="s">
        <v>1644</v>
      </c>
      <c r="C309" s="40">
        <v>306.0</v>
      </c>
      <c r="D309" s="107">
        <v>4.0</v>
      </c>
      <c r="E309" s="108">
        <v>43518.0</v>
      </c>
      <c r="F309" s="42" t="str">
        <f>HYPERLINK("https://www.liputan6.com/regional/read/3901149/pagupon-mbah-pon-pembelajaran-etika-lewat-bahasa-jawa ","sumber")</f>
        <v>sumber</v>
      </c>
      <c r="G309" s="40" t="s">
        <v>33</v>
      </c>
      <c r="H309" s="107">
        <v>955.0</v>
      </c>
      <c r="I309" s="109"/>
      <c r="J309" s="40">
        <v>1.0</v>
      </c>
      <c r="K309" s="110"/>
      <c r="L309" s="41"/>
      <c r="M309" s="41"/>
      <c r="N309" s="41"/>
      <c r="O309" s="41"/>
      <c r="P309" s="41"/>
      <c r="Q309" s="40"/>
      <c r="R309" s="111"/>
      <c r="S309" s="40"/>
      <c r="T309" s="41"/>
      <c r="U309" s="41"/>
      <c r="V309" s="41"/>
      <c r="W309" s="41"/>
      <c r="X309" s="41"/>
      <c r="Y309" s="41"/>
    </row>
    <row r="310">
      <c r="A310" s="101">
        <v>1.0</v>
      </c>
      <c r="B310" s="96" t="s">
        <v>1645</v>
      </c>
      <c r="C310" s="33">
        <v>307.0</v>
      </c>
      <c r="D310" s="97">
        <v>2.0</v>
      </c>
      <c r="E310" s="98">
        <v>43520.0</v>
      </c>
      <c r="F310" s="35" t="str">
        <f>HYPERLINK("https://www.cnnindonesia.com/hiburan/20190224115921-234-372164/kasus-pelecehan-seksual-r-kelly-dituntut-jaminan-rp14-miliar ","sumber")</f>
        <v>sumber</v>
      </c>
      <c r="G310" s="35" t="str">
        <f t="shared" ref="G310:G311" si="37">HYPERLINK("https://drive.google.com/open?id=15K5sriRJOw0JTPqD9yRZzl0fwZcfdV8X","lokasi")</f>
        <v>lokasi</v>
      </c>
      <c r="H310" s="97">
        <v>371.0</v>
      </c>
      <c r="I310" s="99">
        <v>1.0</v>
      </c>
      <c r="J310" s="33">
        <v>1.0</v>
      </c>
      <c r="K310" s="102" t="s">
        <v>1646</v>
      </c>
      <c r="L310" s="33">
        <v>0.0</v>
      </c>
      <c r="M310" s="33">
        <v>-1.0</v>
      </c>
      <c r="N310" s="37">
        <v>0.0</v>
      </c>
      <c r="O310" s="33">
        <v>0.0</v>
      </c>
      <c r="P310" s="33">
        <v>0.0</v>
      </c>
      <c r="Q310" s="33">
        <v>0.0</v>
      </c>
      <c r="R310" s="33">
        <v>-1.0</v>
      </c>
      <c r="S310" s="33"/>
      <c r="T310" s="33">
        <v>0.0</v>
      </c>
      <c r="U310" s="33">
        <v>0.0</v>
      </c>
      <c r="V310" s="33">
        <v>1.0</v>
      </c>
      <c r="W310" s="36"/>
      <c r="X310" s="36"/>
      <c r="Y310" s="36"/>
    </row>
    <row r="311">
      <c r="A311" s="101">
        <v>1.0</v>
      </c>
      <c r="B311" s="96" t="s">
        <v>1647</v>
      </c>
      <c r="C311" s="33">
        <v>308.0</v>
      </c>
      <c r="D311" s="97">
        <v>7.0</v>
      </c>
      <c r="E311" s="98">
        <v>43521.0</v>
      </c>
      <c r="F311" s="35" t="str">
        <f>HYPERLINK("http://www.tribunnews.com/regional/2019/02/25/fakta-baru-pemerkosaan-bidan-yl-pria-yang-dipaksa-mengaku-pemerkosa-diduga-dianiaya-oknum-polisi ","sumber")</f>
        <v>sumber</v>
      </c>
      <c r="G311" s="35" t="str">
        <f t="shared" si="37"/>
        <v>lokasi</v>
      </c>
      <c r="H311" s="97">
        <v>152.0</v>
      </c>
      <c r="I311" s="99">
        <v>1.0</v>
      </c>
      <c r="J311" s="33">
        <v>1.0</v>
      </c>
      <c r="K311" s="102" t="s">
        <v>1648</v>
      </c>
      <c r="L311" s="33">
        <v>0.0</v>
      </c>
      <c r="M311" s="50">
        <v>0.0</v>
      </c>
      <c r="N311" s="37">
        <v>0.0</v>
      </c>
      <c r="O311" s="33">
        <v>1.0</v>
      </c>
      <c r="P311" s="33">
        <v>0.0</v>
      </c>
      <c r="Q311" s="33" t="s">
        <v>61</v>
      </c>
      <c r="R311" s="33" t="s">
        <v>61</v>
      </c>
      <c r="S311" s="33"/>
      <c r="T311" s="33">
        <v>0.0</v>
      </c>
      <c r="U311" s="33">
        <v>0.0</v>
      </c>
      <c r="V311" s="33">
        <v>1.0</v>
      </c>
      <c r="W311" s="36"/>
      <c r="X311" s="36"/>
      <c r="Y311" s="36"/>
    </row>
    <row r="312">
      <c r="A312" s="105">
        <v>2.0</v>
      </c>
      <c r="B312" s="106" t="s">
        <v>1649</v>
      </c>
      <c r="C312" s="40">
        <v>309.0</v>
      </c>
      <c r="D312" s="107">
        <v>3.0</v>
      </c>
      <c r="E312" s="108">
        <v>43530.0</v>
      </c>
      <c r="F312" s="42" t="str">
        <f>HYPERLINK("https://celebrity.okezone.com/read/2019/03/06/33/2026702/sempat-dekat-della-perez-akui-diego-michiels-ingin-menikah ","sumber")</f>
        <v>sumber</v>
      </c>
      <c r="G312" s="40" t="s">
        <v>33</v>
      </c>
      <c r="H312" s="107">
        <v>307.0</v>
      </c>
      <c r="I312" s="109"/>
      <c r="J312" s="40">
        <v>1.0</v>
      </c>
      <c r="K312" s="110"/>
      <c r="L312" s="41"/>
      <c r="M312" s="41"/>
      <c r="N312" s="41"/>
      <c r="O312" s="41"/>
      <c r="P312" s="41"/>
      <c r="Q312" s="40"/>
      <c r="R312" s="111"/>
      <c r="S312" s="40"/>
      <c r="T312" s="41"/>
      <c r="U312" s="41"/>
      <c r="V312" s="41"/>
      <c r="W312" s="41"/>
      <c r="X312" s="41"/>
      <c r="Y312" s="41"/>
    </row>
    <row r="313">
      <c r="A313" s="101">
        <v>1.0</v>
      </c>
      <c r="B313" s="96" t="s">
        <v>1650</v>
      </c>
      <c r="C313" s="33">
        <v>310.0</v>
      </c>
      <c r="D313" s="97">
        <v>10.0</v>
      </c>
      <c r="E313" s="98">
        <v>43535.0</v>
      </c>
      <c r="F313" s="35" t="str">
        <f>HYPERLINK("https://seleb.tempo.co/read/1184116/terlibat-prostitusi-seungri-bigbang-mundur-dari-industri-hiburan ","sumber")</f>
        <v>sumber</v>
      </c>
      <c r="G313" s="35" t="str">
        <f t="shared" ref="G313:G316" si="38">HYPERLINK("https://drive.google.com/open?id=15K5sriRJOw0JTPqD9yRZzl0fwZcfdV8X","lokasi")</f>
        <v>lokasi</v>
      </c>
      <c r="H313" s="97">
        <v>487.0</v>
      </c>
      <c r="I313" s="99">
        <v>1.0</v>
      </c>
      <c r="J313" s="33">
        <v>1.0</v>
      </c>
      <c r="K313" s="102" t="s">
        <v>1651</v>
      </c>
      <c r="L313" s="33">
        <v>0.0</v>
      </c>
      <c r="M313" s="50">
        <v>0.0</v>
      </c>
      <c r="N313" s="37">
        <v>0.0</v>
      </c>
      <c r="O313" s="33">
        <v>0.0</v>
      </c>
      <c r="P313" s="33">
        <v>0.0</v>
      </c>
      <c r="Q313" s="33">
        <v>0.0</v>
      </c>
      <c r="R313" s="33">
        <v>-1.0</v>
      </c>
      <c r="S313" s="33"/>
      <c r="T313" s="33">
        <v>0.0</v>
      </c>
      <c r="U313" s="33">
        <v>0.0</v>
      </c>
      <c r="V313" s="33">
        <v>1.0</v>
      </c>
      <c r="W313" s="36"/>
      <c r="X313" s="36"/>
      <c r="Y313" s="36"/>
    </row>
    <row r="314">
      <c r="A314" s="101">
        <v>1.0</v>
      </c>
      <c r="B314" s="96" t="s">
        <v>1652</v>
      </c>
      <c r="C314" s="33">
        <v>311.0</v>
      </c>
      <c r="D314" s="97">
        <v>5.0</v>
      </c>
      <c r="E314" s="98">
        <v>43536.0</v>
      </c>
      <c r="F314" s="35" t="str">
        <f>HYPERLINK("https://tirto.id/ruu-pks-tengku-zulkarnain-cabut-tuduhan-ke-pemerintah-djc9 ","sumber")</f>
        <v>sumber</v>
      </c>
      <c r="G314" s="35" t="str">
        <f t="shared" si="38"/>
        <v>lokasi</v>
      </c>
      <c r="H314" s="97">
        <v>335.0</v>
      </c>
      <c r="I314" s="99">
        <v>4.0</v>
      </c>
      <c r="J314" s="33">
        <v>1.0</v>
      </c>
      <c r="K314" s="102" t="s">
        <v>1653</v>
      </c>
      <c r="L314" s="33">
        <v>0.0</v>
      </c>
      <c r="M314" s="33">
        <v>0.0</v>
      </c>
      <c r="N314" s="37">
        <v>0.0</v>
      </c>
      <c r="O314" s="33">
        <v>0.0</v>
      </c>
      <c r="P314" s="33">
        <v>0.0</v>
      </c>
      <c r="Q314" s="33">
        <v>0.0</v>
      </c>
      <c r="R314" s="33">
        <v>0.0</v>
      </c>
      <c r="S314" s="33"/>
      <c r="T314" s="33">
        <v>0.0</v>
      </c>
      <c r="U314" s="33">
        <v>0.0</v>
      </c>
      <c r="V314" s="33">
        <v>1.0</v>
      </c>
      <c r="W314" s="36"/>
      <c r="X314" s="36"/>
      <c r="Y314" s="36"/>
    </row>
    <row r="315">
      <c r="A315" s="101">
        <v>1.0</v>
      </c>
      <c r="B315" s="96" t="s">
        <v>1654</v>
      </c>
      <c r="C315" s="33">
        <v>312.0</v>
      </c>
      <c r="D315" s="97">
        <v>3.0</v>
      </c>
      <c r="E315" s="98">
        <v>43541.0</v>
      </c>
      <c r="F315" s="35" t="str">
        <f>HYPERLINK("https://celebrity.okezone.com/read/2019/03/16/206/2030959/james-gunn-kembali-sutradarai-guardians-of-the-galaxy-vol-3 ","sumber")</f>
        <v>sumber</v>
      </c>
      <c r="G315" s="35" t="str">
        <f t="shared" si="38"/>
        <v>lokasi</v>
      </c>
      <c r="H315" s="97">
        <v>282.0</v>
      </c>
      <c r="I315" s="99">
        <v>2.0</v>
      </c>
      <c r="J315" s="33">
        <v>1.0</v>
      </c>
      <c r="K315" s="33"/>
      <c r="L315" s="33">
        <v>0.0</v>
      </c>
      <c r="M315" s="33">
        <v>0.0</v>
      </c>
      <c r="N315" s="37">
        <v>0.0</v>
      </c>
      <c r="O315" s="33">
        <v>0.0</v>
      </c>
      <c r="P315" s="33">
        <v>0.0</v>
      </c>
      <c r="Q315" s="33"/>
      <c r="R315" s="33"/>
      <c r="S315" s="33"/>
      <c r="T315" s="33">
        <v>0.0</v>
      </c>
      <c r="U315" s="33">
        <v>0.0</v>
      </c>
      <c r="V315" s="33">
        <v>1.0</v>
      </c>
      <c r="W315" s="36"/>
      <c r="X315" s="36"/>
      <c r="Y315" s="36"/>
    </row>
    <row r="316">
      <c r="A316" s="101">
        <v>1.0</v>
      </c>
      <c r="B316" s="96" t="s">
        <v>1655</v>
      </c>
      <c r="C316" s="33">
        <v>313.0</v>
      </c>
      <c r="D316" s="97">
        <v>3.0</v>
      </c>
      <c r="E316" s="98">
        <v>43542.0</v>
      </c>
      <c r="F316" s="35" t="str">
        <f>HYPERLINK("https://celebrity.okezone.com/read/2019/03/18/33/2031471/imbas-kasus-prostitusi-31-selebriti-korea-akhiri-hubungan-dengan-jung-joon-young ","sumber")</f>
        <v>sumber</v>
      </c>
      <c r="G316" s="35" t="str">
        <f t="shared" si="38"/>
        <v>lokasi</v>
      </c>
      <c r="H316" s="97">
        <v>443.0</v>
      </c>
      <c r="I316" s="99">
        <v>1.0</v>
      </c>
      <c r="J316" s="33">
        <v>1.0</v>
      </c>
      <c r="K316" s="33"/>
      <c r="L316" s="33">
        <v>0.0</v>
      </c>
      <c r="M316" s="50">
        <v>0.0</v>
      </c>
      <c r="N316" s="37">
        <v>0.0</v>
      </c>
      <c r="O316" s="33">
        <v>0.0</v>
      </c>
      <c r="P316" s="33">
        <v>0.0</v>
      </c>
      <c r="Q316" s="33"/>
      <c r="R316" s="33"/>
      <c r="S316" s="33"/>
      <c r="T316" s="33">
        <v>0.0</v>
      </c>
      <c r="U316" s="33">
        <v>0.0</v>
      </c>
      <c r="V316" s="33">
        <v>1.0</v>
      </c>
      <c r="W316" s="36"/>
      <c r="X316" s="36"/>
      <c r="Y316" s="36"/>
    </row>
    <row r="317" ht="15.0" customHeight="1">
      <c r="A317" s="105">
        <v>2.0</v>
      </c>
      <c r="B317" s="106" t="s">
        <v>1656</v>
      </c>
      <c r="C317" s="40">
        <v>314.0</v>
      </c>
      <c r="D317" s="107">
        <v>9.0</v>
      </c>
      <c r="E317" s="108">
        <v>43544.0</v>
      </c>
      <c r="F317" s="42" t="str">
        <f>HYPERLINK("https://internasional.republika.co.id/berita/internasional/asia/poo96i320/nestapa-anakanak-afghanistan-di-tengah-bencana-perang ","sumber")</f>
        <v>sumber</v>
      </c>
      <c r="G317" s="40" t="s">
        <v>33</v>
      </c>
      <c r="H317" s="107">
        <v>504.0</v>
      </c>
      <c r="I317" s="109"/>
      <c r="J317" s="40">
        <v>1.0</v>
      </c>
      <c r="K317" s="110"/>
      <c r="L317" s="41"/>
      <c r="M317" s="41"/>
      <c r="N317" s="41"/>
      <c r="O317" s="41"/>
      <c r="P317" s="41"/>
      <c r="Q317" s="40"/>
      <c r="R317" s="111"/>
      <c r="S317" s="40"/>
      <c r="T317" s="41"/>
      <c r="U317" s="41"/>
      <c r="V317" s="41"/>
      <c r="W317" s="41"/>
      <c r="X317" s="41"/>
      <c r="Y317" s="41"/>
    </row>
    <row r="318">
      <c r="A318" s="101">
        <v>1.0</v>
      </c>
      <c r="B318" s="96" t="s">
        <v>1657</v>
      </c>
      <c r="C318" s="33">
        <v>315.0</v>
      </c>
      <c r="D318" s="97">
        <v>6.0</v>
      </c>
      <c r="E318" s="98">
        <v>43548.0</v>
      </c>
      <c r="F318" s="35" t="str">
        <f>HYPERLINK("https://regional.kompas.com/read/2019/03/24/21405571/diperkosa-berulang-selama-1-tahun-siswi-smp-laporkan-ayah-ke-polisi ","sumber")</f>
        <v>sumber</v>
      </c>
      <c r="G318" s="35" t="str">
        <f t="shared" ref="G318:G320" si="39">HYPERLINK("https://drive.google.com/open?id=15K5sriRJOw0JTPqD9yRZzl0fwZcfdV8X","lokasi")</f>
        <v>lokasi</v>
      </c>
      <c r="H318" s="97">
        <v>202.0</v>
      </c>
      <c r="I318" s="99">
        <v>1.0</v>
      </c>
      <c r="J318" s="33">
        <v>1.0</v>
      </c>
      <c r="K318" s="102" t="s">
        <v>1658</v>
      </c>
      <c r="L318" s="33">
        <v>0.0</v>
      </c>
      <c r="M318" s="33">
        <v>-1.0</v>
      </c>
      <c r="N318" s="37">
        <v>0.0</v>
      </c>
      <c r="O318" s="33">
        <v>-1.0</v>
      </c>
      <c r="P318" s="33">
        <v>0.0</v>
      </c>
      <c r="Q318" s="33">
        <v>0.0</v>
      </c>
      <c r="R318" s="33">
        <v>-1.0</v>
      </c>
      <c r="S318" s="33"/>
      <c r="T318" s="33">
        <v>0.0</v>
      </c>
      <c r="U318" s="33">
        <v>0.0</v>
      </c>
      <c r="V318" s="33">
        <v>1.0</v>
      </c>
      <c r="W318" s="36"/>
      <c r="X318" s="36"/>
      <c r="Y318" s="36"/>
    </row>
    <row r="319">
      <c r="A319" s="101">
        <v>1.0</v>
      </c>
      <c r="B319" s="96" t="s">
        <v>1659</v>
      </c>
      <c r="C319" s="33">
        <v>316.0</v>
      </c>
      <c r="D319" s="97">
        <v>8.0</v>
      </c>
      <c r="E319" s="98">
        <v>43554.0</v>
      </c>
      <c r="F319" s="35" t="str">
        <f>HYPERLINK("https://www.suara.com/news/2019/03/30/194144/siswi-sma-diperkosa-selama-disekap-3-hari-di-rumah-kosong ","sumber")</f>
        <v>sumber</v>
      </c>
      <c r="G319" s="35" t="str">
        <f t="shared" si="39"/>
        <v>lokasi</v>
      </c>
      <c r="H319" s="97">
        <v>250.0</v>
      </c>
      <c r="I319" s="99">
        <v>1.0</v>
      </c>
      <c r="J319" s="33">
        <v>1.0</v>
      </c>
      <c r="K319" s="102" t="s">
        <v>1660</v>
      </c>
      <c r="L319" s="33">
        <v>0.0</v>
      </c>
      <c r="M319" s="33">
        <v>-1.0</v>
      </c>
      <c r="N319" s="37">
        <v>0.0</v>
      </c>
      <c r="O319" s="33">
        <v>1.0</v>
      </c>
      <c r="P319" s="33">
        <v>0.0</v>
      </c>
      <c r="Q319" s="33">
        <v>0.0</v>
      </c>
      <c r="R319" s="33">
        <v>-1.0</v>
      </c>
      <c r="S319" s="33" t="s">
        <v>1661</v>
      </c>
      <c r="T319" s="33">
        <v>1.0</v>
      </c>
      <c r="U319" s="33">
        <v>0.0</v>
      </c>
      <c r="V319" s="33">
        <v>1.0</v>
      </c>
      <c r="W319" s="36"/>
      <c r="X319" s="36"/>
      <c r="Y319" s="36"/>
    </row>
    <row r="320">
      <c r="A320" s="101">
        <v>1.0</v>
      </c>
      <c r="B320" s="96" t="s">
        <v>1662</v>
      </c>
      <c r="C320" s="33">
        <v>317.0</v>
      </c>
      <c r="D320" s="97">
        <v>1.0</v>
      </c>
      <c r="E320" s="98">
        <v>43556.0</v>
      </c>
      <c r="F320" s="35" t="str">
        <f>HYPERLINK("https://news.detik.com/berita-jawa-timur/d-4492536/vanessa-angel-jadi-saksi-di-sidang-muncikari ","sumber")</f>
        <v>sumber</v>
      </c>
      <c r="G320" s="35" t="str">
        <f t="shared" si="39"/>
        <v>lokasi</v>
      </c>
      <c r="H320" s="97">
        <v>141.0</v>
      </c>
      <c r="I320" s="99">
        <v>1.0</v>
      </c>
      <c r="J320" s="33">
        <v>1.0</v>
      </c>
      <c r="K320" s="102" t="s">
        <v>1663</v>
      </c>
      <c r="L320" s="33">
        <v>0.0</v>
      </c>
      <c r="M320" s="50">
        <v>0.0</v>
      </c>
      <c r="N320" s="37">
        <v>0.0</v>
      </c>
      <c r="O320" s="33">
        <v>0.0</v>
      </c>
      <c r="P320" s="33">
        <v>0.0</v>
      </c>
      <c r="Q320" s="33">
        <v>0.0</v>
      </c>
      <c r="R320" s="33">
        <v>0.0</v>
      </c>
      <c r="S320" s="33"/>
      <c r="T320" s="33">
        <v>0.0</v>
      </c>
      <c r="U320" s="33">
        <v>0.0</v>
      </c>
      <c r="V320" s="33">
        <v>1.0</v>
      </c>
      <c r="W320" s="36"/>
      <c r="X320" s="36"/>
      <c r="Y320" s="36"/>
    </row>
    <row r="321">
      <c r="A321" s="105">
        <v>2.0</v>
      </c>
      <c r="B321" s="106" t="s">
        <v>1664</v>
      </c>
      <c r="C321" s="40">
        <v>318.0</v>
      </c>
      <c r="D321" s="107">
        <v>4.0</v>
      </c>
      <c r="E321" s="108">
        <v>43558.0</v>
      </c>
      <c r="F321" s="42" t="str">
        <f>HYPERLINK("https://www.liputan6.com/global/read/3933018/usai-terapkan-hukum-syariah-sultan-brunei-imbau-warga-perkuat-ajaran-islam ","sumber")</f>
        <v>sumber</v>
      </c>
      <c r="G321" s="40" t="s">
        <v>33</v>
      </c>
      <c r="H321" s="107">
        <v>539.0</v>
      </c>
      <c r="I321" s="109"/>
      <c r="J321" s="40">
        <v>1.0</v>
      </c>
      <c r="K321" s="110"/>
      <c r="L321" s="41"/>
      <c r="M321" s="41"/>
      <c r="N321" s="41"/>
      <c r="O321" s="41"/>
      <c r="P321" s="41"/>
      <c r="Q321" s="40"/>
      <c r="R321" s="111"/>
      <c r="S321" s="40"/>
      <c r="T321" s="41"/>
      <c r="U321" s="41"/>
      <c r="V321" s="41"/>
      <c r="W321" s="41"/>
      <c r="X321" s="41"/>
      <c r="Y321" s="41"/>
    </row>
    <row r="322">
      <c r="A322" s="101">
        <v>1.0</v>
      </c>
      <c r="B322" s="96" t="s">
        <v>1665</v>
      </c>
      <c r="C322" s="33">
        <v>319.0</v>
      </c>
      <c r="D322" s="97">
        <v>10.0</v>
      </c>
      <c r="E322" s="98">
        <v>43560.0</v>
      </c>
      <c r="F322" s="35" t="str">
        <f>HYPERLINK("https://seleb.tempo.co/read/1192778/jaksa-vanessa-angel-pernah-diajak-makan-malam-dengan-menteri ","sumber")</f>
        <v>sumber</v>
      </c>
      <c r="G322" s="35" t="str">
        <f t="shared" ref="G322:G323" si="40">HYPERLINK("https://drive.google.com/open?id=15K5sriRJOw0JTPqD9yRZzl0fwZcfdV8X","lokasi")</f>
        <v>lokasi</v>
      </c>
      <c r="H322" s="97">
        <v>175.0</v>
      </c>
      <c r="I322" s="99">
        <v>2.0</v>
      </c>
      <c r="J322" s="33">
        <v>1.0</v>
      </c>
      <c r="K322" s="102" t="s">
        <v>1666</v>
      </c>
      <c r="L322" s="33">
        <v>0.0</v>
      </c>
      <c r="M322" s="33">
        <v>0.0</v>
      </c>
      <c r="N322" s="37">
        <v>0.0</v>
      </c>
      <c r="O322" s="33">
        <v>0.0</v>
      </c>
      <c r="P322" s="33">
        <v>0.0</v>
      </c>
      <c r="Q322" s="33">
        <v>0.0</v>
      </c>
      <c r="R322" s="33">
        <v>0.0</v>
      </c>
      <c r="S322" s="33"/>
      <c r="T322" s="33">
        <v>0.0</v>
      </c>
      <c r="U322" s="33">
        <v>0.0</v>
      </c>
      <c r="V322" s="33">
        <v>1.0</v>
      </c>
      <c r="W322" s="36"/>
      <c r="X322" s="36"/>
      <c r="Y322" s="36"/>
    </row>
    <row r="323">
      <c r="A323" s="112">
        <v>1.0</v>
      </c>
      <c r="B323" s="125" t="s">
        <v>1667</v>
      </c>
      <c r="C323" s="114">
        <v>320.0</v>
      </c>
      <c r="D323" s="115">
        <v>9.0</v>
      </c>
      <c r="E323" s="116">
        <v>43575.0</v>
      </c>
      <c r="F323" s="117" t="str">
        <f>HYPERLINK("https://nasional.republika.co.id/berita/nasional/daerah/pq9pwu349/tersangka-pembunuh-istri-di-maluku-terancam-15-tahun-penjara ","sumber")</f>
        <v>sumber</v>
      </c>
      <c r="G323" s="117" t="str">
        <f t="shared" si="40"/>
        <v>lokasi</v>
      </c>
      <c r="H323" s="115">
        <v>300.0</v>
      </c>
      <c r="I323" s="118">
        <v>1.0</v>
      </c>
      <c r="J323" s="114">
        <v>1.0</v>
      </c>
      <c r="K323" s="119" t="s">
        <v>1668</v>
      </c>
      <c r="L323" s="114">
        <v>0.0</v>
      </c>
      <c r="M323" s="50">
        <v>0.0</v>
      </c>
      <c r="N323" s="120">
        <v>0.0</v>
      </c>
      <c r="O323" s="114">
        <v>0.0</v>
      </c>
      <c r="P323" s="114">
        <v>0.0</v>
      </c>
      <c r="Q323" s="114">
        <v>0.0</v>
      </c>
      <c r="R323" s="121">
        <v>0.0</v>
      </c>
      <c r="S323" s="114"/>
      <c r="T323" s="114">
        <v>0.0</v>
      </c>
      <c r="U323" s="114">
        <v>0.0</v>
      </c>
      <c r="V323" s="114">
        <v>1.0</v>
      </c>
      <c r="W323" s="122"/>
      <c r="X323" s="122"/>
      <c r="Y323" s="122"/>
    </row>
    <row r="324">
      <c r="A324" s="105">
        <v>2.0</v>
      </c>
      <c r="B324" s="106" t="s">
        <v>1669</v>
      </c>
      <c r="C324" s="40">
        <v>321.0</v>
      </c>
      <c r="D324" s="107">
        <v>9.0</v>
      </c>
      <c r="E324" s="108">
        <v>43562.0</v>
      </c>
      <c r="F324" s="42" t="str">
        <f>HYPERLINK("https://nasional.republika.co.id/berita/nasional/daerah/ppkzii377/penyebar-ltemgthoaks-ltemgtkerusuhan-1998-ditangkap ","sumber")</f>
        <v>sumber</v>
      </c>
      <c r="G324" s="40" t="s">
        <v>33</v>
      </c>
      <c r="H324" s="107">
        <v>396.0</v>
      </c>
      <c r="I324" s="123"/>
      <c r="J324" s="40">
        <v>1.0</v>
      </c>
      <c r="K324" s="124"/>
      <c r="L324" s="40"/>
      <c r="M324" s="40"/>
      <c r="N324" s="40"/>
      <c r="O324" s="40"/>
      <c r="P324" s="40"/>
      <c r="Q324" s="40"/>
      <c r="R324" s="111"/>
      <c r="S324" s="40"/>
      <c r="T324" s="40"/>
      <c r="U324" s="40"/>
      <c r="V324" s="40"/>
      <c r="W324" s="41"/>
      <c r="X324" s="41"/>
      <c r="Y324" s="41"/>
    </row>
    <row r="325">
      <c r="A325" s="101">
        <v>1.0</v>
      </c>
      <c r="B325" s="96" t="s">
        <v>1670</v>
      </c>
      <c r="C325" s="33">
        <v>322.0</v>
      </c>
      <c r="D325" s="97">
        <v>3.0</v>
      </c>
      <c r="E325" s="98">
        <v>43566.0</v>
      </c>
      <c r="F325" s="35" t="str">
        <f>HYPERLINK("https://news.okezone.com/read/2019/04/11/337/2042049/kementerian-pppa-3-tersangka-penganiaya-au-depresi-berat ","sumber")</f>
        <v>sumber</v>
      </c>
      <c r="G325" s="35" t="str">
        <f t="shared" ref="G325:G335" si="41">HYPERLINK("https://drive.google.com/open?id=15K5sriRJOw0JTPqD9yRZzl0fwZcfdV8X","lokasi")</f>
        <v>lokasi</v>
      </c>
      <c r="H325" s="97">
        <v>290.0</v>
      </c>
      <c r="I325" s="129">
        <v>1.0</v>
      </c>
      <c r="J325" s="37">
        <v>1.0</v>
      </c>
      <c r="K325" s="130" t="s">
        <v>1671</v>
      </c>
      <c r="L325" s="36">
        <v>0.0</v>
      </c>
      <c r="M325" s="36">
        <v>-1.0</v>
      </c>
      <c r="N325" s="37">
        <v>0.0</v>
      </c>
      <c r="O325" s="36">
        <v>0.0</v>
      </c>
      <c r="P325" s="36">
        <v>0.0</v>
      </c>
      <c r="Q325" s="36">
        <v>0.0</v>
      </c>
      <c r="R325" s="36">
        <v>0.0</v>
      </c>
      <c r="S325" s="36"/>
      <c r="T325" s="36">
        <v>0.0</v>
      </c>
      <c r="U325" s="36">
        <v>0.0</v>
      </c>
      <c r="V325" s="36">
        <v>1.0</v>
      </c>
      <c r="W325" s="36"/>
      <c r="X325" s="36"/>
      <c r="Y325" s="36"/>
    </row>
    <row r="326">
      <c r="A326" s="101">
        <v>1.0</v>
      </c>
      <c r="B326" s="96" t="s">
        <v>1672</v>
      </c>
      <c r="C326" s="33">
        <v>323.0</v>
      </c>
      <c r="D326" s="97">
        <v>9.0</v>
      </c>
      <c r="E326" s="98">
        <v>43567.0</v>
      </c>
      <c r="F326" s="35" t="str">
        <f>HYPERLINK("https://internasional.republika.co.id/berita/internasional/amerika/pptxzx366/presiden-ekuador-ungkap-alasan-suaka-politik-assange-dicabut ","sumber")</f>
        <v>sumber</v>
      </c>
      <c r="G326" s="35" t="str">
        <f t="shared" si="41"/>
        <v>lokasi</v>
      </c>
      <c r="H326" s="97">
        <v>252.0</v>
      </c>
      <c r="I326" s="99">
        <v>4.0</v>
      </c>
      <c r="J326" s="33">
        <v>1.0</v>
      </c>
      <c r="K326" s="102" t="s">
        <v>1673</v>
      </c>
      <c r="L326" s="33">
        <v>0.0</v>
      </c>
      <c r="M326" s="33">
        <v>0.0</v>
      </c>
      <c r="N326" s="37">
        <v>0.0</v>
      </c>
      <c r="O326" s="33">
        <v>1.0</v>
      </c>
      <c r="P326" s="33">
        <v>0.0</v>
      </c>
      <c r="Q326" s="33">
        <v>0.0</v>
      </c>
      <c r="R326" s="33">
        <v>1.0</v>
      </c>
      <c r="S326" s="33"/>
      <c r="T326" s="33">
        <v>0.0</v>
      </c>
      <c r="U326" s="33">
        <v>0.0</v>
      </c>
      <c r="V326" s="33">
        <v>1.0</v>
      </c>
      <c r="W326" s="36"/>
      <c r="X326" s="36"/>
      <c r="Y326" s="36"/>
    </row>
    <row r="327">
      <c r="A327" s="101">
        <v>1.0</v>
      </c>
      <c r="B327" s="96" t="s">
        <v>1674</v>
      </c>
      <c r="C327" s="33">
        <v>324.0</v>
      </c>
      <c r="D327" s="97">
        <v>2.0</v>
      </c>
      <c r="E327" s="98">
        <v>43579.0</v>
      </c>
      <c r="F327" s="35" t="str">
        <f>HYPERLINK("https://www.cnnindonesia.com/nasional/20190424121437-12-389152/vanessa-angel-jalani-sidang-perdana-di-pn-surabaya ","sumber")</f>
        <v>sumber</v>
      </c>
      <c r="G327" s="35" t="str">
        <f t="shared" si="41"/>
        <v>lokasi</v>
      </c>
      <c r="H327" s="97">
        <v>276.0</v>
      </c>
      <c r="I327" s="99">
        <v>1.0</v>
      </c>
      <c r="J327" s="33">
        <v>1.0</v>
      </c>
      <c r="K327" s="102" t="s">
        <v>1675</v>
      </c>
      <c r="L327" s="33">
        <v>0.0</v>
      </c>
      <c r="M327" s="33">
        <v>1.0</v>
      </c>
      <c r="N327" s="37">
        <v>0.0</v>
      </c>
      <c r="O327" s="33">
        <v>0.0</v>
      </c>
      <c r="P327" s="33">
        <v>0.0</v>
      </c>
      <c r="Q327" s="33" t="s">
        <v>119</v>
      </c>
      <c r="R327" s="33" t="s">
        <v>214</v>
      </c>
      <c r="S327" s="33"/>
      <c r="T327" s="33">
        <v>0.0</v>
      </c>
      <c r="U327" s="33">
        <v>0.0</v>
      </c>
      <c r="V327" s="33">
        <v>1.0</v>
      </c>
      <c r="W327" s="36"/>
      <c r="X327" s="36"/>
      <c r="Y327" s="36"/>
    </row>
    <row r="328">
      <c r="A328" s="101">
        <v>1.0</v>
      </c>
      <c r="B328" s="96" t="s">
        <v>1676</v>
      </c>
      <c r="C328" s="33">
        <v>325.0</v>
      </c>
      <c r="D328" s="97">
        <v>5.0</v>
      </c>
      <c r="E328" s="98">
        <v>43579.0</v>
      </c>
      <c r="F328" s="35" t="str">
        <f>HYPERLINK("https://tirto.id/perempuan-penyedia-transportasi-daring-waspadai-pelecehan-seksual-dm2P ","sumber")</f>
        <v>sumber</v>
      </c>
      <c r="G328" s="35" t="str">
        <f t="shared" si="41"/>
        <v>lokasi</v>
      </c>
      <c r="H328" s="97">
        <v>264.0</v>
      </c>
      <c r="I328" s="99">
        <v>2.0</v>
      </c>
      <c r="J328" s="33">
        <v>1.0</v>
      </c>
      <c r="K328" s="102" t="s">
        <v>1636</v>
      </c>
      <c r="L328" s="33">
        <v>0.0</v>
      </c>
      <c r="M328" s="33">
        <v>0.0</v>
      </c>
      <c r="N328" s="37">
        <v>0.0</v>
      </c>
      <c r="O328" s="33">
        <v>0.0</v>
      </c>
      <c r="P328" s="33">
        <v>0.0</v>
      </c>
      <c r="Q328" s="33">
        <v>1.0</v>
      </c>
      <c r="R328" s="33">
        <v>1.0</v>
      </c>
      <c r="S328" s="33"/>
      <c r="T328" s="33">
        <v>0.0</v>
      </c>
      <c r="U328" s="33">
        <v>0.0</v>
      </c>
      <c r="V328" s="33">
        <v>1.0</v>
      </c>
      <c r="W328" s="36"/>
      <c r="X328" s="36"/>
      <c r="Y328" s="36"/>
    </row>
    <row r="329">
      <c r="A329" s="101">
        <v>1.0</v>
      </c>
      <c r="B329" s="96" t="s">
        <v>1677</v>
      </c>
      <c r="C329" s="33">
        <v>326.0</v>
      </c>
      <c r="D329" s="97">
        <v>1.0</v>
      </c>
      <c r="E329" s="98">
        <v>43583.0</v>
      </c>
      <c r="F329" s="35" t="str">
        <f>HYPERLINK("https://news.detik.com/berita/d-4528135/ruu-pks-tokoh-agama-yang-memperkosa-minimal-dipenjara-12-tahun ","sumber")</f>
        <v>sumber</v>
      </c>
      <c r="G329" s="35" t="str">
        <f t="shared" si="41"/>
        <v>lokasi</v>
      </c>
      <c r="H329" s="97">
        <v>441.0</v>
      </c>
      <c r="I329" s="99">
        <v>4.0</v>
      </c>
      <c r="J329" s="33">
        <v>1.0</v>
      </c>
      <c r="K329" s="33"/>
      <c r="L329" s="33">
        <v>0.0</v>
      </c>
      <c r="M329" s="33">
        <v>0.0</v>
      </c>
      <c r="N329" s="37">
        <v>0.0</v>
      </c>
      <c r="O329" s="33">
        <v>0.0</v>
      </c>
      <c r="P329" s="33">
        <v>-1.0</v>
      </c>
      <c r="Q329" s="33"/>
      <c r="R329" s="33"/>
      <c r="S329" s="33"/>
      <c r="T329" s="33">
        <v>0.0</v>
      </c>
      <c r="U329" s="33">
        <v>0.0</v>
      </c>
      <c r="V329" s="33">
        <v>1.0</v>
      </c>
      <c r="W329" s="36"/>
      <c r="X329" s="36"/>
      <c r="Y329" s="36"/>
    </row>
    <row r="330">
      <c r="A330" s="101">
        <v>1.0</v>
      </c>
      <c r="B330" s="96" t="s">
        <v>1678</v>
      </c>
      <c r="C330" s="33">
        <v>327.0</v>
      </c>
      <c r="D330" s="97">
        <v>1.0</v>
      </c>
      <c r="E330" s="98">
        <v>43588.0</v>
      </c>
      <c r="F330" s="35" t="str">
        <f>HYPERLINK("https://news.detik.com/berita/d-4534503/desertir-tni-culik-cabuli-anak-aktivis-perempuan-demo-markas-tni ","sumber")</f>
        <v>sumber</v>
      </c>
      <c r="G330" s="35" t="str">
        <f t="shared" si="41"/>
        <v>lokasi</v>
      </c>
      <c r="H330" s="97">
        <v>254.0</v>
      </c>
      <c r="I330" s="99">
        <v>1.0</v>
      </c>
      <c r="J330" s="33">
        <v>1.0</v>
      </c>
      <c r="K330" s="102" t="s">
        <v>1679</v>
      </c>
      <c r="L330" s="33">
        <v>0.0</v>
      </c>
      <c r="M330" s="50">
        <v>0.0</v>
      </c>
      <c r="N330" s="37">
        <v>0.0</v>
      </c>
      <c r="O330" s="33">
        <v>0.0</v>
      </c>
      <c r="P330" s="33">
        <v>0.0</v>
      </c>
      <c r="Q330" s="33" t="s">
        <v>100</v>
      </c>
      <c r="R330" s="33" t="s">
        <v>192</v>
      </c>
      <c r="S330" s="33"/>
      <c r="T330" s="33">
        <v>0.0</v>
      </c>
      <c r="U330" s="33">
        <v>0.0</v>
      </c>
      <c r="V330" s="33">
        <v>1.0</v>
      </c>
      <c r="W330" s="36"/>
      <c r="X330" s="36"/>
      <c r="Y330" s="36"/>
    </row>
    <row r="331">
      <c r="A331" s="101">
        <v>1.0</v>
      </c>
      <c r="B331" s="96" t="s">
        <v>1680</v>
      </c>
      <c r="C331" s="33">
        <v>328.0</v>
      </c>
      <c r="D331" s="97">
        <v>5.0</v>
      </c>
      <c r="E331" s="98">
        <v>43588.0</v>
      </c>
      <c r="F331" s="35" t="str">
        <f>HYPERLINK("https://tirto.id/polisi-tak-berwenang-menggunduli-peserta-may-day-di-bandung-dnzx ","sumber")</f>
        <v>sumber</v>
      </c>
      <c r="G331" s="35" t="str">
        <f t="shared" si="41"/>
        <v>lokasi</v>
      </c>
      <c r="H331" s="97">
        <v>618.0</v>
      </c>
      <c r="I331" s="99">
        <v>1.0</v>
      </c>
      <c r="J331" s="33">
        <v>1.0</v>
      </c>
      <c r="K331" s="102" t="s">
        <v>1681</v>
      </c>
      <c r="L331" s="33">
        <v>0.0</v>
      </c>
      <c r="M331" s="33">
        <v>1.0</v>
      </c>
      <c r="N331" s="37">
        <v>0.0</v>
      </c>
      <c r="O331" s="33">
        <v>0.0</v>
      </c>
      <c r="P331" s="33">
        <v>0.0</v>
      </c>
      <c r="Q331" s="33" t="s">
        <v>53</v>
      </c>
      <c r="R331" s="33" t="s">
        <v>1682</v>
      </c>
      <c r="S331" s="33"/>
      <c r="T331" s="33">
        <v>0.0</v>
      </c>
      <c r="U331" s="33">
        <v>0.0</v>
      </c>
      <c r="V331" s="33">
        <v>1.0</v>
      </c>
      <c r="W331" s="36"/>
      <c r="X331" s="36"/>
      <c r="Y331" s="36"/>
    </row>
    <row r="332">
      <c r="A332" s="101">
        <v>1.0</v>
      </c>
      <c r="B332" s="96" t="s">
        <v>1683</v>
      </c>
      <c r="C332" s="33">
        <v>329.0</v>
      </c>
      <c r="D332" s="97">
        <v>7.0</v>
      </c>
      <c r="E332" s="98">
        <v>43589.0</v>
      </c>
      <c r="F332" s="35" t="str">
        <f>HYPERLINK("http://www.tribunnews.com/seleb/2019/05/04/jelang-ramadan-ayahanda-vanessa-angel-belum-juga-menjenguk-vanessa ","sumber")</f>
        <v>sumber</v>
      </c>
      <c r="G332" s="35" t="str">
        <f t="shared" si="41"/>
        <v>lokasi</v>
      </c>
      <c r="H332" s="97">
        <v>170.0</v>
      </c>
      <c r="I332" s="99">
        <v>2.0</v>
      </c>
      <c r="J332" s="33">
        <v>1.0</v>
      </c>
      <c r="K332" s="102" t="s">
        <v>1684</v>
      </c>
      <c r="L332" s="33">
        <v>0.0</v>
      </c>
      <c r="M332" s="33">
        <v>0.0</v>
      </c>
      <c r="N332" s="37">
        <v>0.0</v>
      </c>
      <c r="O332" s="33">
        <v>0.0</v>
      </c>
      <c r="P332" s="33">
        <v>0.0</v>
      </c>
      <c r="Q332" s="33" t="s">
        <v>210</v>
      </c>
      <c r="R332" s="33" t="s">
        <v>192</v>
      </c>
      <c r="S332" s="33"/>
      <c r="T332" s="33">
        <v>0.0</v>
      </c>
      <c r="U332" s="33">
        <v>0.0</v>
      </c>
      <c r="V332" s="33">
        <v>0.0</v>
      </c>
      <c r="W332" s="36"/>
      <c r="X332" s="36"/>
      <c r="Y332" s="36"/>
    </row>
    <row r="333">
      <c r="A333" s="101">
        <v>1.0</v>
      </c>
      <c r="B333" s="96" t="s">
        <v>1685</v>
      </c>
      <c r="C333" s="33">
        <v>330.0</v>
      </c>
      <c r="D333" s="97">
        <v>7.0</v>
      </c>
      <c r="E333" s="98">
        <v>43590.0</v>
      </c>
      <c r="F333" s="35" t="str">
        <f>HYPERLINK("http://www.tribunnews.com/regional/2019/05/05/mati-lampu-resbi-malah-cari-kesempatan-untuk-memperkosa-tetangga ","sumber")</f>
        <v>sumber</v>
      </c>
      <c r="G333" s="35" t="str">
        <f t="shared" si="41"/>
        <v>lokasi</v>
      </c>
      <c r="H333" s="97">
        <v>182.0</v>
      </c>
      <c r="I333" s="99">
        <v>1.0</v>
      </c>
      <c r="J333" s="33">
        <v>1.0</v>
      </c>
      <c r="K333" s="102" t="s">
        <v>1686</v>
      </c>
      <c r="L333" s="33">
        <v>0.0</v>
      </c>
      <c r="M333" s="33">
        <v>-1.0</v>
      </c>
      <c r="N333" s="33">
        <v>-1.0</v>
      </c>
      <c r="O333" s="33">
        <v>-1.0</v>
      </c>
      <c r="P333" s="33">
        <v>-1.0</v>
      </c>
      <c r="Q333" s="33">
        <v>0.0</v>
      </c>
      <c r="R333" s="33">
        <v>0.0</v>
      </c>
      <c r="S333" s="33"/>
      <c r="T333" s="33">
        <v>0.0</v>
      </c>
      <c r="U333" s="33">
        <v>0.0</v>
      </c>
      <c r="V333" s="33">
        <v>1.0</v>
      </c>
      <c r="W333" s="36"/>
      <c r="X333" s="36"/>
      <c r="Y333" s="36"/>
    </row>
    <row r="334">
      <c r="A334" s="112">
        <v>1.0</v>
      </c>
      <c r="B334" s="125" t="s">
        <v>1687</v>
      </c>
      <c r="C334" s="114">
        <v>331.0</v>
      </c>
      <c r="D334" s="115">
        <v>5.0</v>
      </c>
      <c r="E334" s="116">
        <v>43586.0</v>
      </c>
      <c r="F334" s="117" t="str">
        <f>HYPERLINK("https://tirto.id/kasus-dosen-mesum-di-undip-investigasi-kampus-hampir-selesai-dnoo ","sumber")</f>
        <v>sumber</v>
      </c>
      <c r="G334" s="117" t="str">
        <f t="shared" si="41"/>
        <v>lokasi</v>
      </c>
      <c r="H334" s="115">
        <v>505.0</v>
      </c>
      <c r="I334" s="118">
        <v>1.0</v>
      </c>
      <c r="J334" s="114">
        <v>1.0</v>
      </c>
      <c r="K334" s="119" t="s">
        <v>1688</v>
      </c>
      <c r="L334" s="114">
        <v>0.0</v>
      </c>
      <c r="M334" s="114">
        <v>1.0</v>
      </c>
      <c r="N334" s="120">
        <v>0.0</v>
      </c>
      <c r="O334" s="114">
        <v>1.0</v>
      </c>
      <c r="P334" s="114">
        <v>0.0</v>
      </c>
      <c r="Q334" s="114" t="s">
        <v>1689</v>
      </c>
      <c r="R334" s="121" t="s">
        <v>138</v>
      </c>
      <c r="S334" s="114"/>
      <c r="T334" s="114">
        <v>0.0</v>
      </c>
      <c r="U334" s="114">
        <v>0.0</v>
      </c>
      <c r="V334" s="114">
        <v>1.0</v>
      </c>
      <c r="W334" s="122"/>
      <c r="X334" s="122"/>
      <c r="Y334" s="122"/>
    </row>
    <row r="335">
      <c r="A335" s="112">
        <v>1.0</v>
      </c>
      <c r="B335" s="125" t="s">
        <v>1690</v>
      </c>
      <c r="C335" s="114">
        <v>332.0</v>
      </c>
      <c r="D335" s="115">
        <v>7.0</v>
      </c>
      <c r="E335" s="116">
        <v>43594.0</v>
      </c>
      <c r="F335" s="117" t="str">
        <f>HYPERLINK("http://www.tribunnews.com/internasional/2019/05/09/paus-fransiskus-mewajibkan-rohaniwan-katolik-untuk-melaporkan-pelecehan-seksual ","sumber")</f>
        <v>sumber</v>
      </c>
      <c r="G335" s="117" t="str">
        <f t="shared" si="41"/>
        <v>lokasi</v>
      </c>
      <c r="H335" s="115">
        <v>264.0</v>
      </c>
      <c r="I335" s="118">
        <v>4.0</v>
      </c>
      <c r="J335" s="114">
        <v>1.0</v>
      </c>
      <c r="K335" s="119" t="s">
        <v>980</v>
      </c>
      <c r="L335" s="114">
        <v>0.0</v>
      </c>
      <c r="M335" s="114">
        <v>0.0</v>
      </c>
      <c r="N335" s="120">
        <v>0.0</v>
      </c>
      <c r="O335" s="114">
        <v>0.0</v>
      </c>
      <c r="P335" s="114">
        <v>0.0</v>
      </c>
      <c r="Q335" s="114">
        <v>0.0</v>
      </c>
      <c r="R335" s="121">
        <v>1.0</v>
      </c>
      <c r="S335" s="114"/>
      <c r="T335" s="114">
        <v>0.0</v>
      </c>
      <c r="U335" s="114">
        <v>0.0</v>
      </c>
      <c r="V335" s="114">
        <v>1.0</v>
      </c>
      <c r="W335" s="122"/>
      <c r="X335" s="122"/>
      <c r="Y335" s="122"/>
    </row>
    <row r="336">
      <c r="A336" s="105">
        <v>2.0</v>
      </c>
      <c r="B336" s="106" t="s">
        <v>1691</v>
      </c>
      <c r="C336" s="40">
        <v>333.0</v>
      </c>
      <c r="D336" s="107">
        <v>5.0</v>
      </c>
      <c r="E336" s="108">
        <v>43596.0</v>
      </c>
      <c r="F336" s="42" t="str">
        <f>HYPERLINK("https://tirto.id/liga-1-2019-silvio-escobar-pamit-dilepas-persija-dAa6 ","sumber")</f>
        <v>sumber</v>
      </c>
      <c r="G336" s="40" t="s">
        <v>33</v>
      </c>
      <c r="H336" s="107">
        <v>314.0</v>
      </c>
      <c r="I336" s="109"/>
      <c r="J336" s="40">
        <v>1.0</v>
      </c>
      <c r="K336" s="110"/>
      <c r="L336" s="41"/>
      <c r="M336" s="41"/>
      <c r="N336" s="41"/>
      <c r="O336" s="41"/>
      <c r="P336" s="41"/>
      <c r="Q336" s="40"/>
      <c r="R336" s="111"/>
      <c r="S336" s="40"/>
      <c r="T336" s="41"/>
      <c r="U336" s="41"/>
      <c r="V336" s="41"/>
      <c r="W336" s="41"/>
      <c r="X336" s="41"/>
      <c r="Y336" s="41"/>
    </row>
    <row r="337">
      <c r="A337" s="101">
        <v>1.0</v>
      </c>
      <c r="B337" s="96" t="s">
        <v>1692</v>
      </c>
      <c r="C337" s="33">
        <v>334.0</v>
      </c>
      <c r="D337" s="97">
        <v>9.0</v>
      </c>
      <c r="E337" s="98">
        <v>43599.0</v>
      </c>
      <c r="F337" s="35" t="str">
        <f>HYPERLINK("https://internasional.republika.co.id/berita/internasional/eropa/prgv8h366/kasus-pemerkosaan-julian-assange-dibuka-kembali ","sumber")</f>
        <v>sumber</v>
      </c>
      <c r="G337" s="35" t="str">
        <f t="shared" ref="G337:G339" si="42">HYPERLINK("https://drive.google.com/open?id=15K5sriRJOw0JTPqD9yRZzl0fwZcfdV8X","lokasi")</f>
        <v>lokasi</v>
      </c>
      <c r="H337" s="97">
        <v>380.0</v>
      </c>
      <c r="I337" s="99">
        <v>1.0</v>
      </c>
      <c r="J337" s="33">
        <v>1.0</v>
      </c>
      <c r="K337" s="102" t="s">
        <v>1693</v>
      </c>
      <c r="L337" s="33">
        <v>0.0</v>
      </c>
      <c r="M337" s="50">
        <v>0.0</v>
      </c>
      <c r="N337" s="37">
        <v>0.0</v>
      </c>
      <c r="O337" s="33">
        <v>1.0</v>
      </c>
      <c r="P337" s="33">
        <v>0.0</v>
      </c>
      <c r="Q337" s="33">
        <v>0.0</v>
      </c>
      <c r="R337" s="33">
        <v>1.0</v>
      </c>
      <c r="S337" s="33"/>
      <c r="T337" s="33">
        <v>0.0</v>
      </c>
      <c r="U337" s="33">
        <v>0.0</v>
      </c>
      <c r="V337" s="33">
        <v>1.0</v>
      </c>
      <c r="W337" s="36"/>
      <c r="X337" s="36"/>
      <c r="Y337" s="36"/>
    </row>
    <row r="338">
      <c r="A338" s="112">
        <v>1.0</v>
      </c>
      <c r="B338" s="125" t="s">
        <v>1694</v>
      </c>
      <c r="C338" s="114">
        <v>335.0</v>
      </c>
      <c r="D338" s="115">
        <v>4.0</v>
      </c>
      <c r="E338" s="116">
        <v>43615.0</v>
      </c>
      <c r="F338" s="117" t="str">
        <f>HYPERLINK("https://www.liputan6.com/global/read/3979873/bakar-perempuan-hingga-tewas-16-orang-di-bangladesh-terancam-hukuman-mati ","sumber")</f>
        <v>sumber</v>
      </c>
      <c r="G338" s="117" t="str">
        <f t="shared" si="42"/>
        <v>lokasi</v>
      </c>
      <c r="H338" s="115">
        <v>376.0</v>
      </c>
      <c r="I338" s="118">
        <v>1.0</v>
      </c>
      <c r="J338" s="114">
        <v>1.0</v>
      </c>
      <c r="K338" s="119" t="s">
        <v>1695</v>
      </c>
      <c r="L338" s="114">
        <v>0.0</v>
      </c>
      <c r="M338" s="50">
        <v>0.0</v>
      </c>
      <c r="N338" s="120">
        <v>0.0</v>
      </c>
      <c r="O338" s="114">
        <v>0.0</v>
      </c>
      <c r="P338" s="114">
        <v>0.0</v>
      </c>
      <c r="Q338" s="114" t="s">
        <v>166</v>
      </c>
      <c r="R338" s="121" t="s">
        <v>392</v>
      </c>
      <c r="S338" s="114"/>
      <c r="T338" s="114">
        <v>0.0</v>
      </c>
      <c r="U338" s="114">
        <v>0.0</v>
      </c>
      <c r="V338" s="114">
        <v>1.0</v>
      </c>
      <c r="W338" s="122"/>
      <c r="X338" s="122"/>
      <c r="Y338" s="122"/>
    </row>
    <row r="339">
      <c r="A339" s="101">
        <v>1.0</v>
      </c>
      <c r="B339" s="96" t="s">
        <v>1696</v>
      </c>
      <c r="C339" s="33">
        <v>336.0</v>
      </c>
      <c r="D339" s="97">
        <v>6.0</v>
      </c>
      <c r="E339" s="98">
        <v>43607.0</v>
      </c>
      <c r="F339" s="35" t="str">
        <f>HYPERLINK("https://regional.kompas.com/read/2019/05/22/22525341/om-bob-jual-bocah-pengamen-ke-penyuka-sesama-jenis-tarifnya-rp-150000 ","sumber")</f>
        <v>sumber</v>
      </c>
      <c r="G339" s="35" t="str">
        <f t="shared" si="42"/>
        <v>lokasi</v>
      </c>
      <c r="H339" s="97">
        <v>281.0</v>
      </c>
      <c r="I339" s="99">
        <v>1.0</v>
      </c>
      <c r="J339" s="33">
        <v>1.0</v>
      </c>
      <c r="K339" s="102" t="s">
        <v>1697</v>
      </c>
      <c r="L339" s="33">
        <v>0.0</v>
      </c>
      <c r="M339" s="33">
        <v>-1.0</v>
      </c>
      <c r="N339" s="37">
        <v>0.0</v>
      </c>
      <c r="O339" s="33">
        <v>0.0</v>
      </c>
      <c r="P339" s="33">
        <v>0.0</v>
      </c>
      <c r="Q339" s="33">
        <v>0.0</v>
      </c>
      <c r="R339" s="33">
        <v>0.0</v>
      </c>
      <c r="S339" s="33"/>
      <c r="T339" s="33">
        <v>0.0</v>
      </c>
      <c r="U339" s="33">
        <v>0.0</v>
      </c>
      <c r="V339" s="33">
        <v>1.0</v>
      </c>
      <c r="W339" s="36"/>
      <c r="X339" s="36"/>
      <c r="Y339" s="36"/>
    </row>
    <row r="340">
      <c r="A340" s="105">
        <v>2.0</v>
      </c>
      <c r="B340" s="106" t="s">
        <v>1698</v>
      </c>
      <c r="C340" s="40">
        <v>337.0</v>
      </c>
      <c r="D340" s="107">
        <v>10.0</v>
      </c>
      <c r="E340" s="108">
        <v>43610.0</v>
      </c>
      <c r="F340" s="42" t="str">
        <f>HYPERLINK("https://nasional.tempo.co/read/1209222/begini-semestinya-polisi-menangani-kerusuhan-aksi-22-mei ","sumber")</f>
        <v>sumber</v>
      </c>
      <c r="G340" s="40" t="s">
        <v>33</v>
      </c>
      <c r="H340" s="107">
        <v>383.0</v>
      </c>
      <c r="I340" s="109"/>
      <c r="J340" s="40">
        <v>1.0</v>
      </c>
      <c r="K340" s="110"/>
      <c r="L340" s="41"/>
      <c r="M340" s="41"/>
      <c r="N340" s="41"/>
      <c r="O340" s="41"/>
      <c r="P340" s="41"/>
      <c r="Q340" s="40"/>
      <c r="R340" s="111"/>
      <c r="S340" s="40"/>
      <c r="T340" s="41"/>
      <c r="U340" s="41"/>
      <c r="V340" s="41"/>
      <c r="W340" s="41"/>
      <c r="X340" s="41"/>
      <c r="Y340" s="41"/>
    </row>
    <row r="341">
      <c r="A341" s="101">
        <v>1.0</v>
      </c>
      <c r="B341" s="96" t="s">
        <v>1699</v>
      </c>
      <c r="C341" s="33">
        <v>338.0</v>
      </c>
      <c r="D341" s="97">
        <v>7.0</v>
      </c>
      <c r="E341" s="98">
        <v>43616.0</v>
      </c>
      <c r="F341" s="35" t="str">
        <f>HYPERLINK("http://www.tribunnews.com/regional/2019/05/31/tempat-karaoke-tutup-pemandu-lagu-beralih-jadi-muncikari-tawarkan-perempuan-muda-lewat-whatsapp ","sumber")</f>
        <v>sumber</v>
      </c>
      <c r="G341" s="35" t="str">
        <f t="shared" ref="G341:G344" si="43">HYPERLINK("https://drive.google.com/open?id=15K5sriRJOw0JTPqD9yRZzl0fwZcfdV8X","lokasi")</f>
        <v>lokasi</v>
      </c>
      <c r="H341" s="97">
        <v>188.0</v>
      </c>
      <c r="I341" s="99">
        <v>1.0</v>
      </c>
      <c r="J341" s="33">
        <v>1.0</v>
      </c>
      <c r="K341" s="102" t="s">
        <v>1700</v>
      </c>
      <c r="L341" s="33">
        <v>0.0</v>
      </c>
      <c r="M341" s="33">
        <v>-1.0</v>
      </c>
      <c r="N341" s="37">
        <v>0.0</v>
      </c>
      <c r="O341" s="33">
        <v>0.0</v>
      </c>
      <c r="P341" s="33">
        <v>-1.0</v>
      </c>
      <c r="Q341" s="33">
        <v>0.0</v>
      </c>
      <c r="R341" s="33">
        <v>0.0</v>
      </c>
      <c r="S341" s="33"/>
      <c r="T341" s="33">
        <v>0.0</v>
      </c>
      <c r="U341" s="33">
        <v>0.0</v>
      </c>
      <c r="V341" s="33">
        <v>1.0</v>
      </c>
      <c r="W341" s="36"/>
      <c r="X341" s="36"/>
      <c r="Y341" s="36"/>
    </row>
    <row r="342">
      <c r="A342" s="101">
        <v>1.0</v>
      </c>
      <c r="B342" s="96" t="s">
        <v>1701</v>
      </c>
      <c r="C342" s="33">
        <v>339.0</v>
      </c>
      <c r="D342" s="97">
        <v>6.0</v>
      </c>
      <c r="E342" s="98">
        <v>43620.0</v>
      </c>
      <c r="F342" s="35" t="str">
        <f>HYPERLINK("https://bola.kompas.com/read/2019/06/04/14310038/pelatih-timnas-brasil-ogah-ikut-campur-dalam-kasus-neymar ","sumber")</f>
        <v>sumber</v>
      </c>
      <c r="G342" s="35" t="str">
        <f t="shared" si="43"/>
        <v>lokasi</v>
      </c>
      <c r="H342" s="97">
        <v>266.0</v>
      </c>
      <c r="I342" s="99">
        <v>1.0</v>
      </c>
      <c r="J342" s="33">
        <v>1.0</v>
      </c>
      <c r="K342" s="102" t="s">
        <v>1702</v>
      </c>
      <c r="L342" s="33">
        <v>0.0</v>
      </c>
      <c r="M342" s="50">
        <v>0.0</v>
      </c>
      <c r="N342" s="37">
        <v>0.0</v>
      </c>
      <c r="O342" s="33">
        <v>1.0</v>
      </c>
      <c r="P342" s="33">
        <v>0.0</v>
      </c>
      <c r="Q342" s="33">
        <v>0.0</v>
      </c>
      <c r="R342" s="33">
        <v>-1.0</v>
      </c>
      <c r="S342" s="33"/>
      <c r="T342" s="33">
        <v>0.0</v>
      </c>
      <c r="U342" s="33">
        <v>0.0</v>
      </c>
      <c r="V342" s="33">
        <v>0.0</v>
      </c>
      <c r="W342" s="36"/>
      <c r="X342" s="36"/>
      <c r="Y342" s="36"/>
    </row>
    <row r="343">
      <c r="A343" s="101">
        <v>1.0</v>
      </c>
      <c r="B343" s="96" t="s">
        <v>1703</v>
      </c>
      <c r="C343" s="33">
        <v>340.0</v>
      </c>
      <c r="D343" s="97">
        <v>10.0</v>
      </c>
      <c r="E343" s="98">
        <v>43620.0</v>
      </c>
      <c r="F343" s="35" t="str">
        <f>HYPERLINK("https://bola.tempo.co/read/1212070/bela-diri-dari-tuduhan-perkosaan-neymar-malah-kena-masalah-baru ","sumber")</f>
        <v>sumber</v>
      </c>
      <c r="G343" s="35" t="str">
        <f t="shared" si="43"/>
        <v>lokasi</v>
      </c>
      <c r="H343" s="97">
        <v>199.0</v>
      </c>
      <c r="I343" s="99">
        <v>1.0</v>
      </c>
      <c r="J343" s="33">
        <v>1.0</v>
      </c>
      <c r="K343" s="102"/>
      <c r="L343" s="33">
        <v>0.0</v>
      </c>
      <c r="M343" s="50">
        <v>0.0</v>
      </c>
      <c r="N343" s="37">
        <v>0.0</v>
      </c>
      <c r="O343" s="33">
        <v>0.0</v>
      </c>
      <c r="P343" s="33">
        <v>0.0</v>
      </c>
      <c r="Q343" s="33"/>
      <c r="R343" s="33"/>
      <c r="S343" s="33"/>
      <c r="T343" s="33">
        <v>0.0</v>
      </c>
      <c r="U343" s="33">
        <v>0.0</v>
      </c>
      <c r="V343" s="33">
        <v>0.0</v>
      </c>
      <c r="W343" s="36"/>
      <c r="X343" s="36"/>
      <c r="Y343" s="36"/>
    </row>
    <row r="344">
      <c r="A344" s="101">
        <v>1.0</v>
      </c>
      <c r="B344" s="96" t="s">
        <v>1704</v>
      </c>
      <c r="C344" s="33">
        <v>341.0</v>
      </c>
      <c r="D344" s="97">
        <v>9.0</v>
      </c>
      <c r="E344" s="98">
        <v>43628.0</v>
      </c>
      <c r="F344" s="35" t="str">
        <f>HYPERLINK("https://nasional.republika.co.id/berita/nasional/umum/pszduy459/dipakai-transaksi-prostitusi-kominfo-akan-kaji-michat ","sumber")</f>
        <v>sumber</v>
      </c>
      <c r="G344" s="35" t="str">
        <f t="shared" si="43"/>
        <v>lokasi</v>
      </c>
      <c r="H344" s="97">
        <v>252.0</v>
      </c>
      <c r="I344" s="99">
        <v>4.0</v>
      </c>
      <c r="J344" s="33">
        <v>1.0</v>
      </c>
      <c r="K344" s="102" t="s">
        <v>1705</v>
      </c>
      <c r="L344" s="33">
        <v>0.0</v>
      </c>
      <c r="M344" s="33">
        <v>0.0</v>
      </c>
      <c r="N344" s="37">
        <v>0.0</v>
      </c>
      <c r="O344" s="33">
        <v>0.0</v>
      </c>
      <c r="P344" s="33">
        <v>0.0</v>
      </c>
      <c r="Q344" s="33">
        <v>0.0</v>
      </c>
      <c r="R344" s="33">
        <v>1.0</v>
      </c>
      <c r="S344" s="33"/>
      <c r="T344" s="33">
        <v>0.0</v>
      </c>
      <c r="U344" s="33">
        <v>0.0</v>
      </c>
      <c r="V344" s="33">
        <v>0.0</v>
      </c>
      <c r="W344" s="36"/>
      <c r="X344" s="36"/>
      <c r="Y344" s="36"/>
    </row>
    <row r="345">
      <c r="A345" s="105">
        <v>2.0</v>
      </c>
      <c r="B345" s="106" t="s">
        <v>1706</v>
      </c>
      <c r="C345" s="40">
        <v>342.0</v>
      </c>
      <c r="D345" s="107">
        <v>9.0</v>
      </c>
      <c r="E345" s="108">
        <v>43629.0</v>
      </c>
      <c r="F345" s="42" t="str">
        <f>HYPERLINK("https://internasional.republika.co.id/berita/internasional/timur-tengah/pt0n9z459/syeikh-sudais-kecam-serangan-rudal-houthi-ke-arab-saudi ","sumber")</f>
        <v>sumber</v>
      </c>
      <c r="G345" s="40" t="s">
        <v>33</v>
      </c>
      <c r="H345" s="107">
        <v>254.0</v>
      </c>
      <c r="I345" s="109"/>
      <c r="J345" s="40">
        <v>1.0</v>
      </c>
      <c r="K345" s="110"/>
      <c r="L345" s="41"/>
      <c r="M345" s="41"/>
      <c r="N345" s="41"/>
      <c r="O345" s="41"/>
      <c r="P345" s="41"/>
      <c r="Q345" s="40"/>
      <c r="R345" s="41"/>
      <c r="S345" s="41"/>
      <c r="T345" s="41"/>
      <c r="U345" s="41"/>
      <c r="V345" s="41"/>
      <c r="W345" s="41"/>
      <c r="X345" s="41"/>
      <c r="Y345" s="41"/>
    </row>
    <row r="346">
      <c r="A346" s="101">
        <v>1.0</v>
      </c>
      <c r="B346" s="96" t="s">
        <v>1707</v>
      </c>
      <c r="C346" s="33">
        <v>343.0</v>
      </c>
      <c r="D346" s="97">
        <v>1.0</v>
      </c>
      <c r="E346" s="98">
        <v>43633.0</v>
      </c>
      <c r="F346" s="35" t="str">
        <f>HYPERLINK("https://news.detik.com/berita-jawa-timur/d-4589373/vanessa-angel-dituntut-6-bulan-penjara-kuasa-hukum-berat-sekali ","sumber")</f>
        <v>sumber</v>
      </c>
      <c r="G346" s="35" t="str">
        <f>HYPERLINK("https://drive.google.com/open?id=15K5sriRJOw0JTPqD9yRZzl0fwZcfdV8X","lokasi")</f>
        <v>lokasi</v>
      </c>
      <c r="H346" s="97">
        <v>306.0</v>
      </c>
      <c r="I346" s="99">
        <v>1.0</v>
      </c>
      <c r="J346" s="33">
        <v>1.0</v>
      </c>
      <c r="K346" s="102" t="s">
        <v>1708</v>
      </c>
      <c r="L346" s="33">
        <v>0.0</v>
      </c>
      <c r="M346" s="33">
        <v>1.0</v>
      </c>
      <c r="N346" s="37">
        <v>0.0</v>
      </c>
      <c r="O346" s="33">
        <v>0.0</v>
      </c>
      <c r="P346" s="33">
        <v>0.0</v>
      </c>
      <c r="Q346" s="33" t="s">
        <v>119</v>
      </c>
      <c r="R346" s="33" t="s">
        <v>214</v>
      </c>
      <c r="S346" s="33"/>
      <c r="T346" s="33">
        <v>0.0</v>
      </c>
      <c r="U346" s="33">
        <v>0.0</v>
      </c>
      <c r="V346" s="33">
        <v>0.0</v>
      </c>
      <c r="W346" s="36"/>
      <c r="X346" s="36"/>
      <c r="Y346" s="36"/>
    </row>
    <row r="347">
      <c r="A347" s="105">
        <v>2.0</v>
      </c>
      <c r="B347" s="106" t="s">
        <v>1709</v>
      </c>
      <c r="C347" s="40">
        <v>344.0</v>
      </c>
      <c r="D347" s="107">
        <v>10.0</v>
      </c>
      <c r="E347" s="108">
        <v>43633.0</v>
      </c>
      <c r="F347" s="42" t="str">
        <f>HYPERLINK("https://bola.tempo.co/read/1215304/psg-siap-lepas-neymar-pantaskah-ia-balik-ke-barcelona ","sumber")</f>
        <v>sumber</v>
      </c>
      <c r="G347" s="40" t="s">
        <v>33</v>
      </c>
      <c r="H347" s="107">
        <v>247.0</v>
      </c>
      <c r="I347" s="109"/>
      <c r="J347" s="40">
        <v>1.0</v>
      </c>
      <c r="K347" s="110"/>
      <c r="L347" s="41"/>
      <c r="M347" s="41"/>
      <c r="N347" s="41"/>
      <c r="O347" s="41"/>
      <c r="P347" s="41"/>
      <c r="Q347" s="40"/>
      <c r="R347" s="41"/>
      <c r="S347" s="41"/>
      <c r="T347" s="41"/>
      <c r="U347" s="41"/>
      <c r="V347" s="41"/>
      <c r="W347" s="41"/>
      <c r="X347" s="41"/>
      <c r="Y347" s="41"/>
    </row>
    <row r="348">
      <c r="A348" s="101">
        <v>1.0</v>
      </c>
      <c r="B348" s="96" t="s">
        <v>1710</v>
      </c>
      <c r="C348" s="33">
        <v>345.0</v>
      </c>
      <c r="D348" s="97">
        <v>8.0</v>
      </c>
      <c r="E348" s="98">
        <v>43634.0</v>
      </c>
      <c r="F348" s="35" t="str">
        <f>HYPERLINK("https://www.suara.com/lifestyle/2019/06/18/200000/ariana-grande-sumbang-rp-4-m-untuk-protes-uu-anti-aborsi ","sumber")</f>
        <v>sumber</v>
      </c>
      <c r="G348" s="35" t="str">
        <f t="shared" ref="G348:G369" si="44">HYPERLINK("https://drive.google.com/open?id=15K5sriRJOw0JTPqD9yRZzl0fwZcfdV8X","lokasi")</f>
        <v>lokasi</v>
      </c>
      <c r="H348" s="97">
        <v>183.0</v>
      </c>
      <c r="I348" s="99">
        <v>2.0</v>
      </c>
      <c r="J348" s="33">
        <v>1.0</v>
      </c>
      <c r="K348" s="102" t="s">
        <v>1711</v>
      </c>
      <c r="L348" s="33">
        <v>0.0</v>
      </c>
      <c r="M348" s="33">
        <v>0.0</v>
      </c>
      <c r="N348" s="37">
        <v>0.0</v>
      </c>
      <c r="O348" s="33">
        <v>0.0</v>
      </c>
      <c r="P348" s="33">
        <v>0.0</v>
      </c>
      <c r="Q348" s="33">
        <v>-1.0</v>
      </c>
      <c r="R348" s="33">
        <v>1.0</v>
      </c>
      <c r="S348" s="33"/>
      <c r="T348" s="33">
        <v>0.0</v>
      </c>
      <c r="U348" s="33">
        <v>0.0</v>
      </c>
      <c r="V348" s="33">
        <v>1.0</v>
      </c>
      <c r="W348" s="36"/>
      <c r="X348" s="36"/>
      <c r="Y348" s="36"/>
    </row>
    <row r="349">
      <c r="A349" s="101">
        <v>1.0</v>
      </c>
      <c r="B349" s="96" t="s">
        <v>1712</v>
      </c>
      <c r="C349" s="33">
        <v>346.0</v>
      </c>
      <c r="D349" s="97">
        <v>2.0</v>
      </c>
      <c r="E349" s="98">
        <v>43636.0</v>
      </c>
      <c r="F349" s="35" t="str">
        <f>HYPERLINK("https://www.cnnindonesia.com/nasional/20190620200713-12-405110/minta-dibebaskan-vanessa-klaim-tak-sebar-konten-asusila ","sumber")</f>
        <v>sumber</v>
      </c>
      <c r="G349" s="35" t="str">
        <f t="shared" si="44"/>
        <v>lokasi</v>
      </c>
      <c r="H349" s="97">
        <v>432.0</v>
      </c>
      <c r="I349" s="99">
        <v>1.0</v>
      </c>
      <c r="J349" s="33">
        <v>1.0</v>
      </c>
      <c r="K349" s="102" t="s">
        <v>1713</v>
      </c>
      <c r="L349" s="33">
        <v>0.0</v>
      </c>
      <c r="M349" s="33">
        <v>1.0</v>
      </c>
      <c r="N349" s="37">
        <v>0.0</v>
      </c>
      <c r="O349" s="33">
        <v>0.0</v>
      </c>
      <c r="P349" s="33">
        <v>0.0</v>
      </c>
      <c r="Q349" s="33" t="s">
        <v>210</v>
      </c>
      <c r="R349" s="33" t="s">
        <v>100</v>
      </c>
      <c r="S349" s="33"/>
      <c r="T349" s="33">
        <v>0.0</v>
      </c>
      <c r="U349" s="33">
        <v>0.0</v>
      </c>
      <c r="V349" s="33">
        <v>0.0</v>
      </c>
      <c r="W349" s="36"/>
      <c r="X349" s="36"/>
      <c r="Y349" s="36"/>
    </row>
    <row r="350">
      <c r="A350" s="101">
        <v>1.0</v>
      </c>
      <c r="B350" s="96" t="s">
        <v>1714</v>
      </c>
      <c r="C350" s="33">
        <v>347.0</v>
      </c>
      <c r="D350" s="97">
        <v>4.0</v>
      </c>
      <c r="E350" s="98">
        <v>43638.0</v>
      </c>
      <c r="F350" s="35" t="str">
        <f>HYPERLINK("https://www.liputan6.com/global/read/3995398/pakistan-akan-bentuk-seribu-sidang-pengadilan-tentang-kekerasan-pada-perempuan ","sumber")</f>
        <v>sumber</v>
      </c>
      <c r="G350" s="35" t="str">
        <f t="shared" si="44"/>
        <v>lokasi</v>
      </c>
      <c r="H350" s="97">
        <v>382.0</v>
      </c>
      <c r="I350" s="99">
        <v>4.0</v>
      </c>
      <c r="J350" s="33">
        <v>1.0</v>
      </c>
      <c r="K350" s="102" t="s">
        <v>1715</v>
      </c>
      <c r="L350" s="33">
        <v>0.0</v>
      </c>
      <c r="M350" s="33">
        <v>0.0</v>
      </c>
      <c r="N350" s="37">
        <v>0.0</v>
      </c>
      <c r="O350" s="33">
        <v>0.0</v>
      </c>
      <c r="P350" s="33">
        <v>0.0</v>
      </c>
      <c r="Q350" s="33" t="s">
        <v>61</v>
      </c>
      <c r="R350" s="33" t="s">
        <v>192</v>
      </c>
      <c r="S350" s="33"/>
      <c r="T350" s="33">
        <v>0.0</v>
      </c>
      <c r="U350" s="33">
        <v>0.0</v>
      </c>
      <c r="V350" s="33">
        <v>1.0</v>
      </c>
      <c r="W350" s="36"/>
      <c r="X350" s="36"/>
      <c r="Y350" s="36"/>
    </row>
    <row r="351">
      <c r="A351" s="101">
        <v>1.0</v>
      </c>
      <c r="B351" s="96" t="s">
        <v>1716</v>
      </c>
      <c r="C351" s="33">
        <v>348.0</v>
      </c>
      <c r="D351" s="97">
        <v>10.0</v>
      </c>
      <c r="E351" s="98">
        <v>43638.0</v>
      </c>
      <c r="F351" s="35" t="str">
        <f>HYPERLINK("https://dunia.tempo.co/read/1217188/lagi-presiden-donald-trump-diserang-tuduhan-pelecehan-seksual ","sumber")</f>
        <v>sumber</v>
      </c>
      <c r="G351" s="35" t="str">
        <f t="shared" si="44"/>
        <v>lokasi</v>
      </c>
      <c r="H351" s="97">
        <v>362.0</v>
      </c>
      <c r="I351" s="99">
        <v>1.0</v>
      </c>
      <c r="J351" s="33">
        <v>1.0</v>
      </c>
      <c r="K351" s="102" t="s">
        <v>1717</v>
      </c>
      <c r="L351" s="33">
        <v>0.0</v>
      </c>
      <c r="M351" s="33">
        <v>1.0</v>
      </c>
      <c r="N351" s="37">
        <v>0.0</v>
      </c>
      <c r="O351" s="33">
        <v>1.0</v>
      </c>
      <c r="P351" s="33">
        <v>-1.0</v>
      </c>
      <c r="Q351" s="33" t="s">
        <v>210</v>
      </c>
      <c r="R351" s="33" t="s">
        <v>780</v>
      </c>
      <c r="S351" s="33"/>
      <c r="T351" s="33">
        <v>0.0</v>
      </c>
      <c r="U351" s="33">
        <v>0.0</v>
      </c>
      <c r="V351" s="33">
        <v>1.0</v>
      </c>
      <c r="W351" s="36"/>
      <c r="X351" s="36"/>
      <c r="Y351" s="36"/>
    </row>
    <row r="352">
      <c r="A352" s="101">
        <v>1.0</v>
      </c>
      <c r="B352" s="96" t="s">
        <v>1718</v>
      </c>
      <c r="C352" s="33">
        <v>349.0</v>
      </c>
      <c r="D352" s="97">
        <v>9.0</v>
      </c>
      <c r="E352" s="98">
        <v>43639.0</v>
      </c>
      <c r="F352" s="35" t="str">
        <f>HYPERLINK("https://nasional.republika.co.id/berita/nasional/daerah/ptk3jt328/kasus-seksual-guru-dan-murid-di-serang-bukti-sekolah-lalai ","sumber")</f>
        <v>sumber</v>
      </c>
      <c r="G352" s="35" t="str">
        <f t="shared" si="44"/>
        <v>lokasi</v>
      </c>
      <c r="H352" s="97">
        <v>408.0</v>
      </c>
      <c r="I352" s="99">
        <v>1.0</v>
      </c>
      <c r="J352" s="33">
        <v>1.0</v>
      </c>
      <c r="K352" s="102" t="s">
        <v>1089</v>
      </c>
      <c r="L352" s="33">
        <v>0.0</v>
      </c>
      <c r="M352" s="33">
        <v>1.0</v>
      </c>
      <c r="N352" s="37">
        <v>0.0</v>
      </c>
      <c r="O352" s="33">
        <v>1.0</v>
      </c>
      <c r="P352" s="33">
        <v>0.0</v>
      </c>
      <c r="Q352" s="33">
        <v>1.0</v>
      </c>
      <c r="R352" s="33">
        <v>1.0</v>
      </c>
      <c r="S352" s="33"/>
      <c r="T352" s="33">
        <v>0.0</v>
      </c>
      <c r="U352" s="33">
        <v>0.0</v>
      </c>
      <c r="V352" s="33">
        <v>1.0</v>
      </c>
      <c r="W352" s="36"/>
      <c r="X352" s="36"/>
      <c r="Y352" s="36"/>
    </row>
    <row r="353">
      <c r="A353" s="101">
        <v>1.0</v>
      </c>
      <c r="B353" s="96" t="s">
        <v>1719</v>
      </c>
      <c r="C353" s="33">
        <v>350.0</v>
      </c>
      <c r="D353" s="97">
        <v>6.0</v>
      </c>
      <c r="E353" s="98">
        <v>43643.0</v>
      </c>
      <c r="F353" s="35" t="str">
        <f>HYPERLINK("https://entertainment.kompas.com/read/2019/06/27/100802210/kasus-dugaan-prostitusi-eks-bos-yg-entertainment-yang-hyun-suk ","sumber")</f>
        <v>sumber</v>
      </c>
      <c r="G353" s="35" t="str">
        <f t="shared" si="44"/>
        <v>lokasi</v>
      </c>
      <c r="H353" s="97">
        <v>177.0</v>
      </c>
      <c r="I353" s="99">
        <v>1.0</v>
      </c>
      <c r="J353" s="33">
        <v>1.0</v>
      </c>
      <c r="K353" s="102"/>
      <c r="L353" s="33">
        <v>0.0</v>
      </c>
      <c r="M353" s="33">
        <v>-1.0</v>
      </c>
      <c r="N353" s="37">
        <v>0.0</v>
      </c>
      <c r="O353" s="33">
        <v>0.0</v>
      </c>
      <c r="P353" s="33">
        <v>0.0</v>
      </c>
      <c r="Q353" s="33"/>
      <c r="R353" s="33"/>
      <c r="S353" s="33"/>
      <c r="T353" s="33">
        <v>0.0</v>
      </c>
      <c r="U353" s="33">
        <v>0.0</v>
      </c>
      <c r="V353" s="33">
        <v>1.0</v>
      </c>
      <c r="W353" s="36"/>
      <c r="X353" s="36"/>
      <c r="Y353" s="36"/>
    </row>
    <row r="354">
      <c r="A354" s="101">
        <v>1.0</v>
      </c>
      <c r="B354" s="96" t="s">
        <v>1720</v>
      </c>
      <c r="C354" s="33">
        <v>351.0</v>
      </c>
      <c r="D354" s="97">
        <v>1.0</v>
      </c>
      <c r="E354" s="98">
        <v>43644.0</v>
      </c>
      <c r="F354" s="35" t="str">
        <f>HYPERLINK("https://hot.detik.com/celeb/d-4604606/fairuz-akan-laporkan-galih-ginanjar-soal-olokan-ikan-asin ","sumber")</f>
        <v>sumber</v>
      </c>
      <c r="G354" s="35" t="str">
        <f t="shared" si="44"/>
        <v>lokasi</v>
      </c>
      <c r="H354" s="97">
        <v>1521.0</v>
      </c>
      <c r="I354" s="99">
        <v>1.0</v>
      </c>
      <c r="J354" s="33">
        <v>1.0</v>
      </c>
      <c r="K354" s="102" t="s">
        <v>1721</v>
      </c>
      <c r="L354" s="33">
        <v>0.0</v>
      </c>
      <c r="M354" s="50">
        <v>0.0</v>
      </c>
      <c r="N354" s="37">
        <v>0.0</v>
      </c>
      <c r="O354" s="33">
        <v>0.0</v>
      </c>
      <c r="P354" s="33">
        <v>0.0</v>
      </c>
      <c r="Q354" s="33">
        <v>0.0</v>
      </c>
      <c r="R354" s="33">
        <v>1.0</v>
      </c>
      <c r="S354" s="33"/>
      <c r="T354" s="33">
        <v>0.0</v>
      </c>
      <c r="U354" s="33">
        <v>0.0</v>
      </c>
      <c r="V354" s="33">
        <v>0.0</v>
      </c>
      <c r="W354" s="36"/>
      <c r="X354" s="36"/>
      <c r="Y354" s="36"/>
    </row>
    <row r="355">
      <c r="A355" s="112">
        <v>1.0</v>
      </c>
      <c r="B355" s="125" t="s">
        <v>1722</v>
      </c>
      <c r="C355" s="114">
        <v>352.0</v>
      </c>
      <c r="D355" s="115">
        <v>6.0</v>
      </c>
      <c r="E355" s="116">
        <v>43630.0</v>
      </c>
      <c r="F355" s="117" t="str">
        <f>HYPERLINK("https://regional.kompas.com/read/2019/06/14/19242831/pengunjung-perempuan-dilecehkan-di-kolam-air-panas-pelaku-masih-pelajar ","sumber")</f>
        <v>sumber</v>
      </c>
      <c r="G355" s="117" t="str">
        <f t="shared" si="44"/>
        <v>lokasi</v>
      </c>
      <c r="H355" s="115">
        <v>226.0</v>
      </c>
      <c r="I355" s="118">
        <v>1.0</v>
      </c>
      <c r="J355" s="114">
        <v>1.0</v>
      </c>
      <c r="K355" s="119" t="s">
        <v>1723</v>
      </c>
      <c r="L355" s="114">
        <v>0.0</v>
      </c>
      <c r="M355" s="50">
        <v>0.0</v>
      </c>
      <c r="N355" s="120">
        <v>0.0</v>
      </c>
      <c r="O355" s="114">
        <v>1.0</v>
      </c>
      <c r="P355" s="114">
        <v>0.0</v>
      </c>
      <c r="Q355" s="114">
        <v>0.0</v>
      </c>
      <c r="R355" s="114">
        <v>0.0</v>
      </c>
      <c r="S355" s="114"/>
      <c r="T355" s="114">
        <v>0.0</v>
      </c>
      <c r="U355" s="114">
        <v>0.0</v>
      </c>
      <c r="V355" s="114">
        <v>1.0</v>
      </c>
      <c r="W355" s="122"/>
      <c r="X355" s="122"/>
      <c r="Y355" s="122"/>
    </row>
    <row r="356">
      <c r="A356" s="101">
        <v>1.0</v>
      </c>
      <c r="B356" s="96" t="s">
        <v>1724</v>
      </c>
      <c r="C356" s="33">
        <v>353.0</v>
      </c>
      <c r="D356" s="97">
        <v>8.0</v>
      </c>
      <c r="E356" s="98">
        <v>43644.0</v>
      </c>
      <c r="F356" s="35" t="str">
        <f>HYPERLINK("https://www.suara.com/entertainment/2019/06/28/103243/ya-ampun-personel-duo-semangka-live-instagram-sampai-pamer-dada ","sumber")</f>
        <v>sumber</v>
      </c>
      <c r="G356" s="35" t="str">
        <f t="shared" si="44"/>
        <v>lokasi</v>
      </c>
      <c r="H356" s="97">
        <v>195.0</v>
      </c>
      <c r="I356" s="99">
        <v>2.0</v>
      </c>
      <c r="J356" s="33">
        <v>1.0</v>
      </c>
      <c r="K356" s="102" t="s">
        <v>1725</v>
      </c>
      <c r="L356" s="33">
        <v>0.0</v>
      </c>
      <c r="M356" s="33">
        <v>0.0</v>
      </c>
      <c r="N356" s="37">
        <v>0.0</v>
      </c>
      <c r="O356" s="33">
        <v>0.0</v>
      </c>
      <c r="P356" s="33">
        <v>-1.0</v>
      </c>
      <c r="Q356" s="33" t="s">
        <v>53</v>
      </c>
      <c r="R356" s="33" t="s">
        <v>718</v>
      </c>
      <c r="S356" s="33"/>
      <c r="T356" s="33">
        <v>0.0</v>
      </c>
      <c r="U356" s="33">
        <v>0.0</v>
      </c>
      <c r="V356" s="33">
        <v>0.0</v>
      </c>
      <c r="W356" s="36"/>
      <c r="X356" s="36"/>
      <c r="Y356" s="36"/>
    </row>
    <row r="357">
      <c r="A357" s="112">
        <v>1.0</v>
      </c>
      <c r="B357" s="125" t="s">
        <v>1726</v>
      </c>
      <c r="C357" s="114">
        <v>354.0</v>
      </c>
      <c r="D357" s="115">
        <v>6.0</v>
      </c>
      <c r="E357" s="116">
        <v>43647.0</v>
      </c>
      <c r="F357" s="117" t="str">
        <f>HYPERLINK("https://entertainment.kompas.com/read/2019/07/01/102606210/didampingi-hotman-paris-fairuz-a-rafiq-dan-suami-sambangi-polda-metro ","sumber")</f>
        <v>sumber</v>
      </c>
      <c r="G357" s="117" t="str">
        <f t="shared" si="44"/>
        <v>lokasi</v>
      </c>
      <c r="H357" s="115">
        <v>201.0</v>
      </c>
      <c r="I357" s="118">
        <v>1.0</v>
      </c>
      <c r="J357" s="114">
        <v>1.0</v>
      </c>
      <c r="K357" s="119" t="s">
        <v>1721</v>
      </c>
      <c r="L357" s="114">
        <v>0.0</v>
      </c>
      <c r="M357" s="50">
        <v>0.0</v>
      </c>
      <c r="N357" s="120">
        <v>0.0</v>
      </c>
      <c r="O357" s="114">
        <v>1.0</v>
      </c>
      <c r="P357" s="114">
        <v>0.0</v>
      </c>
      <c r="Q357" s="114">
        <v>2.0</v>
      </c>
      <c r="R357" s="114">
        <v>1.0</v>
      </c>
      <c r="S357" s="114"/>
      <c r="T357" s="114">
        <v>0.0</v>
      </c>
      <c r="U357" s="114">
        <v>0.0</v>
      </c>
      <c r="V357" s="114">
        <v>1.0</v>
      </c>
      <c r="W357" s="122"/>
      <c r="X357" s="122"/>
      <c r="Y357" s="122"/>
    </row>
    <row r="358">
      <c r="A358" s="101">
        <v>1.0</v>
      </c>
      <c r="B358" s="96" t="s">
        <v>1727</v>
      </c>
      <c r="C358" s="33">
        <v>355.0</v>
      </c>
      <c r="D358" s="97">
        <v>4.0</v>
      </c>
      <c r="E358" s="98">
        <v>43651.0</v>
      </c>
      <c r="F358" s="35" t="str">
        <f>HYPERLINK("https://www.liputan6.com/news/read/4005486/perjalanan-kasus-baiq-nuril-hingga-putusan-pk-ditolak ","sumber")</f>
        <v>sumber</v>
      </c>
      <c r="G358" s="35" t="str">
        <f t="shared" si="44"/>
        <v>lokasi</v>
      </c>
      <c r="H358" s="97">
        <v>1185.0</v>
      </c>
      <c r="I358" s="99">
        <v>1.0</v>
      </c>
      <c r="J358" s="33">
        <v>1.0</v>
      </c>
      <c r="K358" s="102" t="s">
        <v>1728</v>
      </c>
      <c r="L358" s="33">
        <v>0.0</v>
      </c>
      <c r="M358" s="33">
        <v>1.0</v>
      </c>
      <c r="N358" s="37">
        <v>0.0</v>
      </c>
      <c r="O358" s="33">
        <v>1.0</v>
      </c>
      <c r="P358" s="33">
        <v>0.0</v>
      </c>
      <c r="Q358" s="33" t="s">
        <v>53</v>
      </c>
      <c r="R358" s="33" t="s">
        <v>409</v>
      </c>
      <c r="S358" s="33"/>
      <c r="T358" s="33">
        <v>0.0</v>
      </c>
      <c r="U358" s="33">
        <v>0.0</v>
      </c>
      <c r="V358" s="33">
        <v>1.0</v>
      </c>
      <c r="W358" s="36"/>
      <c r="X358" s="36"/>
      <c r="Y358" s="36"/>
    </row>
    <row r="359">
      <c r="A359" s="101">
        <v>1.0</v>
      </c>
      <c r="B359" s="96" t="s">
        <v>1729</v>
      </c>
      <c r="C359" s="33">
        <v>356.0</v>
      </c>
      <c r="D359" s="97">
        <v>6.0</v>
      </c>
      <c r="E359" s="98">
        <v>43652.0</v>
      </c>
      <c r="F359" s="35" t="str">
        <f>HYPERLINK("https://nasional.kompas.com/read/2019/07/06/14384011/komitmen-jokowi-soal-pemberdayaan-perempuan-harus-dibuktikan-lewat-amnesti ","sumber")</f>
        <v>sumber</v>
      </c>
      <c r="G359" s="35" t="str">
        <f t="shared" si="44"/>
        <v>lokasi</v>
      </c>
      <c r="H359" s="97">
        <v>377.0</v>
      </c>
      <c r="I359" s="99">
        <v>1.0</v>
      </c>
      <c r="J359" s="33">
        <v>1.0</v>
      </c>
      <c r="K359" s="102" t="s">
        <v>1730</v>
      </c>
      <c r="L359" s="33">
        <v>0.0</v>
      </c>
      <c r="M359" s="33">
        <v>1.0</v>
      </c>
      <c r="N359" s="37">
        <v>0.0</v>
      </c>
      <c r="O359" s="33">
        <v>0.0</v>
      </c>
      <c r="P359" s="33">
        <v>0.0</v>
      </c>
      <c r="Q359" s="33" t="s">
        <v>1731</v>
      </c>
      <c r="R359" s="33" t="s">
        <v>1586</v>
      </c>
      <c r="S359" s="33"/>
      <c r="T359" s="33">
        <v>0.0</v>
      </c>
      <c r="U359" s="33">
        <v>0.0</v>
      </c>
      <c r="V359" s="33">
        <v>1.0</v>
      </c>
      <c r="W359" s="36"/>
      <c r="X359" s="36"/>
      <c r="Y359" s="36"/>
    </row>
    <row r="360">
      <c r="A360" s="101">
        <v>1.0</v>
      </c>
      <c r="B360" s="96" t="s">
        <v>1732</v>
      </c>
      <c r="C360" s="33">
        <v>357.0</v>
      </c>
      <c r="D360" s="97">
        <v>4.0</v>
      </c>
      <c r="E360" s="98">
        <v>43652.0</v>
      </c>
      <c r="F360" s="35" t="str">
        <f>HYPERLINK("https://www.liputan6.com/news/read/4006115/pengacara-permohonan-amnesti-baiq-nuril-diajukan-minggu-depan ","sumber")</f>
        <v>sumber</v>
      </c>
      <c r="G360" s="35" t="str">
        <f t="shared" si="44"/>
        <v>lokasi</v>
      </c>
      <c r="H360" s="97">
        <v>288.0</v>
      </c>
      <c r="I360" s="99">
        <v>1.0</v>
      </c>
      <c r="J360" s="33">
        <v>1.0</v>
      </c>
      <c r="K360" s="102" t="s">
        <v>1733</v>
      </c>
      <c r="L360" s="33">
        <v>0.0</v>
      </c>
      <c r="M360" s="33">
        <v>1.0</v>
      </c>
      <c r="N360" s="37">
        <v>0.0</v>
      </c>
      <c r="O360" s="33">
        <v>0.0</v>
      </c>
      <c r="P360" s="33">
        <v>0.0</v>
      </c>
      <c r="Q360" s="33" t="s">
        <v>651</v>
      </c>
      <c r="R360" s="33" t="s">
        <v>192</v>
      </c>
      <c r="S360" s="33"/>
      <c r="T360" s="33">
        <v>0.0</v>
      </c>
      <c r="U360" s="33">
        <v>0.0</v>
      </c>
      <c r="V360" s="33">
        <v>1.0</v>
      </c>
      <c r="W360" s="36"/>
      <c r="X360" s="36"/>
      <c r="Y360" s="36"/>
    </row>
    <row r="361">
      <c r="A361" s="101">
        <v>1.0</v>
      </c>
      <c r="B361" s="96" t="s">
        <v>1734</v>
      </c>
      <c r="C361" s="33">
        <v>358.0</v>
      </c>
      <c r="D361" s="97">
        <v>1.0</v>
      </c>
      <c r="E361" s="98">
        <v>43653.0</v>
      </c>
      <c r="F361" s="35" t="str">
        <f>HYPERLINK("https://news.detik.com/berita/d-4614175/berkaca-dari-baiq-nuril-ini-point-penting-ruu-penghapusan-kekerasan-seksual ","sumber")</f>
        <v>sumber</v>
      </c>
      <c r="G361" s="35" t="str">
        <f t="shared" si="44"/>
        <v>lokasi</v>
      </c>
      <c r="H361" s="97">
        <v>441.0</v>
      </c>
      <c r="I361" s="99">
        <v>4.0</v>
      </c>
      <c r="J361" s="33">
        <v>1.0</v>
      </c>
      <c r="K361" s="102" t="s">
        <v>1735</v>
      </c>
      <c r="L361" s="33">
        <v>0.0</v>
      </c>
      <c r="M361" s="33">
        <v>0.0</v>
      </c>
      <c r="N361" s="37">
        <v>0.0</v>
      </c>
      <c r="O361" s="33">
        <v>0.0</v>
      </c>
      <c r="P361" s="33">
        <v>0.0</v>
      </c>
      <c r="Q361" s="33">
        <v>0.0</v>
      </c>
      <c r="R361" s="33">
        <v>1.0</v>
      </c>
      <c r="S361" s="33"/>
      <c r="T361" s="33">
        <v>0.0</v>
      </c>
      <c r="U361" s="33">
        <v>0.0</v>
      </c>
      <c r="V361" s="33">
        <v>1.0</v>
      </c>
      <c r="W361" s="36"/>
      <c r="X361" s="36"/>
      <c r="Y361" s="36"/>
    </row>
    <row r="362">
      <c r="A362" s="101">
        <v>1.0</v>
      </c>
      <c r="B362" s="96" t="s">
        <v>1736</v>
      </c>
      <c r="C362" s="33">
        <v>359.0</v>
      </c>
      <c r="D362" s="97">
        <v>3.0</v>
      </c>
      <c r="E362" s="98">
        <v>43653.0</v>
      </c>
      <c r="F362" s="35" t="str">
        <f>HYPERLINK("https://news.okezone.com/read/2019/07/07/337/2075612/putusan-ma-menolak-pk-dinilai-telah-menindas-keadilan-baiq-nuril ","sumber")</f>
        <v>sumber</v>
      </c>
      <c r="G362" s="35" t="str">
        <f t="shared" si="44"/>
        <v>lokasi</v>
      </c>
      <c r="H362" s="97">
        <v>308.0</v>
      </c>
      <c r="I362" s="99">
        <v>1.0</v>
      </c>
      <c r="J362" s="33">
        <v>1.0</v>
      </c>
      <c r="K362" s="102" t="s">
        <v>1737</v>
      </c>
      <c r="L362" s="33">
        <v>0.0</v>
      </c>
      <c r="M362" s="50">
        <v>0.0</v>
      </c>
      <c r="N362" s="37">
        <v>0.0</v>
      </c>
      <c r="O362" s="33">
        <v>0.0</v>
      </c>
      <c r="P362" s="33">
        <v>0.0</v>
      </c>
      <c r="Q362" s="33">
        <v>0.0</v>
      </c>
      <c r="R362" s="33">
        <v>1.0</v>
      </c>
      <c r="S362" s="33"/>
      <c r="T362" s="33">
        <v>0.0</v>
      </c>
      <c r="U362" s="33">
        <v>-1.0</v>
      </c>
      <c r="V362" s="33">
        <v>1.0</v>
      </c>
      <c r="W362" s="36"/>
      <c r="X362" s="36"/>
      <c r="Y362" s="36"/>
    </row>
    <row r="363">
      <c r="A363" s="101">
        <v>1.0</v>
      </c>
      <c r="B363" s="96" t="s">
        <v>1738</v>
      </c>
      <c r="C363" s="33">
        <v>360.0</v>
      </c>
      <c r="D363" s="97">
        <v>5.0</v>
      </c>
      <c r="E363" s="98">
        <v>43653.0</v>
      </c>
      <c r="F363" s="35" t="str">
        <f>HYPERLINK("https://tirto.id/ombudsman-sebut-ada-potensi-maladministrasi-kasus-baiq-nurul-di-ma-edKM ","sumber")</f>
        <v>sumber</v>
      </c>
      <c r="G363" s="35" t="str">
        <f t="shared" si="44"/>
        <v>lokasi</v>
      </c>
      <c r="H363" s="97">
        <v>609.0</v>
      </c>
      <c r="I363" s="99">
        <v>1.0</v>
      </c>
      <c r="J363" s="33">
        <v>1.0</v>
      </c>
      <c r="K363" s="102" t="s">
        <v>1739</v>
      </c>
      <c r="L363" s="33">
        <v>0.0</v>
      </c>
      <c r="M363" s="50">
        <v>0.0</v>
      </c>
      <c r="N363" s="37">
        <v>0.0</v>
      </c>
      <c r="O363" s="33">
        <v>0.0</v>
      </c>
      <c r="P363" s="33">
        <v>0.0</v>
      </c>
      <c r="Q363" s="33">
        <v>0.0</v>
      </c>
      <c r="R363" s="33">
        <v>1.0</v>
      </c>
      <c r="S363" s="33"/>
      <c r="T363" s="33">
        <v>0.0</v>
      </c>
      <c r="U363" s="33">
        <v>0.0</v>
      </c>
      <c r="V363" s="33">
        <v>1.0</v>
      </c>
      <c r="W363" s="36"/>
      <c r="X363" s="36"/>
      <c r="Y363" s="36"/>
    </row>
    <row r="364">
      <c r="A364" s="101">
        <v>1.0</v>
      </c>
      <c r="B364" s="96" t="s">
        <v>1740</v>
      </c>
      <c r="C364" s="33">
        <v>361.0</v>
      </c>
      <c r="D364" s="97">
        <v>5.0</v>
      </c>
      <c r="E364" s="98">
        <v>43654.0</v>
      </c>
      <c r="F364" s="35" t="str">
        <f>HYPERLINK("https://tirto.id/tak-cukup-tampil-di-layar-perempuan-harus-aktif-di-produksi-film-edHc ","sumber")</f>
        <v>sumber</v>
      </c>
      <c r="G364" s="35" t="str">
        <f t="shared" si="44"/>
        <v>lokasi</v>
      </c>
      <c r="H364" s="97">
        <v>690.0</v>
      </c>
      <c r="I364" s="99">
        <v>2.0</v>
      </c>
      <c r="J364" s="33">
        <v>1.0</v>
      </c>
      <c r="K364" s="102" t="s">
        <v>1741</v>
      </c>
      <c r="L364" s="33">
        <v>0.0</v>
      </c>
      <c r="M364" s="33">
        <v>0.0</v>
      </c>
      <c r="N364" s="37">
        <v>0.0</v>
      </c>
      <c r="O364" s="33">
        <v>0.0</v>
      </c>
      <c r="P364" s="33">
        <v>0.0</v>
      </c>
      <c r="Q364" s="33" t="s">
        <v>214</v>
      </c>
      <c r="R364" s="33" t="s">
        <v>192</v>
      </c>
      <c r="S364" s="33"/>
      <c r="T364" s="33">
        <v>0.0</v>
      </c>
      <c r="U364" s="33">
        <v>0.0</v>
      </c>
      <c r="V364" s="33">
        <v>1.0</v>
      </c>
      <c r="W364" s="36"/>
      <c r="X364" s="36"/>
      <c r="Y364" s="36"/>
    </row>
    <row r="365">
      <c r="A365" s="101">
        <v>1.0</v>
      </c>
      <c r="B365" s="96" t="s">
        <v>1742</v>
      </c>
      <c r="C365" s="33">
        <v>362.0</v>
      </c>
      <c r="D365" s="97">
        <v>10.0</v>
      </c>
      <c r="E365" s="98">
        <v>43655.0</v>
      </c>
      <c r="F365" s="35" t="str">
        <f>HYPERLINK("https://gaya.tempo.co/read/1222555/pro-kontra-aborsi-di-amerika-bagaimana-dengan-di-indonesia ","sumber")</f>
        <v>sumber</v>
      </c>
      <c r="G365" s="35" t="str">
        <f t="shared" si="44"/>
        <v>lokasi</v>
      </c>
      <c r="H365" s="97">
        <v>326.0</v>
      </c>
      <c r="I365" s="99">
        <v>4.0</v>
      </c>
      <c r="J365" s="33">
        <v>1.0</v>
      </c>
      <c r="K365" s="102" t="s">
        <v>1743</v>
      </c>
      <c r="L365" s="33">
        <v>0.0</v>
      </c>
      <c r="M365" s="33">
        <v>0.0</v>
      </c>
      <c r="N365" s="37">
        <v>0.0</v>
      </c>
      <c r="O365" s="33">
        <v>0.0</v>
      </c>
      <c r="P365" s="33">
        <v>0.0</v>
      </c>
      <c r="Q365" s="33">
        <v>0.0</v>
      </c>
      <c r="R365" s="33">
        <v>0.0</v>
      </c>
      <c r="S365" s="33"/>
      <c r="T365" s="33">
        <v>0.0</v>
      </c>
      <c r="U365" s="33">
        <v>0.0</v>
      </c>
      <c r="V365" s="33">
        <v>1.0</v>
      </c>
      <c r="W365" s="36"/>
      <c r="X365" s="36"/>
      <c r="Y365" s="36"/>
    </row>
    <row r="366">
      <c r="A366" s="101">
        <v>1.0</v>
      </c>
      <c r="B366" s="96" t="s">
        <v>1744</v>
      </c>
      <c r="C366" s="33">
        <v>363.0</v>
      </c>
      <c r="D366" s="97">
        <v>8.0</v>
      </c>
      <c r="E366" s="98">
        <v>43657.0</v>
      </c>
      <c r="F366" s="35" t="str">
        <f>HYPERLINK("https://www.suara.com/news/2019/07/11/162306/geger-waria-masuk-kementerian-begini-jawaban-pm-malaysia-mahathir ","sumber")</f>
        <v>sumber</v>
      </c>
      <c r="G366" s="35" t="str">
        <f t="shared" si="44"/>
        <v>lokasi</v>
      </c>
      <c r="H366" s="97">
        <v>252.0</v>
      </c>
      <c r="I366" s="99">
        <v>2.0</v>
      </c>
      <c r="J366" s="33">
        <v>1.0</v>
      </c>
      <c r="K366" s="102" t="s">
        <v>1745</v>
      </c>
      <c r="L366" s="33">
        <v>0.0</v>
      </c>
      <c r="M366" s="33">
        <v>0.0</v>
      </c>
      <c r="N366" s="37">
        <v>0.0</v>
      </c>
      <c r="O366" s="33">
        <v>0.0</v>
      </c>
      <c r="P366" s="33">
        <v>-1.0</v>
      </c>
      <c r="Q366" s="33" t="s">
        <v>61</v>
      </c>
      <c r="R366" s="33" t="s">
        <v>173</v>
      </c>
      <c r="S366" s="33"/>
      <c r="T366" s="33">
        <v>0.0</v>
      </c>
      <c r="U366" s="33">
        <v>0.0</v>
      </c>
      <c r="V366" s="33">
        <v>1.0</v>
      </c>
      <c r="W366" s="36"/>
      <c r="X366" s="36"/>
      <c r="Y366" s="36"/>
    </row>
    <row r="367">
      <c r="A367" s="101">
        <v>1.0</v>
      </c>
      <c r="B367" s="96" t="s">
        <v>1746</v>
      </c>
      <c r="C367" s="33">
        <v>364.0</v>
      </c>
      <c r="D367" s="97">
        <v>2.0</v>
      </c>
      <c r="E367" s="98">
        <v>43663.0</v>
      </c>
      <c r="F367" s="35" t="str">
        <f>HYPERLINK("https://www.cnnindonesia.com/hiburan/20190717174034-234-413040/polisi-miliki-rekaman-cctv-pelecehan-seksual-lee-min-woo ","sumber")</f>
        <v>sumber</v>
      </c>
      <c r="G367" s="35" t="str">
        <f t="shared" si="44"/>
        <v>lokasi</v>
      </c>
      <c r="H367" s="97">
        <v>248.0</v>
      </c>
      <c r="I367" s="99">
        <v>1.0</v>
      </c>
      <c r="J367" s="33">
        <v>1.0</v>
      </c>
      <c r="K367" s="102" t="s">
        <v>1747</v>
      </c>
      <c r="L367" s="33">
        <v>0.0</v>
      </c>
      <c r="M367" s="33">
        <v>-1.0</v>
      </c>
      <c r="N367" s="37">
        <v>0.0</v>
      </c>
      <c r="O367" s="33">
        <v>0.0</v>
      </c>
      <c r="P367" s="33">
        <v>0.0</v>
      </c>
      <c r="Q367" s="33" t="s">
        <v>61</v>
      </c>
      <c r="R367" s="33" t="s">
        <v>685</v>
      </c>
      <c r="S367" s="33"/>
      <c r="T367" s="33">
        <v>0.0</v>
      </c>
      <c r="U367" s="33">
        <v>0.0</v>
      </c>
      <c r="V367" s="33">
        <v>1.0</v>
      </c>
      <c r="W367" s="36"/>
      <c r="X367" s="36"/>
      <c r="Y367" s="36"/>
    </row>
    <row r="368">
      <c r="A368" s="112">
        <v>1.0</v>
      </c>
      <c r="B368" s="125" t="s">
        <v>1748</v>
      </c>
      <c r="C368" s="114">
        <v>365.0</v>
      </c>
      <c r="D368" s="115">
        <v>5.0</v>
      </c>
      <c r="E368" s="116">
        <v>43651.0</v>
      </c>
      <c r="F368" s="117" t="str">
        <f>HYPERLINK("https://tirto.id/soal-pelanggaran-uu-ite-di-kasus-baiq-nuril-dinilai-salah-kaprah-edGg ","sumber")</f>
        <v>sumber</v>
      </c>
      <c r="G368" s="117" t="str">
        <f t="shared" si="44"/>
        <v>lokasi</v>
      </c>
      <c r="H368" s="115">
        <v>316.0</v>
      </c>
      <c r="I368" s="118">
        <v>1.0</v>
      </c>
      <c r="J368" s="114">
        <v>1.0</v>
      </c>
      <c r="K368" s="119" t="s">
        <v>1749</v>
      </c>
      <c r="L368" s="114">
        <v>0.0</v>
      </c>
      <c r="M368" s="50">
        <v>0.0</v>
      </c>
      <c r="N368" s="120">
        <v>0.0</v>
      </c>
      <c r="O368" s="114">
        <v>0.0</v>
      </c>
      <c r="P368" s="114">
        <v>0.0</v>
      </c>
      <c r="Q368" s="114" t="s">
        <v>119</v>
      </c>
      <c r="R368" s="121" t="s">
        <v>192</v>
      </c>
      <c r="S368" s="114"/>
      <c r="T368" s="114">
        <v>0.0</v>
      </c>
      <c r="U368" s="114">
        <v>0.0</v>
      </c>
      <c r="V368" s="114">
        <v>1.0</v>
      </c>
      <c r="W368" s="122"/>
      <c r="X368" s="122"/>
      <c r="Y368" s="122"/>
    </row>
    <row r="369">
      <c r="A369" s="101">
        <v>1.0</v>
      </c>
      <c r="B369" s="96" t="s">
        <v>1750</v>
      </c>
      <c r="C369" s="33">
        <v>366.0</v>
      </c>
      <c r="D369" s="97">
        <v>7.0</v>
      </c>
      <c r="E369" s="98">
        <v>43666.0</v>
      </c>
      <c r="F369" s="35" t="str">
        <f>HYPERLINK("https://www.tribunnews.com/nasional/2019/07/20/kpai-kekerasan-seksual-di-sekolah-didominasi-guru-dan-kepala-sekolah ","sumber")</f>
        <v>sumber</v>
      </c>
      <c r="G369" s="35" t="str">
        <f t="shared" si="44"/>
        <v>lokasi</v>
      </c>
      <c r="H369" s="97">
        <v>315.0</v>
      </c>
      <c r="I369" s="99">
        <v>1.0</v>
      </c>
      <c r="J369" s="33">
        <v>1.0</v>
      </c>
      <c r="K369" s="102" t="s">
        <v>1089</v>
      </c>
      <c r="L369" s="33">
        <v>0.0</v>
      </c>
      <c r="M369" s="33">
        <v>1.0</v>
      </c>
      <c r="N369" s="37">
        <v>0.0</v>
      </c>
      <c r="O369" s="33">
        <v>0.0</v>
      </c>
      <c r="P369" s="33">
        <v>0.0</v>
      </c>
      <c r="Q369" s="33">
        <v>1.0</v>
      </c>
      <c r="R369" s="33">
        <v>1.0</v>
      </c>
      <c r="S369" s="33"/>
      <c r="T369" s="33">
        <v>0.0</v>
      </c>
      <c r="U369" s="33">
        <v>0.0</v>
      </c>
      <c r="V369" s="33">
        <v>1.0</v>
      </c>
      <c r="W369" s="36"/>
      <c r="X369" s="36"/>
      <c r="Y369" s="36"/>
    </row>
    <row r="370">
      <c r="A370" s="105">
        <v>2.0</v>
      </c>
      <c r="B370" s="106" t="s">
        <v>1751</v>
      </c>
      <c r="C370" s="40">
        <v>367.0</v>
      </c>
      <c r="D370" s="107">
        <v>2.0</v>
      </c>
      <c r="E370" s="108">
        <v>43668.0</v>
      </c>
      <c r="F370" s="42" t="str">
        <f>HYPERLINK("https://www.cnnindonesia.com/hiburan/20190721182624-227-414151/day6-ajak-cintai-diri-dalam-the-book-of-us-gravity ","sumber")</f>
        <v>sumber</v>
      </c>
      <c r="G370" s="40" t="s">
        <v>33</v>
      </c>
      <c r="H370" s="107">
        <v>526.0</v>
      </c>
      <c r="I370" s="109"/>
      <c r="J370" s="40">
        <v>1.0</v>
      </c>
      <c r="K370" s="110"/>
      <c r="L370" s="41"/>
      <c r="M370" s="41"/>
      <c r="N370" s="41"/>
      <c r="O370" s="41"/>
      <c r="P370" s="41"/>
      <c r="Q370" s="40"/>
      <c r="R370" s="111"/>
      <c r="S370" s="40"/>
      <c r="T370" s="41"/>
      <c r="U370" s="41"/>
      <c r="V370" s="41"/>
      <c r="W370" s="41"/>
      <c r="X370" s="41"/>
      <c r="Y370" s="41"/>
    </row>
    <row r="371">
      <c r="A371" s="101">
        <v>1.0</v>
      </c>
      <c r="B371" s="96" t="s">
        <v>1752</v>
      </c>
      <c r="C371" s="33">
        <v>368.0</v>
      </c>
      <c r="D371" s="97">
        <v>5.0</v>
      </c>
      <c r="E371" s="98">
        <v>43669.0</v>
      </c>
      <c r="F371" s="35" t="str">
        <f>HYPERLINK("https://tirto.id/golkar-beri-sinyal-setujui-amnesti-jokowi-atas-kasus-baiq-nuril-eeSK ","sumber")</f>
        <v>sumber</v>
      </c>
      <c r="G371" s="35" t="str">
        <f t="shared" ref="G371:G376" si="45">HYPERLINK("https://drive.google.com/open?id=15K5sriRJOw0JTPqD9yRZzl0fwZcfdV8X","lokasi")</f>
        <v>lokasi</v>
      </c>
      <c r="H371" s="97">
        <v>257.0</v>
      </c>
      <c r="I371" s="99">
        <v>4.0</v>
      </c>
      <c r="J371" s="33">
        <v>1.0</v>
      </c>
      <c r="K371" s="102" t="s">
        <v>1753</v>
      </c>
      <c r="L371" s="33">
        <v>0.0</v>
      </c>
      <c r="M371" s="33">
        <v>0.0</v>
      </c>
      <c r="N371" s="37">
        <v>0.0</v>
      </c>
      <c r="O371" s="33">
        <v>0.0</v>
      </c>
      <c r="P371" s="33">
        <v>0.0</v>
      </c>
      <c r="Q371" s="33">
        <v>0.0</v>
      </c>
      <c r="R371" s="33">
        <v>1.0</v>
      </c>
      <c r="S371" s="33"/>
      <c r="T371" s="33">
        <v>0.0</v>
      </c>
      <c r="U371" s="33">
        <v>0.0</v>
      </c>
      <c r="V371" s="33">
        <v>1.0</v>
      </c>
      <c r="W371" s="36"/>
      <c r="X371" s="36"/>
      <c r="Y371" s="36"/>
    </row>
    <row r="372">
      <c r="A372" s="112">
        <v>1.0</v>
      </c>
      <c r="B372" s="125" t="s">
        <v>1754</v>
      </c>
      <c r="C372" s="114">
        <v>369.0</v>
      </c>
      <c r="D372" s="115">
        <v>9.0</v>
      </c>
      <c r="E372" s="116">
        <v>43661.0</v>
      </c>
      <c r="F372" s="117" t="str">
        <f>HYPERLINK("https://nasional.republika.co.id/berita/puo4sr377/baiq-nuril-bacakan-surat-permohonan-ke-jokowi ","sumber")</f>
        <v>sumber</v>
      </c>
      <c r="G372" s="117" t="str">
        <f t="shared" si="45"/>
        <v>lokasi</v>
      </c>
      <c r="H372" s="115">
        <v>79.0</v>
      </c>
      <c r="I372" s="118">
        <v>1.0</v>
      </c>
      <c r="J372" s="114">
        <v>1.0</v>
      </c>
      <c r="K372" s="119" t="s">
        <v>1755</v>
      </c>
      <c r="L372" s="114">
        <v>0.0</v>
      </c>
      <c r="M372" s="50">
        <v>0.0</v>
      </c>
      <c r="N372" s="120">
        <v>0.0</v>
      </c>
      <c r="O372" s="114">
        <v>0.0</v>
      </c>
      <c r="P372" s="114">
        <v>0.0</v>
      </c>
      <c r="Q372" s="114">
        <v>2.0</v>
      </c>
      <c r="R372" s="121">
        <v>1.0</v>
      </c>
      <c r="S372" s="114"/>
      <c r="T372" s="114">
        <v>0.0</v>
      </c>
      <c r="U372" s="114">
        <v>0.0</v>
      </c>
      <c r="V372" s="114">
        <v>1.0</v>
      </c>
      <c r="W372" s="122"/>
      <c r="X372" s="122"/>
      <c r="Y372" s="122"/>
    </row>
    <row r="373">
      <c r="A373" s="101">
        <v>1.0</v>
      </c>
      <c r="B373" s="96" t="s">
        <v>1756</v>
      </c>
      <c r="C373" s="33">
        <v>370.0</v>
      </c>
      <c r="D373" s="97">
        <v>8.0</v>
      </c>
      <c r="E373" s="98">
        <v>43676.0</v>
      </c>
      <c r="F373" s="35" t="str">
        <f>HYPERLINK("https://www.suara.com/bola/2019/07/30/192025/kasus-dugaan-pemerkosaan-neymar-resmi-dihentikan ","sumber")</f>
        <v>sumber</v>
      </c>
      <c r="G373" s="35" t="str">
        <f t="shared" si="45"/>
        <v>lokasi</v>
      </c>
      <c r="H373" s="97">
        <v>213.0</v>
      </c>
      <c r="I373" s="99">
        <v>1.0</v>
      </c>
      <c r="J373" s="33">
        <v>1.0</v>
      </c>
      <c r="K373" s="102"/>
      <c r="L373" s="33">
        <v>0.0</v>
      </c>
      <c r="M373" s="33">
        <v>-1.0</v>
      </c>
      <c r="N373" s="33">
        <v>-1.0</v>
      </c>
      <c r="O373" s="33">
        <v>1.0</v>
      </c>
      <c r="P373" s="33">
        <v>0.0</v>
      </c>
      <c r="Q373" s="33"/>
      <c r="R373" s="33"/>
      <c r="S373" s="33"/>
      <c r="T373" s="33">
        <v>0.0</v>
      </c>
      <c r="U373" s="33">
        <v>0.0</v>
      </c>
      <c r="V373" s="33">
        <v>1.0</v>
      </c>
      <c r="W373" s="36"/>
      <c r="X373" s="36"/>
      <c r="Y373" s="36"/>
    </row>
    <row r="374">
      <c r="A374" s="101">
        <v>1.0</v>
      </c>
      <c r="B374" s="96" t="s">
        <v>1757</v>
      </c>
      <c r="C374" s="33">
        <v>371.0</v>
      </c>
      <c r="D374" s="97">
        <v>9.0</v>
      </c>
      <c r="E374" s="98">
        <v>43680.0</v>
      </c>
      <c r="F374" s="35" t="str">
        <f>HYPERLINK("https://nasional.republika.co.id/berita/pvn7o4415/pemerintah-kaji-revisi-uu-ite ","sumber")</f>
        <v>sumber</v>
      </c>
      <c r="G374" s="35" t="str">
        <f t="shared" si="45"/>
        <v>lokasi</v>
      </c>
      <c r="H374" s="97">
        <v>459.0</v>
      </c>
      <c r="I374" s="99">
        <v>4.0</v>
      </c>
      <c r="J374" s="33">
        <v>1.0</v>
      </c>
      <c r="K374" s="102" t="s">
        <v>1758</v>
      </c>
      <c r="L374" s="33">
        <v>0.0</v>
      </c>
      <c r="M374" s="33">
        <v>0.0</v>
      </c>
      <c r="N374" s="37">
        <v>0.0</v>
      </c>
      <c r="O374" s="33">
        <v>0.0</v>
      </c>
      <c r="P374" s="33">
        <v>0.0</v>
      </c>
      <c r="Q374" s="33" t="s">
        <v>119</v>
      </c>
      <c r="R374" s="33" t="s">
        <v>214</v>
      </c>
      <c r="S374" s="33"/>
      <c r="T374" s="33">
        <v>0.0</v>
      </c>
      <c r="U374" s="33">
        <v>0.0</v>
      </c>
      <c r="V374" s="33">
        <v>1.0</v>
      </c>
      <c r="W374" s="36"/>
      <c r="X374" s="36"/>
      <c r="Y374" s="36"/>
    </row>
    <row r="375">
      <c r="A375" s="101">
        <v>1.0</v>
      </c>
      <c r="B375" s="96" t="s">
        <v>1759</v>
      </c>
      <c r="C375" s="33">
        <v>372.0</v>
      </c>
      <c r="D375" s="97">
        <v>5.0</v>
      </c>
      <c r="E375" s="98">
        <v>43685.0</v>
      </c>
      <c r="F375" s="35" t="str">
        <f>HYPERLINK("https://tirto.id/ketika-anak-dan-perempuan-indonesia-masih-terpinggirkan-efE3 ","sumber")</f>
        <v>sumber</v>
      </c>
      <c r="G375" s="35" t="str">
        <f t="shared" si="45"/>
        <v>lokasi</v>
      </c>
      <c r="H375" s="97">
        <v>1915.0</v>
      </c>
      <c r="I375" s="99">
        <v>2.0</v>
      </c>
      <c r="J375" s="33">
        <v>1.0</v>
      </c>
      <c r="K375" s="102" t="s">
        <v>1760</v>
      </c>
      <c r="L375" s="33">
        <v>0.0</v>
      </c>
      <c r="M375" s="33">
        <v>0.0</v>
      </c>
      <c r="N375" s="37">
        <v>0.0</v>
      </c>
      <c r="O375" s="33">
        <v>0.0</v>
      </c>
      <c r="P375" s="33">
        <v>0.0</v>
      </c>
      <c r="Q375" s="33" t="s">
        <v>138</v>
      </c>
      <c r="R375" s="33" t="s">
        <v>138</v>
      </c>
      <c r="S375" s="33"/>
      <c r="T375" s="33">
        <v>0.0</v>
      </c>
      <c r="U375" s="33">
        <v>0.0</v>
      </c>
      <c r="V375" s="33">
        <v>1.0</v>
      </c>
      <c r="W375" s="36"/>
      <c r="X375" s="36"/>
      <c r="Y375" s="36"/>
    </row>
    <row r="376">
      <c r="A376" s="112">
        <v>1.0</v>
      </c>
      <c r="B376" s="125" t="s">
        <v>1761</v>
      </c>
      <c r="C376" s="114">
        <v>373.0</v>
      </c>
      <c r="D376" s="115">
        <v>2.0</v>
      </c>
      <c r="E376" s="116">
        <v>43704.0</v>
      </c>
      <c r="F376" s="117" t="str">
        <f>HYPERLINK("https://www.cnnindonesia.com/nasional/20190827122640-32-424979/dpr-minta-idi-laksanakan-putusan-pengadilan-soal-kebiri-kimia ","sumber")</f>
        <v>sumber</v>
      </c>
      <c r="G376" s="117" t="str">
        <f t="shared" si="45"/>
        <v>lokasi</v>
      </c>
      <c r="H376" s="115">
        <v>399.0</v>
      </c>
      <c r="I376" s="118">
        <v>4.0</v>
      </c>
      <c r="J376" s="114">
        <v>1.0</v>
      </c>
      <c r="K376" s="119" t="s">
        <v>1762</v>
      </c>
      <c r="L376" s="114">
        <v>0.0</v>
      </c>
      <c r="M376" s="114">
        <v>0.0</v>
      </c>
      <c r="N376" s="120">
        <v>0.0</v>
      </c>
      <c r="O376" s="114">
        <v>0.0</v>
      </c>
      <c r="P376" s="114">
        <v>0.0</v>
      </c>
      <c r="Q376" s="114" t="s">
        <v>61</v>
      </c>
      <c r="R376" s="121" t="s">
        <v>61</v>
      </c>
      <c r="S376" s="114"/>
      <c r="T376" s="114">
        <v>0.0</v>
      </c>
      <c r="U376" s="114">
        <v>0.0</v>
      </c>
      <c r="V376" s="114">
        <v>1.0</v>
      </c>
      <c r="W376" s="122"/>
      <c r="X376" s="122"/>
      <c r="Y376" s="122"/>
    </row>
    <row r="377">
      <c r="A377" s="105">
        <v>2.0</v>
      </c>
      <c r="B377" s="106" t="s">
        <v>1763</v>
      </c>
      <c r="C377" s="40">
        <v>374.0</v>
      </c>
      <c r="D377" s="107">
        <v>4.0</v>
      </c>
      <c r="E377" s="108">
        <v>43690.0</v>
      </c>
      <c r="F377" s="42" t="str">
        <f>HYPERLINK("https://www.liputan6.com/global/read/4036256/disidang-pelaku-serangan-teroris-masjid-di-norwegia-mengaku-tak-bersalah ","sumber")</f>
        <v>sumber</v>
      </c>
      <c r="G377" s="40" t="s">
        <v>33</v>
      </c>
      <c r="H377" s="107">
        <v>586.0</v>
      </c>
      <c r="I377" s="109"/>
      <c r="J377" s="40">
        <v>1.0</v>
      </c>
      <c r="K377" s="110"/>
      <c r="L377" s="41"/>
      <c r="M377" s="41"/>
      <c r="N377" s="41"/>
      <c r="O377" s="41"/>
      <c r="P377" s="41"/>
      <c r="Q377" s="40"/>
      <c r="R377" s="111"/>
      <c r="S377" s="40"/>
      <c r="T377" s="41"/>
      <c r="U377" s="41"/>
      <c r="V377" s="41"/>
      <c r="W377" s="41"/>
      <c r="X377" s="41"/>
      <c r="Y377" s="41"/>
    </row>
    <row r="378">
      <c r="A378" s="112">
        <v>1.0</v>
      </c>
      <c r="B378" s="125" t="s">
        <v>1764</v>
      </c>
      <c r="C378" s="114">
        <v>375.0</v>
      </c>
      <c r="D378" s="115">
        <v>10.0</v>
      </c>
      <c r="E378" s="116">
        <v>43690.0</v>
      </c>
      <c r="F378" s="117" t="str">
        <f>HYPERLINK("https://metro.tempo.co/read/1235200/ade-armando-putusan-kasus-kekerasan-seksual-rizky-amelia-ganjil ","sumber")</f>
        <v>sumber</v>
      </c>
      <c r="G378" s="117" t="str">
        <f t="shared" ref="G378:G382" si="46">HYPERLINK("https://drive.google.com/open?id=15K5sriRJOw0JTPqD9yRZzl0fwZcfdV8X","lokasi")</f>
        <v>lokasi</v>
      </c>
      <c r="H378" s="115">
        <v>322.0</v>
      </c>
      <c r="I378" s="118">
        <v>1.0</v>
      </c>
      <c r="J378" s="114">
        <v>1.0</v>
      </c>
      <c r="K378" s="119" t="s">
        <v>1765</v>
      </c>
      <c r="L378" s="114">
        <v>0.0</v>
      </c>
      <c r="M378" s="50">
        <v>0.0</v>
      </c>
      <c r="N378" s="120">
        <v>0.0</v>
      </c>
      <c r="O378" s="114">
        <v>1.0</v>
      </c>
      <c r="P378" s="114">
        <v>0.0</v>
      </c>
      <c r="Q378" s="114">
        <v>0.0</v>
      </c>
      <c r="R378" s="121">
        <v>1.0</v>
      </c>
      <c r="S378" s="114"/>
      <c r="T378" s="114">
        <v>0.0</v>
      </c>
      <c r="U378" s="114">
        <v>0.0</v>
      </c>
      <c r="V378" s="114">
        <v>1.0</v>
      </c>
      <c r="W378" s="122"/>
      <c r="X378" s="122"/>
      <c r="Y378" s="122"/>
    </row>
    <row r="379">
      <c r="A379" s="101">
        <v>1.0</v>
      </c>
      <c r="B379" s="96" t="s">
        <v>1766</v>
      </c>
      <c r="C379" s="33">
        <v>376.0</v>
      </c>
      <c r="D379" s="97">
        <v>6.0</v>
      </c>
      <c r="E379" s="98">
        <v>43692.0</v>
      </c>
      <c r="F379" s="35" t="str">
        <f>HYPERLINK("https://regional.kompas.com/read/2019/08/15/14160071/ibu-rumah-tangga-dicabuli-tetangga-saat-hendak-buang-air-di-toilet ","sumber")</f>
        <v>sumber</v>
      </c>
      <c r="G379" s="35" t="str">
        <f t="shared" si="46"/>
        <v>lokasi</v>
      </c>
      <c r="H379" s="97">
        <v>225.0</v>
      </c>
      <c r="I379" s="99">
        <v>1.0</v>
      </c>
      <c r="J379" s="33">
        <v>1.0</v>
      </c>
      <c r="K379" s="102" t="s">
        <v>1767</v>
      </c>
      <c r="L379" s="33">
        <v>0.0</v>
      </c>
      <c r="M379" s="33">
        <v>-1.0</v>
      </c>
      <c r="N379" s="37">
        <v>0.0</v>
      </c>
      <c r="O379" s="33">
        <v>0.0</v>
      </c>
      <c r="P379" s="33">
        <v>0.0</v>
      </c>
      <c r="Q379" s="33">
        <v>0.0</v>
      </c>
      <c r="R379" s="33">
        <v>0.0</v>
      </c>
      <c r="S379" s="33" t="s">
        <v>1768</v>
      </c>
      <c r="T379" s="33">
        <v>1.0</v>
      </c>
      <c r="U379" s="33">
        <v>0.0</v>
      </c>
      <c r="V379" s="33">
        <v>1.0</v>
      </c>
      <c r="W379" s="36"/>
      <c r="X379" s="36"/>
      <c r="Y379" s="36"/>
    </row>
    <row r="380">
      <c r="A380" s="101">
        <v>1.0</v>
      </c>
      <c r="B380" s="96" t="s">
        <v>1769</v>
      </c>
      <c r="C380" s="33">
        <v>377.0</v>
      </c>
      <c r="D380" s="97">
        <v>7.0</v>
      </c>
      <c r="E380" s="98">
        <v>43692.0</v>
      </c>
      <c r="F380" s="35" t="str">
        <f>HYPERLINK("https://www.tribunnews.com/regional/2019/08/15/dijual-suami-untuk-layanan-threesome-begini-kondisi-sang-istri-yang-sedang-hamil-4-bulan ","sumber")</f>
        <v>sumber</v>
      </c>
      <c r="G380" s="35" t="str">
        <f t="shared" si="46"/>
        <v>lokasi</v>
      </c>
      <c r="H380" s="97">
        <v>197.0</v>
      </c>
      <c r="I380" s="99">
        <v>1.0</v>
      </c>
      <c r="J380" s="33">
        <v>1.0</v>
      </c>
      <c r="K380" s="102" t="s">
        <v>1770</v>
      </c>
      <c r="L380" s="33">
        <v>0.0</v>
      </c>
      <c r="M380" s="33">
        <v>-1.0</v>
      </c>
      <c r="N380" s="33">
        <v>-1.0</v>
      </c>
      <c r="O380" s="33">
        <v>-1.0</v>
      </c>
      <c r="P380" s="33">
        <v>-1.0</v>
      </c>
      <c r="Q380" s="33" t="s">
        <v>89</v>
      </c>
      <c r="R380" s="33" t="s">
        <v>1771</v>
      </c>
      <c r="S380" s="33" t="s">
        <v>1772</v>
      </c>
      <c r="T380" s="33">
        <v>3.0</v>
      </c>
      <c r="U380" s="33">
        <v>-1.0</v>
      </c>
      <c r="V380" s="33">
        <v>0.0</v>
      </c>
      <c r="W380" s="36"/>
      <c r="X380" s="36"/>
      <c r="Y380" s="36"/>
    </row>
    <row r="381">
      <c r="A381" s="101">
        <v>1.0</v>
      </c>
      <c r="B381" s="96" t="s">
        <v>1773</v>
      </c>
      <c r="C381" s="33">
        <v>378.0</v>
      </c>
      <c r="D381" s="97">
        <v>2.0</v>
      </c>
      <c r="E381" s="98">
        <v>43698.0</v>
      </c>
      <c r="F381" s="35" t="str">
        <f>HYPERLINK("https://www.cnnindonesia.com/nasional/20190820132516-12-423005/polisi-sebut-pak-ogah-pelecehan-seks-kabur-ke-luar-kota ","sumber")</f>
        <v>sumber</v>
      </c>
      <c r="G381" s="35" t="str">
        <f t="shared" si="46"/>
        <v>lokasi</v>
      </c>
      <c r="H381" s="97">
        <v>240.0</v>
      </c>
      <c r="I381" s="99">
        <v>1.0</v>
      </c>
      <c r="J381" s="33">
        <v>1.0</v>
      </c>
      <c r="K381" s="102" t="s">
        <v>1774</v>
      </c>
      <c r="L381" s="33">
        <v>0.0</v>
      </c>
      <c r="M381" s="33">
        <v>-1.0</v>
      </c>
      <c r="N381" s="37">
        <v>0.0</v>
      </c>
      <c r="O381" s="33">
        <v>1.0</v>
      </c>
      <c r="P381" s="33">
        <v>0.0</v>
      </c>
      <c r="Q381" s="33" t="s">
        <v>61</v>
      </c>
      <c r="R381" s="33" t="s">
        <v>61</v>
      </c>
      <c r="S381" s="33"/>
      <c r="T381" s="33">
        <v>0.0</v>
      </c>
      <c r="U381" s="33">
        <v>0.0</v>
      </c>
      <c r="V381" s="33">
        <v>1.0</v>
      </c>
      <c r="W381" s="36"/>
      <c r="X381" s="36"/>
      <c r="Y381" s="36"/>
    </row>
    <row r="382">
      <c r="A382" s="101">
        <v>1.0</v>
      </c>
      <c r="B382" s="96" t="s">
        <v>1775</v>
      </c>
      <c r="C382" s="33">
        <v>379.0</v>
      </c>
      <c r="D382" s="97">
        <v>8.0</v>
      </c>
      <c r="E382" s="98">
        <v>43700.0</v>
      </c>
      <c r="F382" s="35" t="str">
        <f>HYPERLINK("https://www.suara.com/entertainment/2019/08/23/163613/pelecehan-pabrik-susu-aura-kasih-mencak-mencak-hubungi-yan-widjaya ","sumber")</f>
        <v>sumber</v>
      </c>
      <c r="G382" s="35" t="str">
        <f t="shared" si="46"/>
        <v>lokasi</v>
      </c>
      <c r="H382" s="97">
        <v>247.0</v>
      </c>
      <c r="I382" s="99">
        <v>1.0</v>
      </c>
      <c r="J382" s="33">
        <v>1.0</v>
      </c>
      <c r="K382" s="102" t="s">
        <v>1776</v>
      </c>
      <c r="L382" s="33">
        <v>0.0</v>
      </c>
      <c r="M382" s="33">
        <v>-1.0</v>
      </c>
      <c r="N382" s="37">
        <v>0.0</v>
      </c>
      <c r="O382" s="33">
        <v>0.0</v>
      </c>
      <c r="P382" s="33">
        <v>-1.0</v>
      </c>
      <c r="Q382" s="33">
        <v>0.0</v>
      </c>
      <c r="R382" s="33">
        <v>-1.0</v>
      </c>
      <c r="S382" s="33"/>
      <c r="T382" s="33">
        <v>0.0</v>
      </c>
      <c r="U382" s="33">
        <v>0.0</v>
      </c>
      <c r="V382" s="33">
        <v>0.0</v>
      </c>
      <c r="W382" s="36"/>
      <c r="X382" s="36"/>
      <c r="Y382" s="36"/>
    </row>
    <row r="383">
      <c r="A383" s="105">
        <v>2.0</v>
      </c>
      <c r="B383" s="106" t="s">
        <v>1777</v>
      </c>
      <c r="C383" s="40">
        <v>380.0</v>
      </c>
      <c r="D383" s="107">
        <v>10.0</v>
      </c>
      <c r="E383" s="108">
        <v>43701.0</v>
      </c>
      <c r="F383" s="42" t="str">
        <f>HYPERLINK("https://dunia.tempo.co/read/1239776/google-melarang-karyawan-diskusi-politik ","sumber")</f>
        <v>sumber</v>
      </c>
      <c r="G383" s="40" t="s">
        <v>33</v>
      </c>
      <c r="H383" s="107">
        <v>268.0</v>
      </c>
      <c r="I383" s="109"/>
      <c r="J383" s="40">
        <v>1.0</v>
      </c>
      <c r="K383" s="110"/>
      <c r="L383" s="41"/>
      <c r="M383" s="41"/>
      <c r="N383" s="41"/>
      <c r="O383" s="41"/>
      <c r="P383" s="41"/>
      <c r="Q383" s="40"/>
      <c r="R383" s="111"/>
      <c r="S383" s="40"/>
      <c r="T383" s="41"/>
      <c r="U383" s="41"/>
      <c r="V383" s="41"/>
      <c r="W383" s="41"/>
      <c r="X383" s="41"/>
      <c r="Y383" s="41"/>
    </row>
    <row r="384">
      <c r="A384" s="112">
        <v>1.0</v>
      </c>
      <c r="B384" s="125" t="s">
        <v>1778</v>
      </c>
      <c r="C384" s="114">
        <v>381.0</v>
      </c>
      <c r="D384" s="115">
        <v>5.0</v>
      </c>
      <c r="E384" s="116">
        <v>43705.0</v>
      </c>
      <c r="F384" s="117" t="str">
        <f>HYPERLINK("https://tirto.id/dpr-tak-serius-bahas-ruu-pks-hanya-dihadiri-tiga-orang-eg9X ","sumber")</f>
        <v>sumber</v>
      </c>
      <c r="G384" s="117" t="str">
        <f t="shared" ref="G384:G387" si="47">HYPERLINK("https://drive.google.com/open?id=15K5sriRJOw0JTPqD9yRZzl0fwZcfdV8X","lokasi")</f>
        <v>lokasi</v>
      </c>
      <c r="H384" s="115">
        <v>482.0</v>
      </c>
      <c r="I384" s="118">
        <v>4.0</v>
      </c>
      <c r="J384" s="114">
        <v>1.0</v>
      </c>
      <c r="K384" s="119" t="s">
        <v>1779</v>
      </c>
      <c r="L384" s="114">
        <v>0.0</v>
      </c>
      <c r="M384" s="114">
        <v>0.0</v>
      </c>
      <c r="N384" s="120">
        <v>0.0</v>
      </c>
      <c r="O384" s="114">
        <v>0.0</v>
      </c>
      <c r="P384" s="114">
        <v>0.0</v>
      </c>
      <c r="Q384" s="114" t="s">
        <v>100</v>
      </c>
      <c r="R384" s="121" t="s">
        <v>780</v>
      </c>
      <c r="S384" s="114"/>
      <c r="T384" s="114">
        <v>0.0</v>
      </c>
      <c r="U384" s="114">
        <v>0.0</v>
      </c>
      <c r="V384" s="114">
        <v>1.0</v>
      </c>
      <c r="W384" s="122"/>
      <c r="X384" s="122"/>
      <c r="Y384" s="122"/>
    </row>
    <row r="385">
      <c r="A385" s="101">
        <v>1.0</v>
      </c>
      <c r="B385" s="96" t="s">
        <v>1780</v>
      </c>
      <c r="C385" s="33">
        <v>382.0</v>
      </c>
      <c r="D385" s="97">
        <v>10.0</v>
      </c>
      <c r="E385" s="98">
        <v>43707.0</v>
      </c>
      <c r="F385" s="35" t="str">
        <f>HYPERLINK("https://metro.tempo.co/read/1242129/kasus-pemerkosaan-siswi-sd-ini-permintaan-komnas-anak-ke-polisi ","sumber")</f>
        <v>sumber</v>
      </c>
      <c r="G385" s="35" t="str">
        <f t="shared" si="47"/>
        <v>lokasi</v>
      </c>
      <c r="H385" s="97">
        <v>307.0</v>
      </c>
      <c r="I385" s="99">
        <v>1.0</v>
      </c>
      <c r="J385" s="33">
        <v>1.0</v>
      </c>
      <c r="K385" s="102" t="s">
        <v>1781</v>
      </c>
      <c r="L385" s="33">
        <v>0.0</v>
      </c>
      <c r="M385" s="50">
        <v>0.0</v>
      </c>
      <c r="N385" s="37">
        <v>0.0</v>
      </c>
      <c r="O385" s="33">
        <v>0.0</v>
      </c>
      <c r="P385" s="33">
        <v>0.0</v>
      </c>
      <c r="Q385" s="33" t="s">
        <v>61</v>
      </c>
      <c r="R385" s="33" t="s">
        <v>100</v>
      </c>
      <c r="S385" s="33"/>
      <c r="T385" s="33">
        <v>0.0</v>
      </c>
      <c r="U385" s="33">
        <v>0.0</v>
      </c>
      <c r="V385" s="33">
        <v>1.0</v>
      </c>
      <c r="W385" s="36"/>
      <c r="X385" s="36"/>
      <c r="Y385" s="36"/>
    </row>
    <row r="386">
      <c r="A386" s="112">
        <v>1.0</v>
      </c>
      <c r="B386" s="125" t="s">
        <v>1782</v>
      </c>
      <c r="C386" s="114">
        <v>383.0</v>
      </c>
      <c r="D386" s="115">
        <v>1.0</v>
      </c>
      <c r="E386" s="116">
        <v>43687.0</v>
      </c>
      <c r="F386" s="117" t="str">
        <f>HYPERLINK("https://news.detik.com/berita/d-4660377/kpai-desak-polisi-tangkap-pelaku-begal-payudara-di-bintaro-tangsel ","sumber")</f>
        <v>sumber</v>
      </c>
      <c r="G386" s="117" t="str">
        <f t="shared" si="47"/>
        <v>lokasi</v>
      </c>
      <c r="H386" s="115">
        <v>297.0</v>
      </c>
      <c r="I386" s="118">
        <v>1.0</v>
      </c>
      <c r="J386" s="114">
        <v>1.0</v>
      </c>
      <c r="K386" s="119" t="s">
        <v>1783</v>
      </c>
      <c r="L386" s="114">
        <v>0.0</v>
      </c>
      <c r="M386" s="50">
        <v>0.0</v>
      </c>
      <c r="N386" s="120">
        <v>0.0</v>
      </c>
      <c r="O386" s="114">
        <v>1.0</v>
      </c>
      <c r="P386" s="114">
        <v>0.0</v>
      </c>
      <c r="Q386" s="114">
        <v>1.0</v>
      </c>
      <c r="R386" s="121">
        <v>1.0</v>
      </c>
      <c r="S386" s="114"/>
      <c r="T386" s="114">
        <v>0.0</v>
      </c>
      <c r="U386" s="114">
        <v>0.0</v>
      </c>
      <c r="V386" s="114">
        <v>1.0</v>
      </c>
      <c r="W386" s="122"/>
      <c r="X386" s="122"/>
      <c r="Y386" s="122"/>
    </row>
    <row r="387">
      <c r="A387" s="101">
        <v>1.0</v>
      </c>
      <c r="B387" s="96" t="s">
        <v>1784</v>
      </c>
      <c r="C387" s="33">
        <v>384.0</v>
      </c>
      <c r="D387" s="97">
        <v>8.0</v>
      </c>
      <c r="E387" s="98">
        <v>43709.0</v>
      </c>
      <c r="F387" s="35" t="str">
        <f>HYPERLINK("https://www.suara.com/entertainment/2019/09/01/114508/ayah-vanessa-angel-curhat-di-medsos-unggah-foto-anaknya-berbikini ","sumber")</f>
        <v>sumber</v>
      </c>
      <c r="G387" s="35" t="str">
        <f t="shared" si="47"/>
        <v>lokasi</v>
      </c>
      <c r="H387" s="97">
        <v>259.0</v>
      </c>
      <c r="I387" s="99">
        <v>2.0</v>
      </c>
      <c r="J387" s="33">
        <v>1.0</v>
      </c>
      <c r="K387" s="102" t="s">
        <v>1785</v>
      </c>
      <c r="L387" s="33">
        <v>0.0</v>
      </c>
      <c r="M387" s="33">
        <v>0.0</v>
      </c>
      <c r="N387" s="37">
        <v>0.0</v>
      </c>
      <c r="O387" s="33">
        <v>0.0</v>
      </c>
      <c r="P387" s="33">
        <v>-1.0</v>
      </c>
      <c r="Q387" s="33">
        <v>0.0</v>
      </c>
      <c r="R387" s="33">
        <v>-1.0</v>
      </c>
      <c r="S387" s="33"/>
      <c r="T387" s="33">
        <v>0.0</v>
      </c>
      <c r="U387" s="33">
        <v>-1.0</v>
      </c>
      <c r="V387" s="33">
        <v>0.0</v>
      </c>
      <c r="W387" s="36"/>
      <c r="X387" s="36"/>
      <c r="Y387" s="36"/>
    </row>
    <row r="388">
      <c r="A388" s="105">
        <v>2.0</v>
      </c>
      <c r="B388" s="106" t="s">
        <v>1786</v>
      </c>
      <c r="C388" s="40">
        <v>385.0</v>
      </c>
      <c r="D388" s="107">
        <v>1.0</v>
      </c>
      <c r="E388" s="108">
        <v>43710.0</v>
      </c>
      <c r="F388" s="42" t="str">
        <f>HYPERLINK("https://hot.detik.com/detiktv/d-4690942/di-bully-karena-kasus-sang-kakak-adik-vanessa-angel-pindah-sekolah ","sumber")</f>
        <v>sumber</v>
      </c>
      <c r="G388" s="40" t="s">
        <v>33</v>
      </c>
      <c r="H388" s="107">
        <v>38.0</v>
      </c>
      <c r="I388" s="109"/>
      <c r="J388" s="40">
        <v>1.0</v>
      </c>
      <c r="K388" s="110"/>
      <c r="L388" s="41"/>
      <c r="M388" s="41"/>
      <c r="N388" s="41"/>
      <c r="O388" s="41"/>
      <c r="P388" s="41"/>
      <c r="Q388" s="40"/>
      <c r="R388" s="41"/>
      <c r="S388" s="41"/>
      <c r="T388" s="41"/>
      <c r="U388" s="41"/>
      <c r="V388" s="41"/>
      <c r="W388" s="41"/>
      <c r="X388" s="41"/>
      <c r="Y388" s="41"/>
    </row>
    <row r="389">
      <c r="A389" s="112">
        <v>1.0</v>
      </c>
      <c r="B389" s="125" t="s">
        <v>1787</v>
      </c>
      <c r="C389" s="114">
        <v>386.0</v>
      </c>
      <c r="D389" s="115">
        <v>9.0</v>
      </c>
      <c r="E389" s="116">
        <v>43710.0</v>
      </c>
      <c r="F389" s="117" t="str">
        <f>HYPERLINK("https://nasional.republika.co.id/berita/px71dg382/57-kasus-kekerasan-seksual-dialami-korban-bencana-sulteng ","sumber")</f>
        <v>sumber</v>
      </c>
      <c r="G389" s="117" t="str">
        <f t="shared" ref="G389:G390" si="48">HYPERLINK("https://drive.google.com/open?id=15K5sriRJOw0JTPqD9yRZzl0fwZcfdV8X","lokasi")</f>
        <v>lokasi</v>
      </c>
      <c r="H389" s="127">
        <v>76.0</v>
      </c>
      <c r="I389" s="118">
        <v>1.0</v>
      </c>
      <c r="J389" s="114">
        <v>1.0</v>
      </c>
      <c r="K389" s="119" t="s">
        <v>1788</v>
      </c>
      <c r="L389" s="114">
        <v>0.0</v>
      </c>
      <c r="M389" s="50">
        <v>0.0</v>
      </c>
      <c r="N389" s="120">
        <v>0.0</v>
      </c>
      <c r="O389" s="114">
        <v>0.0</v>
      </c>
      <c r="P389" s="114">
        <v>0.0</v>
      </c>
      <c r="Q389" s="114" t="s">
        <v>192</v>
      </c>
      <c r="R389" s="121" t="s">
        <v>192</v>
      </c>
      <c r="S389" s="114"/>
      <c r="T389" s="114">
        <v>0.0</v>
      </c>
      <c r="U389" s="114">
        <v>0.0</v>
      </c>
      <c r="V389" s="114">
        <v>1.0</v>
      </c>
      <c r="W389" s="122"/>
      <c r="X389" s="122"/>
      <c r="Y389" s="122"/>
    </row>
    <row r="390">
      <c r="A390" s="112">
        <v>1.0</v>
      </c>
      <c r="B390" s="125" t="s">
        <v>1789</v>
      </c>
      <c r="C390" s="114">
        <v>387.0</v>
      </c>
      <c r="D390" s="115">
        <v>9.0</v>
      </c>
      <c r="E390" s="116">
        <v>43711.0</v>
      </c>
      <c r="F390" s="117" t="str">
        <f>HYPERLINK("https://nasional.republika.co.id/berita/px8gxg0/kasus-pelecehan-menimpa-siswi-smp-pelaku-masih-keluarga ","sumber")</f>
        <v>sumber</v>
      </c>
      <c r="G390" s="117" t="str">
        <f t="shared" si="48"/>
        <v>lokasi</v>
      </c>
      <c r="H390" s="115">
        <v>200.0</v>
      </c>
      <c r="I390" s="118">
        <v>1.0</v>
      </c>
      <c r="J390" s="114">
        <v>1.0</v>
      </c>
      <c r="K390" s="119" t="s">
        <v>1790</v>
      </c>
      <c r="L390" s="114">
        <v>0.0</v>
      </c>
      <c r="M390" s="50">
        <v>0.0</v>
      </c>
      <c r="N390" s="120">
        <v>0.0</v>
      </c>
      <c r="O390" s="114">
        <v>1.0</v>
      </c>
      <c r="P390" s="114">
        <v>0.0</v>
      </c>
      <c r="Q390" s="114">
        <v>0.0</v>
      </c>
      <c r="R390" s="121">
        <v>0.0</v>
      </c>
      <c r="S390" s="114"/>
      <c r="T390" s="114">
        <v>0.0</v>
      </c>
      <c r="U390" s="114">
        <v>0.0</v>
      </c>
      <c r="V390" s="114">
        <v>1.0</v>
      </c>
      <c r="W390" s="122"/>
      <c r="X390" s="122"/>
      <c r="Y390" s="122"/>
    </row>
    <row r="391">
      <c r="A391" s="105">
        <v>2.0</v>
      </c>
      <c r="B391" s="106" t="s">
        <v>1791</v>
      </c>
      <c r="C391" s="40">
        <v>388.0</v>
      </c>
      <c r="D391" s="107">
        <v>2.0</v>
      </c>
      <c r="E391" s="108">
        <v>43712.0</v>
      </c>
      <c r="F391" s="42" t="str">
        <f>HYPERLINK("https://www.cnnindonesia.com/hiburan/20190904030222-227-427315/keamanan-alasan-pentagon-batal-konser-di-hong-kong ","sumber")</f>
        <v>sumber</v>
      </c>
      <c r="G391" s="40" t="s">
        <v>33</v>
      </c>
      <c r="H391" s="107">
        <v>362.0</v>
      </c>
      <c r="I391" s="109"/>
      <c r="J391" s="40">
        <v>1.0</v>
      </c>
      <c r="K391" s="110"/>
      <c r="L391" s="41"/>
      <c r="M391" s="41"/>
      <c r="N391" s="41"/>
      <c r="O391" s="41"/>
      <c r="P391" s="41"/>
      <c r="Q391" s="40"/>
      <c r="R391" s="111"/>
      <c r="S391" s="40"/>
      <c r="T391" s="41"/>
      <c r="U391" s="41"/>
      <c r="V391" s="41"/>
      <c r="W391" s="41"/>
      <c r="X391" s="41"/>
      <c r="Y391" s="41"/>
    </row>
    <row r="392">
      <c r="A392" s="101">
        <v>1.0</v>
      </c>
      <c r="B392" s="96" t="s">
        <v>1792</v>
      </c>
      <c r="C392" s="33">
        <v>389.0</v>
      </c>
      <c r="D392" s="97">
        <v>9.0</v>
      </c>
      <c r="E392" s="98">
        <v>43712.0</v>
      </c>
      <c r="F392" s="35" t="str">
        <f>HYPERLINK("https://nasional.republika.co.id/berita/px9npq368/ruu-penghapusan-kekerasan-seksual-disinkronisasi-rkuhp ","sumber")</f>
        <v>sumber</v>
      </c>
      <c r="G392" s="35" t="str">
        <f t="shared" ref="G392:G396" si="49">HYPERLINK("https://drive.google.com/open?id=15K5sriRJOw0JTPqD9yRZzl0fwZcfdV8X","lokasi")</f>
        <v>lokasi</v>
      </c>
      <c r="H392" s="97">
        <v>42.0</v>
      </c>
      <c r="I392" s="99">
        <v>4.0</v>
      </c>
      <c r="J392" s="33">
        <v>1.0</v>
      </c>
      <c r="K392" s="102" t="s">
        <v>1793</v>
      </c>
      <c r="L392" s="33">
        <v>0.0</v>
      </c>
      <c r="M392" s="33">
        <v>0.0</v>
      </c>
      <c r="N392" s="37">
        <v>0.0</v>
      </c>
      <c r="O392" s="33">
        <v>0.0</v>
      </c>
      <c r="P392" s="33">
        <v>0.0</v>
      </c>
      <c r="Q392" s="33" t="s">
        <v>61</v>
      </c>
      <c r="R392" s="33" t="s">
        <v>62</v>
      </c>
      <c r="S392" s="33"/>
      <c r="T392" s="33">
        <v>0.0</v>
      </c>
      <c r="U392" s="33">
        <v>0.0</v>
      </c>
      <c r="V392" s="33">
        <v>1.0</v>
      </c>
      <c r="W392" s="36"/>
      <c r="X392" s="36"/>
      <c r="Y392" s="36"/>
    </row>
    <row r="393">
      <c r="A393" s="101">
        <v>1.0</v>
      </c>
      <c r="B393" s="96" t="s">
        <v>334</v>
      </c>
      <c r="C393" s="33">
        <v>390.0</v>
      </c>
      <c r="D393" s="97">
        <v>5.0</v>
      </c>
      <c r="E393" s="98">
        <v>43712.0</v>
      </c>
      <c r="F393" s="35" t="str">
        <f>HYPERLINK("https://tirto.id/rkuhp-paksa-pasangan-sah-bersetubuh-terancam-12-tahun-penjara-ehtW ","sumber")</f>
        <v>sumber</v>
      </c>
      <c r="G393" s="35" t="str">
        <f t="shared" si="49"/>
        <v>lokasi</v>
      </c>
      <c r="H393" s="97">
        <v>812.0</v>
      </c>
      <c r="I393" s="99">
        <v>4.0</v>
      </c>
      <c r="J393" s="33">
        <v>1.0</v>
      </c>
      <c r="K393" s="102" t="s">
        <v>1794</v>
      </c>
      <c r="L393" s="33">
        <v>0.0</v>
      </c>
      <c r="M393" s="33">
        <v>0.0</v>
      </c>
      <c r="N393" s="37">
        <v>0.0</v>
      </c>
      <c r="O393" s="33">
        <v>0.0</v>
      </c>
      <c r="P393" s="33">
        <v>0.0</v>
      </c>
      <c r="Q393" s="33" t="s">
        <v>61</v>
      </c>
      <c r="R393" s="33" t="s">
        <v>100</v>
      </c>
      <c r="S393" s="33"/>
      <c r="T393" s="33">
        <v>0.0</v>
      </c>
      <c r="U393" s="33">
        <v>0.0</v>
      </c>
      <c r="V393" s="33">
        <v>1.0</v>
      </c>
      <c r="W393" s="36"/>
      <c r="X393" s="36"/>
      <c r="Y393" s="36"/>
    </row>
    <row r="394">
      <c r="A394" s="101">
        <v>1.0</v>
      </c>
      <c r="B394" s="96" t="s">
        <v>1795</v>
      </c>
      <c r="C394" s="33">
        <v>391.0</v>
      </c>
      <c r="D394" s="97">
        <v>4.0</v>
      </c>
      <c r="E394" s="98">
        <v>43734.0</v>
      </c>
      <c r="F394" s="35" t="str">
        <f>HYPERLINK("https://www.liputan6.com/showbiz/read/4072188/perselingkuhan-hingga-pemerkosaan-ini-5-pengakuan-demi-moore-soal-masa-lalunya ","sumber")</f>
        <v>sumber</v>
      </c>
      <c r="G394" s="35" t="str">
        <f t="shared" si="49"/>
        <v>lokasi</v>
      </c>
      <c r="H394" s="97">
        <v>543.0</v>
      </c>
      <c r="I394" s="99">
        <v>2.0</v>
      </c>
      <c r="J394" s="33">
        <v>1.0</v>
      </c>
      <c r="K394" s="102" t="s">
        <v>1796</v>
      </c>
      <c r="L394" s="33">
        <v>0.0</v>
      </c>
      <c r="M394" s="33">
        <v>0.0</v>
      </c>
      <c r="N394" s="37">
        <v>0.0</v>
      </c>
      <c r="O394" s="33">
        <v>1.0</v>
      </c>
      <c r="P394" s="33">
        <v>0.0</v>
      </c>
      <c r="Q394" s="33">
        <v>2.0</v>
      </c>
      <c r="R394" s="33">
        <v>1.0</v>
      </c>
      <c r="S394" s="33"/>
      <c r="T394" s="33">
        <v>0.0</v>
      </c>
      <c r="U394" s="33">
        <v>0.0</v>
      </c>
      <c r="V394" s="33">
        <v>0.0</v>
      </c>
      <c r="W394" s="36"/>
      <c r="X394" s="36"/>
      <c r="Y394" s="36"/>
    </row>
    <row r="395">
      <c r="A395" s="101">
        <v>1.0</v>
      </c>
      <c r="B395" s="96" t="s">
        <v>1797</v>
      </c>
      <c r="C395" s="33">
        <v>392.0</v>
      </c>
      <c r="D395" s="97">
        <v>8.0</v>
      </c>
      <c r="E395" s="98">
        <v>43734.0</v>
      </c>
      <c r="F395" s="35" t="str">
        <f>HYPERLINK("https://microsite.suara.com/dpr/2019/09/26/110809/ketua-dpr-pastikan-ruu-p-ks-ditunda ","sumber")</f>
        <v>sumber</v>
      </c>
      <c r="G395" s="35" t="str">
        <f t="shared" si="49"/>
        <v>lokasi</v>
      </c>
      <c r="H395" s="97">
        <v>177.0</v>
      </c>
      <c r="I395" s="99">
        <v>4.0</v>
      </c>
      <c r="J395" s="33">
        <v>1.0</v>
      </c>
      <c r="K395" s="102" t="s">
        <v>1798</v>
      </c>
      <c r="L395" s="33">
        <v>0.0</v>
      </c>
      <c r="M395" s="33">
        <v>0.0</v>
      </c>
      <c r="N395" s="37">
        <v>0.0</v>
      </c>
      <c r="O395" s="33">
        <v>0.0</v>
      </c>
      <c r="P395" s="33">
        <v>0.0</v>
      </c>
      <c r="Q395" s="33">
        <v>0.0</v>
      </c>
      <c r="R395" s="33">
        <v>0.0</v>
      </c>
      <c r="S395" s="33"/>
      <c r="T395" s="33">
        <v>0.0</v>
      </c>
      <c r="U395" s="33">
        <v>0.0</v>
      </c>
      <c r="V395" s="33">
        <v>1.0</v>
      </c>
      <c r="W395" s="36"/>
      <c r="X395" s="36"/>
      <c r="Y395" s="36"/>
    </row>
    <row r="396">
      <c r="A396" s="101">
        <v>1.0</v>
      </c>
      <c r="B396" s="96" t="s">
        <v>1799</v>
      </c>
      <c r="C396" s="33">
        <v>393.0</v>
      </c>
      <c r="D396" s="97">
        <v>8.0</v>
      </c>
      <c r="E396" s="98">
        <v>43736.0</v>
      </c>
      <c r="F396" s="35" t="str">
        <f>HYPERLINK("https://jatim.suara.com/read/2019/09/28/185913/aksi-ibnu-colek-payudara-mahasiswi-mbak-boleh-minta-nomor-teleponnya ","sumber")</f>
        <v>sumber</v>
      </c>
      <c r="G396" s="35" t="str">
        <f t="shared" si="49"/>
        <v>lokasi</v>
      </c>
      <c r="H396" s="97">
        <v>257.0</v>
      </c>
      <c r="I396" s="99">
        <v>1.0</v>
      </c>
      <c r="J396" s="33">
        <v>1.0</v>
      </c>
      <c r="K396" s="102" t="s">
        <v>1800</v>
      </c>
      <c r="L396" s="33">
        <v>0.0</v>
      </c>
      <c r="M396" s="33">
        <v>-1.0</v>
      </c>
      <c r="N396" s="37">
        <v>0.0</v>
      </c>
      <c r="O396" s="33">
        <v>-1.0</v>
      </c>
      <c r="P396" s="33">
        <v>-1.0</v>
      </c>
      <c r="Q396" s="33" t="s">
        <v>61</v>
      </c>
      <c r="R396" s="33" t="s">
        <v>685</v>
      </c>
      <c r="S396" s="33" t="s">
        <v>1801</v>
      </c>
      <c r="T396" s="33">
        <v>1.0</v>
      </c>
      <c r="U396" s="33">
        <v>0.0</v>
      </c>
      <c r="V396" s="33">
        <v>1.0</v>
      </c>
      <c r="W396" s="36"/>
      <c r="X396" s="36"/>
      <c r="Y396" s="36"/>
    </row>
    <row r="397">
      <c r="A397" s="105">
        <v>2.0</v>
      </c>
      <c r="B397" s="106" t="s">
        <v>878</v>
      </c>
      <c r="C397" s="40">
        <v>394.0</v>
      </c>
      <c r="D397" s="107">
        <v>2.0</v>
      </c>
      <c r="E397" s="108">
        <v>43742.0</v>
      </c>
      <c r="F397" s="42" t="str">
        <f>HYPERLINK("https://www.cnnindonesia.com/internasional/20191004042454-120-436627/aksi-protes-di-irak-menewaskan-28-orang-ribuan-terluka ","sumber")</f>
        <v>sumber</v>
      </c>
      <c r="G397" s="131" t="s">
        <v>33</v>
      </c>
      <c r="H397" s="107">
        <v>337.0</v>
      </c>
      <c r="I397" s="123"/>
      <c r="J397" s="40">
        <v>4.0</v>
      </c>
      <c r="K397" s="124"/>
      <c r="L397" s="40"/>
      <c r="M397" s="40"/>
      <c r="N397" s="40"/>
      <c r="O397" s="40"/>
      <c r="P397" s="40"/>
      <c r="Q397" s="40"/>
      <c r="R397" s="40"/>
      <c r="S397" s="40"/>
      <c r="T397" s="40"/>
      <c r="U397" s="40"/>
      <c r="V397" s="40"/>
      <c r="W397" s="41"/>
      <c r="X397" s="41"/>
      <c r="Y397" s="41"/>
    </row>
    <row r="398">
      <c r="A398" s="105">
        <v>2.0</v>
      </c>
      <c r="B398" s="106" t="s">
        <v>1802</v>
      </c>
      <c r="C398" s="40">
        <v>395.0</v>
      </c>
      <c r="D398" s="107">
        <v>4.0</v>
      </c>
      <c r="E398" s="108">
        <v>43742.0</v>
      </c>
      <c r="F398" s="42" t="str">
        <f>HYPERLINK("https://www.liputan6.com/global/read/4078478/ribuan-pendemo-lanjut-protes-anti-pemerintah-irak-korban-tewas-30-orang-lebih ","sumber")</f>
        <v>sumber</v>
      </c>
      <c r="G398" s="131" t="s">
        <v>33</v>
      </c>
      <c r="H398" s="107">
        <v>679.0</v>
      </c>
      <c r="I398" s="123"/>
      <c r="J398" s="40">
        <v>4.0</v>
      </c>
      <c r="K398" s="124"/>
      <c r="L398" s="40"/>
      <c r="M398" s="40"/>
      <c r="N398" s="40"/>
      <c r="O398" s="40"/>
      <c r="P398" s="40"/>
      <c r="Q398" s="40"/>
      <c r="R398" s="40"/>
      <c r="S398" s="40"/>
      <c r="T398" s="40"/>
      <c r="U398" s="40"/>
      <c r="V398" s="40"/>
      <c r="W398" s="41"/>
      <c r="X398" s="41"/>
      <c r="Y398" s="41"/>
    </row>
    <row r="399">
      <c r="A399" s="105">
        <v>2.0</v>
      </c>
      <c r="B399" s="106" t="s">
        <v>1803</v>
      </c>
      <c r="C399" s="40">
        <v>396.0</v>
      </c>
      <c r="D399" s="107">
        <v>2.0</v>
      </c>
      <c r="E399" s="108">
        <v>43745.0</v>
      </c>
      <c r="F399" s="42" t="str">
        <f>HYPERLINK("https://www.cnnindonesia.com/internasional/20191007040523-120-437300/demonstrasi-di-irak-kembali-telan-8-korban-tewas ","sumber")</f>
        <v>sumber</v>
      </c>
      <c r="G399" s="131" t="s">
        <v>33</v>
      </c>
      <c r="H399" s="107">
        <v>235.0</v>
      </c>
      <c r="I399" s="123"/>
      <c r="J399" s="40">
        <v>4.0</v>
      </c>
      <c r="K399" s="124"/>
      <c r="L399" s="40"/>
      <c r="M399" s="40"/>
      <c r="N399" s="40"/>
      <c r="O399" s="40"/>
      <c r="P399" s="40"/>
      <c r="Q399" s="40"/>
      <c r="R399" s="40"/>
      <c r="S399" s="40"/>
      <c r="T399" s="40"/>
      <c r="U399" s="40"/>
      <c r="V399" s="40"/>
      <c r="W399" s="41"/>
      <c r="X399" s="41"/>
      <c r="Y399" s="41"/>
    </row>
    <row r="400">
      <c r="A400" s="105">
        <v>2.0</v>
      </c>
      <c r="B400" s="106" t="s">
        <v>1804</v>
      </c>
      <c r="C400" s="40">
        <v>397.0</v>
      </c>
      <c r="D400" s="107">
        <v>10.0</v>
      </c>
      <c r="E400" s="108">
        <v>43745.0</v>
      </c>
      <c r="F400" s="42" t="str">
        <f>HYPERLINK("https://dunia.tempo.co/read/1256619/warga-irak-tuntut-reformasi-ekonomi-untuk-atasi-kemiskinan ","sumber")</f>
        <v>sumber</v>
      </c>
      <c r="G400" s="131" t="s">
        <v>33</v>
      </c>
      <c r="H400" s="107">
        <v>383.0</v>
      </c>
      <c r="I400" s="123"/>
      <c r="J400" s="40">
        <v>4.0</v>
      </c>
      <c r="K400" s="124"/>
      <c r="L400" s="40"/>
      <c r="M400" s="40"/>
      <c r="N400" s="40"/>
      <c r="O400" s="40"/>
      <c r="P400" s="40"/>
      <c r="Q400" s="40"/>
      <c r="R400" s="40"/>
      <c r="S400" s="40"/>
      <c r="T400" s="40"/>
      <c r="U400" s="40"/>
      <c r="V400" s="40"/>
      <c r="W400" s="41"/>
      <c r="X400" s="41"/>
      <c r="Y400" s="41"/>
    </row>
    <row r="401">
      <c r="A401" s="105">
        <v>2.0</v>
      </c>
      <c r="B401" s="106" t="s">
        <v>1805</v>
      </c>
      <c r="C401" s="40">
        <v>398.0</v>
      </c>
      <c r="D401" s="107">
        <v>9.0</v>
      </c>
      <c r="E401" s="108">
        <v>43791.0</v>
      </c>
      <c r="F401" s="42" t="str">
        <f>HYPERLINK("https://internasional.republika.co.id/berita/q1dcn2/kritik-profesor-australia-indonesia-susah-terima-perbedaan ","sumber")</f>
        <v>sumber</v>
      </c>
      <c r="G401" s="131" t="s">
        <v>33</v>
      </c>
      <c r="H401" s="107">
        <v>719.0</v>
      </c>
      <c r="I401" s="123"/>
      <c r="J401" s="40">
        <v>4.0</v>
      </c>
      <c r="K401" s="124"/>
      <c r="L401" s="40"/>
      <c r="M401" s="40"/>
      <c r="N401" s="40"/>
      <c r="O401" s="40"/>
      <c r="P401" s="40"/>
      <c r="Q401" s="40"/>
      <c r="R401" s="40"/>
      <c r="S401" s="40"/>
      <c r="T401" s="40"/>
      <c r="U401" s="40"/>
      <c r="V401" s="40"/>
      <c r="W401" s="41"/>
      <c r="X401" s="41"/>
      <c r="Y401" s="41"/>
    </row>
    <row r="402">
      <c r="A402" s="101">
        <v>1.0</v>
      </c>
      <c r="B402" s="96" t="s">
        <v>1806</v>
      </c>
      <c r="C402" s="33">
        <v>399.0</v>
      </c>
      <c r="D402" s="97">
        <v>5.0</v>
      </c>
      <c r="E402" s="98">
        <v>43795.0</v>
      </c>
      <c r="F402" s="35" t="str">
        <f>HYPERLINK("https://tirto.id/benarkah-inggris-kini-lebih-bernuansa-islami-emiH","sumber")</f>
        <v>sumber</v>
      </c>
      <c r="G402" s="35" t="str">
        <f t="shared" ref="G402:G403" si="50">HYPERLINK("https://drive.google.com/open?id=15K5sriRJOw0JTPqD9yRZzl0fwZcfdV8X","lokasi")</f>
        <v>lokasi</v>
      </c>
      <c r="H402" s="97">
        <v>1332.0</v>
      </c>
      <c r="I402" s="99">
        <v>2.0</v>
      </c>
      <c r="J402" s="33">
        <v>4.0</v>
      </c>
      <c r="K402" s="102"/>
      <c r="L402" s="33">
        <v>0.0</v>
      </c>
      <c r="M402" s="33">
        <v>0.0</v>
      </c>
      <c r="N402" s="37">
        <v>0.0</v>
      </c>
      <c r="O402" s="33">
        <v>0.0</v>
      </c>
      <c r="P402" s="33">
        <v>0.0</v>
      </c>
      <c r="Q402" s="33"/>
      <c r="R402" s="33"/>
      <c r="S402" s="33"/>
      <c r="T402" s="33">
        <v>0.0</v>
      </c>
      <c r="U402" s="33">
        <v>0.0</v>
      </c>
      <c r="V402" s="33">
        <v>1.0</v>
      </c>
      <c r="W402" s="36"/>
      <c r="X402" s="36"/>
      <c r="Y402" s="36"/>
    </row>
    <row r="403">
      <c r="A403" s="101">
        <v>1.0</v>
      </c>
      <c r="B403" s="96" t="s">
        <v>1807</v>
      </c>
      <c r="C403" s="33">
        <v>400.0</v>
      </c>
      <c r="D403" s="97">
        <v>10.0</v>
      </c>
      <c r="E403" s="98">
        <v>43811.0</v>
      </c>
      <c r="F403" s="35" t="str">
        <f>HYPERLINK("https://nasional.tempo.co/read/1283044/mahfud-md-sebut-era-jokowi-tak-ada-pelanggaran-ham-kontras-menyesatkan ","sumber")</f>
        <v>sumber</v>
      </c>
      <c r="G403" s="35" t="str">
        <f t="shared" si="50"/>
        <v>lokasi</v>
      </c>
      <c r="H403" s="97">
        <v>295.0</v>
      </c>
      <c r="I403" s="99">
        <v>4.0</v>
      </c>
      <c r="J403" s="33">
        <v>4.0</v>
      </c>
      <c r="K403" s="102" t="s">
        <v>1808</v>
      </c>
      <c r="L403" s="33">
        <v>0.0</v>
      </c>
      <c r="M403" s="33">
        <v>0.0</v>
      </c>
      <c r="N403" s="37">
        <v>0.0</v>
      </c>
      <c r="O403" s="33">
        <v>0.0</v>
      </c>
      <c r="P403" s="33">
        <v>0.0</v>
      </c>
      <c r="Q403" s="33">
        <v>0.0</v>
      </c>
      <c r="R403" s="33">
        <v>1.0</v>
      </c>
      <c r="S403" s="33"/>
      <c r="T403" s="33">
        <v>0.0</v>
      </c>
      <c r="U403" s="33">
        <v>0.0</v>
      </c>
      <c r="V403" s="33">
        <v>1.0</v>
      </c>
      <c r="W403" s="36"/>
      <c r="X403" s="36"/>
      <c r="Y403" s="36"/>
    </row>
    <row r="404">
      <c r="A404" s="105">
        <v>2.0</v>
      </c>
      <c r="B404" s="106" t="s">
        <v>1809</v>
      </c>
      <c r="C404" s="40">
        <v>401.0</v>
      </c>
      <c r="D404" s="107">
        <v>6.0</v>
      </c>
      <c r="E404" s="108">
        <v>43813.0</v>
      </c>
      <c r="F404" s="42" t="str">
        <f>HYPERLINK("https://edukasi.kompas.com/read/2019/12/14/16560431/anak-pedagang-sayur-berhasil-kuliah-di-amerika-ini-kisahnya ","sumber")</f>
        <v>sumber</v>
      </c>
      <c r="G404" s="131" t="s">
        <v>33</v>
      </c>
      <c r="H404" s="107">
        <v>226.0</v>
      </c>
      <c r="I404" s="123"/>
      <c r="J404" s="40">
        <v>4.0</v>
      </c>
      <c r="K404" s="124"/>
      <c r="L404" s="40"/>
      <c r="M404" s="40"/>
      <c r="N404" s="40"/>
      <c r="O404" s="40"/>
      <c r="P404" s="40"/>
      <c r="Q404" s="40"/>
      <c r="R404" s="40"/>
      <c r="S404" s="40"/>
      <c r="T404" s="40"/>
      <c r="U404" s="40"/>
      <c r="V404" s="40"/>
      <c r="W404" s="41"/>
      <c r="X404" s="41"/>
      <c r="Y404" s="41"/>
    </row>
    <row r="405">
      <c r="A405" s="105">
        <v>2.0</v>
      </c>
      <c r="B405" s="106" t="s">
        <v>1810</v>
      </c>
      <c r="C405" s="40">
        <v>402.0</v>
      </c>
      <c r="D405" s="107">
        <v>9.0</v>
      </c>
      <c r="E405" s="108">
        <v>43816.0</v>
      </c>
      <c r="F405" s="42" t="str">
        <f>HYPERLINK("https://trendtek.republika.co.id/berita/q2n42n368/arkeolog-temukan-candi-bangsa-romawi-kuno-di-italia ","sumber")</f>
        <v>sumber</v>
      </c>
      <c r="G405" s="131" t="s">
        <v>33</v>
      </c>
      <c r="H405" s="107">
        <v>481.0</v>
      </c>
      <c r="I405" s="123"/>
      <c r="J405" s="40">
        <v>4.0</v>
      </c>
      <c r="K405" s="124"/>
      <c r="L405" s="40"/>
      <c r="M405" s="40"/>
      <c r="N405" s="40"/>
      <c r="O405" s="40"/>
      <c r="P405" s="40"/>
      <c r="Q405" s="40"/>
      <c r="R405" s="40"/>
      <c r="S405" s="40"/>
      <c r="T405" s="40"/>
      <c r="U405" s="40"/>
      <c r="V405" s="40"/>
      <c r="W405" s="41"/>
      <c r="X405" s="41"/>
      <c r="Y405" s="41"/>
    </row>
    <row r="406">
      <c r="A406" s="101">
        <v>1.0</v>
      </c>
      <c r="B406" s="96" t="s">
        <v>1811</v>
      </c>
      <c r="C406" s="33">
        <v>403.0</v>
      </c>
      <c r="D406" s="97">
        <v>8.0</v>
      </c>
      <c r="E406" s="98">
        <v>43819.0</v>
      </c>
      <c r="F406" s="35" t="str">
        <f>HYPERLINK("https://jogja.suara.com/read/2019/12/20/205457/usai-di-berbah-densus-88-anti-teror-geledah-rumah-terduga-di-mlati-sleman ","sumber")</f>
        <v>sumber</v>
      </c>
      <c r="G406" s="35" t="str">
        <f t="shared" ref="G406:G407" si="51">HYPERLINK("https://drive.google.com/open?id=15K5sriRJOw0JTPqD9yRZzl0fwZcfdV8X","lokasi")</f>
        <v>lokasi</v>
      </c>
      <c r="H406" s="97">
        <v>396.0</v>
      </c>
      <c r="I406" s="99">
        <v>1.0</v>
      </c>
      <c r="J406" s="33">
        <v>4.0</v>
      </c>
      <c r="K406" s="102" t="s">
        <v>1812</v>
      </c>
      <c r="L406" s="33">
        <v>0.0</v>
      </c>
      <c r="M406" s="33">
        <v>-1.0</v>
      </c>
      <c r="N406" s="37">
        <v>0.0</v>
      </c>
      <c r="O406" s="33">
        <v>0.0</v>
      </c>
      <c r="P406" s="33">
        <v>0.0</v>
      </c>
      <c r="Q406" s="33" t="s">
        <v>61</v>
      </c>
      <c r="R406" s="33" t="s">
        <v>61</v>
      </c>
      <c r="S406" s="33"/>
      <c r="T406" s="33">
        <v>0.0</v>
      </c>
      <c r="U406" s="33">
        <v>-1.0</v>
      </c>
      <c r="V406" s="33">
        <v>1.0</v>
      </c>
      <c r="W406" s="36"/>
      <c r="X406" s="36"/>
      <c r="Y406" s="36"/>
    </row>
    <row r="407">
      <c r="A407" s="101">
        <v>1.0</v>
      </c>
      <c r="B407" s="96" t="s">
        <v>1813</v>
      </c>
      <c r="C407" s="33">
        <v>404.0</v>
      </c>
      <c r="D407" s="97">
        <v>1.0</v>
      </c>
      <c r="E407" s="98">
        <v>43821.0</v>
      </c>
      <c r="F407" s="35" t="str">
        <f>HYPERLINK("https://hot.detik.com/celeb/d-4831732/haddad-alwi-maafkan-orang-yang-tuding-dirinya-pengikut-syiah ","sumber")</f>
        <v>sumber</v>
      </c>
      <c r="G407" s="35" t="str">
        <f t="shared" si="51"/>
        <v>lokasi</v>
      </c>
      <c r="H407" s="97">
        <v>200.0</v>
      </c>
      <c r="I407" s="99">
        <v>2.0</v>
      </c>
      <c r="J407" s="33">
        <v>4.0</v>
      </c>
      <c r="K407" s="102" t="s">
        <v>897</v>
      </c>
      <c r="L407" s="33">
        <v>0.0</v>
      </c>
      <c r="M407" s="33">
        <v>0.0</v>
      </c>
      <c r="N407" s="37">
        <v>0.0</v>
      </c>
      <c r="O407" s="33">
        <v>0.0</v>
      </c>
      <c r="P407" s="33">
        <v>0.0</v>
      </c>
      <c r="Q407" s="33">
        <v>0.0</v>
      </c>
      <c r="R407" s="33">
        <v>0.0</v>
      </c>
      <c r="S407" s="33"/>
      <c r="T407" s="33">
        <v>0.0</v>
      </c>
      <c r="U407" s="33">
        <v>0.0</v>
      </c>
      <c r="V407" s="33">
        <v>0.0</v>
      </c>
      <c r="W407" s="36"/>
      <c r="X407" s="36"/>
      <c r="Y407" s="36"/>
    </row>
    <row r="408">
      <c r="A408" s="105">
        <v>2.0</v>
      </c>
      <c r="B408" s="106" t="s">
        <v>1814</v>
      </c>
      <c r="C408" s="40">
        <v>405.0</v>
      </c>
      <c r="D408" s="107">
        <v>4.0</v>
      </c>
      <c r="E408" s="108">
        <v>43822.0</v>
      </c>
      <c r="F408" s="42" t="str">
        <f>HYPERLINK("https://www.liputan6.com/global/read/4140094/kaleidoskop-global-2019-7-teror-yang-gegerkan-dunia","sumber")</f>
        <v>sumber</v>
      </c>
      <c r="G408" s="131" t="s">
        <v>33</v>
      </c>
      <c r="H408" s="107">
        <v>1218.0</v>
      </c>
      <c r="I408" s="132"/>
      <c r="J408" s="40">
        <v>4.0</v>
      </c>
      <c r="K408" s="124"/>
      <c r="L408" s="40"/>
      <c r="M408" s="40"/>
      <c r="N408" s="40"/>
      <c r="O408" s="40"/>
      <c r="P408" s="40"/>
      <c r="Q408" s="40"/>
      <c r="R408" s="40"/>
      <c r="S408" s="40"/>
      <c r="T408" s="40"/>
      <c r="U408" s="40"/>
      <c r="V408" s="40"/>
      <c r="W408" s="41"/>
      <c r="X408" s="41"/>
      <c r="Y408" s="41"/>
    </row>
    <row r="409">
      <c r="A409" s="105">
        <v>2.0</v>
      </c>
      <c r="B409" s="106" t="s">
        <v>1815</v>
      </c>
      <c r="C409" s="40">
        <v>406.0</v>
      </c>
      <c r="D409" s="107">
        <v>10.0</v>
      </c>
      <c r="E409" s="108">
        <v>43829.0</v>
      </c>
      <c r="F409" s="42" t="str">
        <f>HYPERLINK("https://dunia.tempo.co/read/1289152/amerika-serang-milisi-iran-di-irak-suriah-pakai-rudal-presisi","sumber")</f>
        <v>sumber</v>
      </c>
      <c r="G409" s="131" t="s">
        <v>33</v>
      </c>
      <c r="H409" s="107">
        <v>278.0</v>
      </c>
      <c r="I409" s="132"/>
      <c r="J409" s="40">
        <v>4.0</v>
      </c>
      <c r="K409" s="124"/>
      <c r="L409" s="40"/>
      <c r="M409" s="40"/>
      <c r="N409" s="40"/>
      <c r="O409" s="40"/>
      <c r="P409" s="40"/>
      <c r="Q409" s="40"/>
      <c r="R409" s="40"/>
      <c r="S409" s="40"/>
      <c r="T409" s="40"/>
      <c r="U409" s="40"/>
      <c r="V409" s="40"/>
      <c r="W409" s="41"/>
      <c r="X409" s="41"/>
      <c r="Y409" s="41"/>
    </row>
    <row r="410">
      <c r="A410" s="101">
        <v>1.0</v>
      </c>
      <c r="B410" s="96" t="s">
        <v>1816</v>
      </c>
      <c r="C410" s="33">
        <v>407.0</v>
      </c>
      <c r="D410" s="97">
        <v>4.0</v>
      </c>
      <c r="E410" s="98">
        <v>43741.0</v>
      </c>
      <c r="F410" s="35" t="str">
        <f>HYPERLINK("https://www.liputan6.com/bisnis/read/4077437/rekrutmen-cpns-2019-dibuka-minggu-keempat-oktober","sumber")</f>
        <v>sumber</v>
      </c>
      <c r="G410" s="35" t="str">
        <f>HYPERLINK("https://drive.google.com/open?id=15K5sriRJOw0JTPqD9yRZzl0fwZcfdV8X","lokasi")</f>
        <v>lokasi</v>
      </c>
      <c r="H410" s="97">
        <v>570.0</v>
      </c>
      <c r="I410" s="99">
        <v>2.0</v>
      </c>
      <c r="J410" s="33">
        <v>2.0</v>
      </c>
      <c r="K410" s="102" t="s">
        <v>1817</v>
      </c>
      <c r="L410" s="33">
        <v>0.0</v>
      </c>
      <c r="M410" s="33">
        <v>0.0</v>
      </c>
      <c r="N410" s="37">
        <v>0.0</v>
      </c>
      <c r="O410" s="33">
        <v>0.0</v>
      </c>
      <c r="P410" s="33">
        <v>0.0</v>
      </c>
      <c r="Q410" s="33">
        <v>0.0</v>
      </c>
      <c r="R410" s="33">
        <v>1.0</v>
      </c>
      <c r="S410" s="33"/>
      <c r="T410" s="33">
        <v>0.0</v>
      </c>
      <c r="U410" s="33">
        <v>0.0</v>
      </c>
      <c r="V410" s="33">
        <v>1.0</v>
      </c>
      <c r="W410" s="36"/>
      <c r="X410" s="36"/>
      <c r="Y410" s="36"/>
    </row>
    <row r="411">
      <c r="A411" s="105">
        <v>2.0</v>
      </c>
      <c r="B411" s="106" t="s">
        <v>1818</v>
      </c>
      <c r="C411" s="40">
        <v>408.0</v>
      </c>
      <c r="D411" s="107">
        <v>2.0</v>
      </c>
      <c r="E411" s="108">
        <v>43742.0</v>
      </c>
      <c r="F411" s="42" t="str">
        <f>HYPERLINK("https://www.cnnindonesia.com/internasional/20191004154318-134-436807/pesawat-kargo-mendarat-darurat-di-ukraina-lima-orang-tewas","sumber")</f>
        <v>sumber</v>
      </c>
      <c r="G411" s="131" t="s">
        <v>33</v>
      </c>
      <c r="H411" s="107">
        <v>229.0</v>
      </c>
      <c r="I411" s="132"/>
      <c r="J411" s="40">
        <v>2.0</v>
      </c>
      <c r="K411" s="124"/>
      <c r="L411" s="40"/>
      <c r="M411" s="40"/>
      <c r="N411" s="40"/>
      <c r="O411" s="40"/>
      <c r="P411" s="40"/>
      <c r="Q411" s="40"/>
      <c r="R411" s="40"/>
      <c r="S411" s="40"/>
      <c r="T411" s="40"/>
      <c r="U411" s="40"/>
      <c r="V411" s="40"/>
      <c r="W411" s="41"/>
      <c r="X411" s="41"/>
      <c r="Y411" s="41"/>
    </row>
    <row r="412">
      <c r="A412" s="101">
        <v>1.0</v>
      </c>
      <c r="B412" s="96" t="s">
        <v>1819</v>
      </c>
      <c r="C412" s="33">
        <v>409.0</v>
      </c>
      <c r="D412" s="97">
        <v>10.0</v>
      </c>
      <c r="E412" s="98">
        <v>43742.0</v>
      </c>
      <c r="F412" s="35" t="str">
        <f>HYPERLINK("https://gaya.tempo.co/read/1255602/dampak-politik-merasa-gila-hingga-hilang-kesabaran","sumber")</f>
        <v>sumber</v>
      </c>
      <c r="G412" s="35" t="str">
        <f t="shared" ref="G412:G414" si="52">HYPERLINK("https://drive.google.com/open?id=15K5sriRJOw0JTPqD9yRZzl0fwZcfdV8X","lokasi")</f>
        <v>lokasi</v>
      </c>
      <c r="H412" s="97">
        <v>377.0</v>
      </c>
      <c r="I412" s="133">
        <v>2.0</v>
      </c>
      <c r="J412" s="33">
        <v>2.0</v>
      </c>
      <c r="K412" s="102" t="s">
        <v>1820</v>
      </c>
      <c r="L412" s="33">
        <v>0.0</v>
      </c>
      <c r="M412" s="33">
        <v>0.0</v>
      </c>
      <c r="N412" s="37">
        <v>0.0</v>
      </c>
      <c r="O412" s="33">
        <v>0.0</v>
      </c>
      <c r="P412" s="33">
        <v>0.0</v>
      </c>
      <c r="Q412" s="33">
        <v>0.0</v>
      </c>
      <c r="R412" s="33">
        <v>0.0</v>
      </c>
      <c r="S412" s="33"/>
      <c r="T412" s="33">
        <v>0.0</v>
      </c>
      <c r="U412" s="33">
        <v>0.0</v>
      </c>
      <c r="V412" s="33">
        <v>1.0</v>
      </c>
      <c r="W412" s="36"/>
      <c r="X412" s="36"/>
      <c r="Y412" s="36"/>
    </row>
    <row r="413">
      <c r="A413" s="101">
        <v>1.0</v>
      </c>
      <c r="B413" s="96" t="s">
        <v>1821</v>
      </c>
      <c r="C413" s="33">
        <v>410.0</v>
      </c>
      <c r="D413" s="97">
        <v>4.0</v>
      </c>
      <c r="E413" s="98">
        <v>43743.0</v>
      </c>
      <c r="F413" s="35" t="str">
        <f>HYPERLINK("https://www.liputan6.com/citizen6/read/4065336/aturan-mobil-listrik-akan-diberi-suara-palsu-jadi-sorotan-begini-saran-warganet","sumber")</f>
        <v>sumber</v>
      </c>
      <c r="G413" s="35" t="str">
        <f t="shared" si="52"/>
        <v>lokasi</v>
      </c>
      <c r="H413" s="97">
        <v>211.0</v>
      </c>
      <c r="I413" s="134">
        <v>4.0</v>
      </c>
      <c r="J413" s="33">
        <v>2.0</v>
      </c>
      <c r="K413" s="102" t="s">
        <v>1822</v>
      </c>
      <c r="L413" s="33">
        <v>0.0</v>
      </c>
      <c r="M413" s="33">
        <v>0.0</v>
      </c>
      <c r="N413" s="37">
        <v>0.0</v>
      </c>
      <c r="O413" s="33">
        <v>0.0</v>
      </c>
      <c r="P413" s="33">
        <v>0.0</v>
      </c>
      <c r="Q413" s="33">
        <v>0.0</v>
      </c>
      <c r="R413" s="33">
        <v>0.0</v>
      </c>
      <c r="S413" s="33" t="s">
        <v>1823</v>
      </c>
      <c r="T413" s="33">
        <v>1.0</v>
      </c>
      <c r="U413" s="33">
        <v>0.0</v>
      </c>
      <c r="V413" s="33">
        <v>1.0</v>
      </c>
      <c r="W413" s="36"/>
      <c r="X413" s="36"/>
      <c r="Y413" s="36"/>
    </row>
    <row r="414">
      <c r="A414" s="101">
        <v>1.0</v>
      </c>
      <c r="B414" s="96" t="s">
        <v>1824</v>
      </c>
      <c r="C414" s="33">
        <v>411.0</v>
      </c>
      <c r="D414" s="97">
        <v>8.0</v>
      </c>
      <c r="E414" s="98">
        <v>43743.0</v>
      </c>
      <c r="F414" s="35" t="str">
        <f>HYPERLINK("https://www.suara.com/lifestyle/2019/10/05/125315/pertama-kali-lihat-pantai-ekspresi-bahagia-kakek-93-tahun-jadi-viral","sumber")</f>
        <v>sumber</v>
      </c>
      <c r="G414" s="35" t="str">
        <f t="shared" si="52"/>
        <v>lokasi</v>
      </c>
      <c r="H414" s="97">
        <v>305.0</v>
      </c>
      <c r="I414" s="134">
        <v>2.0</v>
      </c>
      <c r="J414" s="33">
        <v>2.0</v>
      </c>
      <c r="K414" s="102" t="s">
        <v>1825</v>
      </c>
      <c r="L414" s="33">
        <v>0.0</v>
      </c>
      <c r="M414" s="33">
        <v>0.0</v>
      </c>
      <c r="N414" s="37">
        <v>0.0</v>
      </c>
      <c r="O414" s="33">
        <v>0.0</v>
      </c>
      <c r="P414" s="33">
        <v>0.0</v>
      </c>
      <c r="Q414" s="33" t="s">
        <v>1826</v>
      </c>
      <c r="R414" s="33" t="s">
        <v>53</v>
      </c>
      <c r="S414" s="33"/>
      <c r="T414" s="33">
        <v>0.0</v>
      </c>
      <c r="U414" s="33">
        <v>0.0</v>
      </c>
      <c r="V414" s="33">
        <v>0.0</v>
      </c>
      <c r="W414" s="36"/>
      <c r="X414" s="36"/>
      <c r="Y414" s="36"/>
    </row>
    <row r="415">
      <c r="A415" s="105">
        <v>2.0</v>
      </c>
      <c r="B415" s="106" t="s">
        <v>1827</v>
      </c>
      <c r="C415" s="40">
        <v>412.0</v>
      </c>
      <c r="D415" s="107">
        <v>2.0</v>
      </c>
      <c r="E415" s="108">
        <v>43744.0</v>
      </c>
      <c r="F415" s="42" t="str">
        <f>HYPERLINK("https://www.cnnindonesia.com/internasional/20191006084707-134-437143/kuasai-mal-di-paris-aktivis-iklim-ribut-dengan-polisi","sumber")</f>
        <v>sumber</v>
      </c>
      <c r="G415" s="131" t="s">
        <v>33</v>
      </c>
      <c r="H415" s="107">
        <v>380.0</v>
      </c>
      <c r="I415" s="135"/>
      <c r="J415" s="40">
        <v>2.0</v>
      </c>
      <c r="K415" s="124"/>
      <c r="L415" s="40"/>
      <c r="M415" s="40"/>
      <c r="N415" s="40"/>
      <c r="O415" s="40"/>
      <c r="P415" s="40"/>
      <c r="Q415" s="40"/>
      <c r="R415" s="40"/>
      <c r="S415" s="40"/>
      <c r="T415" s="40"/>
      <c r="U415" s="40"/>
      <c r="V415" s="40"/>
      <c r="W415" s="41"/>
      <c r="X415" s="41"/>
      <c r="Y415" s="41"/>
    </row>
    <row r="416">
      <c r="A416" s="105">
        <v>2.0</v>
      </c>
      <c r="B416" s="106" t="s">
        <v>1828</v>
      </c>
      <c r="C416" s="40">
        <v>413.0</v>
      </c>
      <c r="D416" s="107">
        <v>8.0</v>
      </c>
      <c r="E416" s="108">
        <v>43744.0</v>
      </c>
      <c r="F416" s="42" t="str">
        <f>HYPERLINK("https://www.suara.com/tekno/2019/10/06/212000/ini-9-fakta-perjalanan-dua-tahun-tik-tok-di-indonesia","sumber")</f>
        <v>sumber</v>
      </c>
      <c r="G416" s="131" t="s">
        <v>33</v>
      </c>
      <c r="H416" s="107">
        <v>616.0</v>
      </c>
      <c r="I416" s="135"/>
      <c r="J416" s="40">
        <v>2.0</v>
      </c>
      <c r="K416" s="124"/>
      <c r="L416" s="40"/>
      <c r="M416" s="40"/>
      <c r="N416" s="40"/>
      <c r="O416" s="40"/>
      <c r="P416" s="40"/>
      <c r="Q416" s="40"/>
      <c r="R416" s="40"/>
      <c r="S416" s="40"/>
      <c r="T416" s="40"/>
      <c r="U416" s="40"/>
      <c r="V416" s="40"/>
      <c r="W416" s="41"/>
      <c r="X416" s="41"/>
      <c r="Y416" s="41"/>
    </row>
    <row r="417">
      <c r="A417" s="105">
        <v>2.0</v>
      </c>
      <c r="B417" s="106" t="s">
        <v>1829</v>
      </c>
      <c r="C417" s="40">
        <v>414.0</v>
      </c>
      <c r="D417" s="107">
        <v>10.0</v>
      </c>
      <c r="E417" s="108">
        <v>43744.0</v>
      </c>
      <c r="F417" s="42" t="str">
        <f>HYPERLINK("https://nasional.tempo.co/read/1256427/survei-desak-jokowi-terbitkan-perpu-kpk-lsi-semoga-didengar","sumber")</f>
        <v>sumber</v>
      </c>
      <c r="G417" s="131" t="s">
        <v>33</v>
      </c>
      <c r="H417" s="107">
        <v>220.0</v>
      </c>
      <c r="I417" s="135"/>
      <c r="J417" s="40">
        <v>2.0</v>
      </c>
      <c r="K417" s="124"/>
      <c r="L417" s="40"/>
      <c r="M417" s="40"/>
      <c r="N417" s="40"/>
      <c r="O417" s="40"/>
      <c r="P417" s="40"/>
      <c r="Q417" s="40"/>
      <c r="R417" s="40"/>
      <c r="S417" s="40"/>
      <c r="T417" s="40"/>
      <c r="U417" s="40"/>
      <c r="V417" s="40"/>
      <c r="W417" s="41"/>
      <c r="X417" s="41"/>
      <c r="Y417" s="41"/>
    </row>
    <row r="418">
      <c r="A418" s="112">
        <v>1.0</v>
      </c>
      <c r="B418" s="113" t="s">
        <v>1830</v>
      </c>
      <c r="C418" s="114">
        <v>415.0</v>
      </c>
      <c r="D418" s="115">
        <v>7.0</v>
      </c>
      <c r="E418" s="116">
        <v>43744.0</v>
      </c>
      <c r="F418" s="117" t="str">
        <f>HYPERLINK("https://www.tribunnews.com/regional/2019/10/06/sederet-fakta-bocah-12-tahun-dikurung-di-bekas-kandang-ayam","sumber")</f>
        <v>sumber</v>
      </c>
      <c r="G418" s="117" t="str">
        <f>HYPERLINK("https://drive.google.com/open?id=15K5sriRJOw0JTPqD9yRZzl0fwZcfdV8X","lokasi")</f>
        <v>lokasi</v>
      </c>
      <c r="H418" s="115">
        <v>181.0</v>
      </c>
      <c r="I418" s="136">
        <v>1.0</v>
      </c>
      <c r="J418" s="114">
        <v>2.0</v>
      </c>
      <c r="K418" s="119" t="s">
        <v>1831</v>
      </c>
      <c r="L418" s="114">
        <v>0.0</v>
      </c>
      <c r="M418" s="50">
        <v>0.0</v>
      </c>
      <c r="N418" s="120">
        <v>0.0</v>
      </c>
      <c r="O418" s="114">
        <v>0.0</v>
      </c>
      <c r="P418" s="114">
        <v>0.0</v>
      </c>
      <c r="Q418" s="114" t="s">
        <v>119</v>
      </c>
      <c r="R418" s="114" t="s">
        <v>61</v>
      </c>
      <c r="S418" s="114"/>
      <c r="T418" s="114">
        <v>0.0</v>
      </c>
      <c r="U418" s="114">
        <v>0.0</v>
      </c>
      <c r="V418" s="114">
        <v>1.0</v>
      </c>
      <c r="W418" s="122"/>
      <c r="X418" s="122"/>
      <c r="Y418" s="122"/>
    </row>
    <row r="419">
      <c r="A419" s="105">
        <v>2.0</v>
      </c>
      <c r="B419" s="106" t="s">
        <v>1832</v>
      </c>
      <c r="C419" s="40">
        <v>416.0</v>
      </c>
      <c r="D419" s="107">
        <v>1.0</v>
      </c>
      <c r="E419" s="108">
        <v>43745.0</v>
      </c>
      <c r="F419" s="42" t="str">
        <f>HYPERLINK("https://hot.detik.com/movie/d-4736974/joker-terinspirasi-dari-film-ini","sumber")</f>
        <v>sumber</v>
      </c>
      <c r="G419" s="131" t="s">
        <v>33</v>
      </c>
      <c r="H419" s="107">
        <v>488.0</v>
      </c>
      <c r="I419" s="135"/>
      <c r="J419" s="40">
        <v>2.0</v>
      </c>
      <c r="K419" s="124"/>
      <c r="L419" s="40"/>
      <c r="M419" s="40"/>
      <c r="N419" s="40"/>
      <c r="O419" s="40"/>
      <c r="P419" s="40"/>
      <c r="Q419" s="40"/>
      <c r="R419" s="40"/>
      <c r="S419" s="40"/>
      <c r="T419" s="40"/>
      <c r="U419" s="40"/>
      <c r="V419" s="40"/>
      <c r="W419" s="41"/>
      <c r="X419" s="41"/>
      <c r="Y419" s="41"/>
    </row>
    <row r="420">
      <c r="A420" s="101">
        <v>1.0</v>
      </c>
      <c r="B420" s="96" t="s">
        <v>1833</v>
      </c>
      <c r="C420" s="33">
        <v>417.0</v>
      </c>
      <c r="D420" s="97">
        <v>8.0</v>
      </c>
      <c r="E420" s="98">
        <v>43745.0</v>
      </c>
      <c r="F420" s="35" t="str">
        <f>HYPERLINK("https://www.suara.com/health/2019/10/07/201000/dokter-jiwa-usul-percobaan-bunuh-diri-ditanggung-bpjs-ini-alasannya","sumber")</f>
        <v>sumber</v>
      </c>
      <c r="G420" s="35" t="str">
        <f t="shared" ref="G420:G426" si="53">HYPERLINK("https://drive.google.com/open?id=15K5sriRJOw0JTPqD9yRZzl0fwZcfdV8X","lokasi")</f>
        <v>lokasi</v>
      </c>
      <c r="H420" s="97">
        <v>312.0</v>
      </c>
      <c r="I420" s="134">
        <v>4.0</v>
      </c>
      <c r="J420" s="33">
        <v>2.0</v>
      </c>
      <c r="K420" s="102" t="s">
        <v>1834</v>
      </c>
      <c r="L420" s="33">
        <v>0.0</v>
      </c>
      <c r="M420" s="33">
        <v>0.0</v>
      </c>
      <c r="N420" s="37">
        <v>0.0</v>
      </c>
      <c r="O420" s="33">
        <v>0.0</v>
      </c>
      <c r="P420" s="33">
        <v>0.0</v>
      </c>
      <c r="Q420" s="33">
        <v>0.0</v>
      </c>
      <c r="R420" s="33">
        <v>0.0</v>
      </c>
      <c r="S420" s="33"/>
      <c r="T420" s="33">
        <v>0.0</v>
      </c>
      <c r="U420" s="33">
        <v>0.0</v>
      </c>
      <c r="V420" s="33">
        <v>1.0</v>
      </c>
      <c r="W420" s="36"/>
      <c r="X420" s="36"/>
      <c r="Y420" s="36"/>
    </row>
    <row r="421">
      <c r="A421" s="112">
        <v>1.0</v>
      </c>
      <c r="B421" s="113" t="s">
        <v>1835</v>
      </c>
      <c r="C421" s="114">
        <v>418.0</v>
      </c>
      <c r="D421" s="115">
        <v>10.0</v>
      </c>
      <c r="E421" s="116">
        <v>43787.0</v>
      </c>
      <c r="F421" s="117" t="str">
        <f>HYPERLINK("https://difabel.tempo.co/read/1273656/syarat-khusus-untuk-penyandang-disabilitas-saat-daftar-cpns-2019","sumber")</f>
        <v>sumber</v>
      </c>
      <c r="G421" s="117" t="str">
        <f t="shared" si="53"/>
        <v>lokasi</v>
      </c>
      <c r="H421" s="115">
        <v>245.0</v>
      </c>
      <c r="I421" s="136">
        <v>4.0</v>
      </c>
      <c r="J421" s="114">
        <v>2.0</v>
      </c>
      <c r="K421" s="119"/>
      <c r="L421" s="114">
        <v>0.0</v>
      </c>
      <c r="M421" s="114">
        <v>0.0</v>
      </c>
      <c r="N421" s="120">
        <v>0.0</v>
      </c>
      <c r="O421" s="114">
        <v>0.0</v>
      </c>
      <c r="P421" s="114">
        <v>0.0</v>
      </c>
      <c r="Q421" s="114"/>
      <c r="R421" s="114"/>
      <c r="S421" s="114"/>
      <c r="T421" s="114">
        <v>0.0</v>
      </c>
      <c r="U421" s="114">
        <v>0.0</v>
      </c>
      <c r="V421" s="114">
        <v>1.0</v>
      </c>
      <c r="W421" s="122"/>
      <c r="X421" s="122"/>
      <c r="Y421" s="122"/>
    </row>
    <row r="422">
      <c r="A422" s="112">
        <v>1.0</v>
      </c>
      <c r="B422" s="113" t="s">
        <v>1836</v>
      </c>
      <c r="C422" s="114">
        <v>419.0</v>
      </c>
      <c r="D422" s="115">
        <v>2.0</v>
      </c>
      <c r="E422" s="116">
        <v>43789.0</v>
      </c>
      <c r="F422" s="117" t="str">
        <f>HYPERLINK("https://www.cnnindonesia.com/gaya-hidup/20191120094447-255-449880/dokter-jiwa-pelaku-teror-sperma-bisa-jadi-ekshibisionis","sumber")</f>
        <v>sumber</v>
      </c>
      <c r="G422" s="117" t="str">
        <f t="shared" si="53"/>
        <v>lokasi</v>
      </c>
      <c r="H422" s="115">
        <v>501.0</v>
      </c>
      <c r="I422" s="136">
        <v>1.0</v>
      </c>
      <c r="J422" s="114">
        <v>2.0</v>
      </c>
      <c r="K422" s="119" t="s">
        <v>1837</v>
      </c>
      <c r="L422" s="114">
        <v>0.0</v>
      </c>
      <c r="M422" s="114">
        <v>1.0</v>
      </c>
      <c r="N422" s="120">
        <v>0.0</v>
      </c>
      <c r="O422" s="114">
        <v>0.0</v>
      </c>
      <c r="P422" s="114">
        <v>0.0</v>
      </c>
      <c r="Q422" s="114" t="s">
        <v>53</v>
      </c>
      <c r="R422" s="114" t="s">
        <v>53</v>
      </c>
      <c r="S422" s="114"/>
      <c r="T422" s="114">
        <v>0.0</v>
      </c>
      <c r="U422" s="114">
        <v>0.0</v>
      </c>
      <c r="V422" s="114">
        <v>1.0</v>
      </c>
      <c r="W422" s="122"/>
      <c r="X422" s="122"/>
      <c r="Y422" s="122"/>
    </row>
    <row r="423" ht="18.75" customHeight="1">
      <c r="A423" s="112">
        <v>1.0</v>
      </c>
      <c r="B423" s="113" t="s">
        <v>1838</v>
      </c>
      <c r="C423" s="114">
        <v>420.0</v>
      </c>
      <c r="D423" s="115">
        <v>8.0</v>
      </c>
      <c r="E423" s="116">
        <v>43748.0</v>
      </c>
      <c r="F423" s="117" t="str">
        <f>HYPERLINK("https://www.suara.com/health/2019/10/10/071500/joker-pilih-berhenti-minum-obat-untuk-kondisi-mentalnya-apa-efeknya","sumber")</f>
        <v>sumber</v>
      </c>
      <c r="G423" s="117" t="str">
        <f t="shared" si="53"/>
        <v>lokasi</v>
      </c>
      <c r="H423" s="115">
        <v>248.0</v>
      </c>
      <c r="I423" s="136">
        <v>2.0</v>
      </c>
      <c r="J423" s="114">
        <v>2.0</v>
      </c>
      <c r="K423" s="119" t="s">
        <v>1839</v>
      </c>
      <c r="L423" s="114">
        <v>0.0</v>
      </c>
      <c r="M423" s="114">
        <v>0.0</v>
      </c>
      <c r="N423" s="120">
        <v>0.0</v>
      </c>
      <c r="O423" s="114">
        <v>0.0</v>
      </c>
      <c r="P423" s="114">
        <v>0.0</v>
      </c>
      <c r="Q423" s="114">
        <v>0.0</v>
      </c>
      <c r="R423" s="114">
        <v>0.0</v>
      </c>
      <c r="S423" s="114"/>
      <c r="T423" s="114">
        <v>0.0</v>
      </c>
      <c r="U423" s="114">
        <v>0.0</v>
      </c>
      <c r="V423" s="114">
        <v>1.0</v>
      </c>
      <c r="W423" s="122"/>
      <c r="X423" s="122"/>
      <c r="Y423" s="122"/>
    </row>
    <row r="424">
      <c r="A424" s="101">
        <v>1.0</v>
      </c>
      <c r="B424" s="96" t="s">
        <v>931</v>
      </c>
      <c r="C424" s="33">
        <v>421.0</v>
      </c>
      <c r="D424" s="97">
        <v>1.0</v>
      </c>
      <c r="E424" s="98">
        <v>43787.0</v>
      </c>
      <c r="F424" s="35" t="str">
        <f>HYPERLINK("https://news.detik.com/berita-jawa-tengah/d-4789150/cerita-warga-soal-temuan-mayat-remaja-terkubur-di-pekarangan-rumah","sumber")</f>
        <v>sumber</v>
      </c>
      <c r="G424" s="35" t="str">
        <f t="shared" si="53"/>
        <v>lokasi</v>
      </c>
      <c r="H424" s="97">
        <v>220.0</v>
      </c>
      <c r="I424" s="134">
        <v>1.0</v>
      </c>
      <c r="J424" s="33">
        <v>2.0</v>
      </c>
      <c r="K424" s="102" t="s">
        <v>1840</v>
      </c>
      <c r="L424" s="33">
        <v>0.0</v>
      </c>
      <c r="M424" s="33">
        <v>-1.0</v>
      </c>
      <c r="N424" s="37">
        <v>0.0</v>
      </c>
      <c r="O424" s="33">
        <v>0.0</v>
      </c>
      <c r="P424" s="33">
        <v>0.0</v>
      </c>
      <c r="Q424" s="33">
        <v>0.0</v>
      </c>
      <c r="R424" s="33">
        <v>-1.0</v>
      </c>
      <c r="S424" s="33"/>
      <c r="T424" s="33">
        <v>0.0</v>
      </c>
      <c r="U424" s="33">
        <v>0.0</v>
      </c>
      <c r="V424" s="33">
        <v>1.0</v>
      </c>
      <c r="W424" s="36"/>
      <c r="X424" s="36"/>
      <c r="Y424" s="36"/>
    </row>
    <row r="425">
      <c r="A425" s="112">
        <v>1.0</v>
      </c>
      <c r="B425" s="125" t="s">
        <v>1841</v>
      </c>
      <c r="C425" s="114">
        <v>422.0</v>
      </c>
      <c r="D425" s="115">
        <v>8.0</v>
      </c>
      <c r="E425" s="116">
        <v>43787.0</v>
      </c>
      <c r="F425" s="117" t="str">
        <f>HYPERLINK("https://www.suara.com/news/2019/11/18/145314/tukang-servis-ac-peneror-air-keras-incar-pelajar-dan-pedagang-sayur ","sumber")</f>
        <v>sumber</v>
      </c>
      <c r="G425" s="117" t="str">
        <f t="shared" si="53"/>
        <v>lokasi</v>
      </c>
      <c r="H425" s="115">
        <v>457.0</v>
      </c>
      <c r="I425" s="136">
        <v>1.0</v>
      </c>
      <c r="J425" s="114">
        <v>2.0</v>
      </c>
      <c r="K425" s="119" t="s">
        <v>1842</v>
      </c>
      <c r="L425" s="114">
        <v>0.0</v>
      </c>
      <c r="M425" s="50">
        <v>0.0</v>
      </c>
      <c r="N425" s="120">
        <v>0.0</v>
      </c>
      <c r="O425" s="114">
        <v>0.0</v>
      </c>
      <c r="P425" s="114">
        <v>0.0</v>
      </c>
      <c r="Q425" s="114">
        <v>0.0</v>
      </c>
      <c r="R425" s="114">
        <v>0.0</v>
      </c>
      <c r="S425" s="114"/>
      <c r="T425" s="114">
        <v>0.0</v>
      </c>
      <c r="U425" s="114">
        <v>0.0</v>
      </c>
      <c r="V425" s="114">
        <v>1.0</v>
      </c>
      <c r="W425" s="122"/>
      <c r="X425" s="122"/>
      <c r="Y425" s="122"/>
    </row>
    <row r="426">
      <c r="A426" s="101">
        <v>1.0</v>
      </c>
      <c r="B426" s="96" t="s">
        <v>1843</v>
      </c>
      <c r="C426" s="33">
        <v>423.0</v>
      </c>
      <c r="D426" s="97">
        <v>2.0</v>
      </c>
      <c r="E426" s="98">
        <v>43789.0</v>
      </c>
      <c r="F426" s="35" t="str">
        <f>HYPERLINK("https://www.cnnindonesia.com/gaya-hidup/20191120111006-255-449902/mengenal-ekshibisionisme-gangguan-jiwa-pamer-alat-kelamin","sumber")</f>
        <v>sumber</v>
      </c>
      <c r="G426" s="35" t="str">
        <f t="shared" si="53"/>
        <v>lokasi</v>
      </c>
      <c r="H426" s="97">
        <v>728.0</v>
      </c>
      <c r="I426" s="134">
        <v>2.0</v>
      </c>
      <c r="J426" s="33">
        <v>2.0</v>
      </c>
      <c r="K426" s="102" t="s">
        <v>1844</v>
      </c>
      <c r="L426" s="33">
        <v>0.0</v>
      </c>
      <c r="M426" s="33">
        <v>0.0</v>
      </c>
      <c r="N426" s="37">
        <v>0.0</v>
      </c>
      <c r="O426" s="33">
        <v>0.0</v>
      </c>
      <c r="P426" s="33">
        <v>0.0</v>
      </c>
      <c r="Q426" s="33">
        <v>0.0</v>
      </c>
      <c r="R426" s="33">
        <v>0.0</v>
      </c>
      <c r="S426" s="33"/>
      <c r="T426" s="33">
        <v>0.0</v>
      </c>
      <c r="U426" s="33">
        <v>0.0</v>
      </c>
      <c r="V426" s="33">
        <v>1.0</v>
      </c>
      <c r="W426" s="36"/>
      <c r="X426" s="36"/>
      <c r="Y426" s="36"/>
    </row>
    <row r="427">
      <c r="A427" s="105">
        <v>2.0</v>
      </c>
      <c r="B427" s="106" t="s">
        <v>1845</v>
      </c>
      <c r="C427" s="40">
        <v>424.0</v>
      </c>
      <c r="D427" s="107">
        <v>3.0</v>
      </c>
      <c r="E427" s="108">
        <v>43789.0</v>
      </c>
      <c r="F427" s="42" t="str">
        <f>HYPERLINK("https://nasional.okezone.com/read/2019/11/20/337/2132048/proses-pelimpahan-berkas-perkara-surya-anta-cs-disebut-cacat-prosedural","sumber")</f>
        <v>sumber</v>
      </c>
      <c r="G427" s="131" t="s">
        <v>33</v>
      </c>
      <c r="H427" s="107">
        <v>291.0</v>
      </c>
      <c r="I427" s="135"/>
      <c r="J427" s="40">
        <v>2.0</v>
      </c>
      <c r="K427" s="124"/>
      <c r="L427" s="40"/>
      <c r="M427" s="40"/>
      <c r="N427" s="40"/>
      <c r="O427" s="40"/>
      <c r="P427" s="40"/>
      <c r="Q427" s="40"/>
      <c r="R427" s="40"/>
      <c r="S427" s="40"/>
      <c r="T427" s="40"/>
      <c r="U427" s="40"/>
      <c r="V427" s="40"/>
      <c r="W427" s="41"/>
      <c r="X427" s="41"/>
      <c r="Y427" s="41"/>
    </row>
    <row r="428">
      <c r="A428" s="101">
        <v>1.0</v>
      </c>
      <c r="B428" s="96" t="s">
        <v>1846</v>
      </c>
      <c r="C428" s="33">
        <v>425.0</v>
      </c>
      <c r="D428" s="97">
        <v>2.0</v>
      </c>
      <c r="E428" s="98">
        <v>43791.0</v>
      </c>
      <c r="F428" s="35" t="str">
        <f>HYPERLINK("https://www.cnnindonesia.com/nasional/20191122123837-25-450579/pemprov-dki-berikan-pangan-murah-bagi-warga-melalui-jakgrosir","sumber")</f>
        <v>sumber</v>
      </c>
      <c r="G428" s="35" t="str">
        <f t="shared" ref="G428:G431" si="54">HYPERLINK("https://drive.google.com/open?id=15K5sriRJOw0JTPqD9yRZzl0fwZcfdV8X","lokasi")</f>
        <v>lokasi</v>
      </c>
      <c r="H428" s="97">
        <v>389.0</v>
      </c>
      <c r="I428" s="134">
        <v>4.0</v>
      </c>
      <c r="J428" s="33">
        <v>2.0</v>
      </c>
      <c r="K428" s="102" t="s">
        <v>1847</v>
      </c>
      <c r="L428" s="33">
        <v>0.0</v>
      </c>
      <c r="M428" s="33">
        <v>0.0</v>
      </c>
      <c r="N428" s="37">
        <v>0.0</v>
      </c>
      <c r="O428" s="33">
        <v>0.0</v>
      </c>
      <c r="P428" s="33">
        <v>0.0</v>
      </c>
      <c r="Q428" s="33">
        <v>0.0</v>
      </c>
      <c r="R428" s="33">
        <v>0.0</v>
      </c>
      <c r="S428" s="33"/>
      <c r="T428" s="33">
        <v>0.0</v>
      </c>
      <c r="U428" s="33">
        <v>0.0</v>
      </c>
      <c r="V428" s="33">
        <v>1.0</v>
      </c>
      <c r="W428" s="36"/>
      <c r="X428" s="36"/>
      <c r="Y428" s="36"/>
    </row>
    <row r="429">
      <c r="A429" s="112">
        <v>1.0</v>
      </c>
      <c r="B429" s="125" t="s">
        <v>1848</v>
      </c>
      <c r="C429" s="114">
        <v>426.0</v>
      </c>
      <c r="D429" s="115">
        <v>6.0</v>
      </c>
      <c r="E429" s="116">
        <v>43791.0</v>
      </c>
      <c r="F429" s="117" t="str">
        <f>HYPERLINK("https://edukasi.kompas.com/read/2019/11/22/09440131/angkie-yudistia-staf-khusus-jokowi-kisah-titik-bangkit-di-kampus-dan ","sumber")</f>
        <v>sumber</v>
      </c>
      <c r="G429" s="117" t="str">
        <f t="shared" si="54"/>
        <v>lokasi</v>
      </c>
      <c r="H429" s="115">
        <v>249.0</v>
      </c>
      <c r="I429" s="136">
        <v>2.0</v>
      </c>
      <c r="J429" s="114">
        <v>2.0</v>
      </c>
      <c r="K429" s="119" t="s">
        <v>1849</v>
      </c>
      <c r="L429" s="114">
        <v>0.0</v>
      </c>
      <c r="M429" s="114">
        <v>0.0</v>
      </c>
      <c r="N429" s="120">
        <v>0.0</v>
      </c>
      <c r="O429" s="114">
        <v>0.0</v>
      </c>
      <c r="P429" s="114">
        <v>0.0</v>
      </c>
      <c r="Q429" s="114">
        <v>2.0</v>
      </c>
      <c r="R429" s="114">
        <v>1.0</v>
      </c>
      <c r="S429" s="114"/>
      <c r="T429" s="114">
        <v>0.0</v>
      </c>
      <c r="U429" s="114">
        <v>0.0</v>
      </c>
      <c r="V429" s="114">
        <v>1.0</v>
      </c>
      <c r="W429" s="122"/>
      <c r="X429" s="122"/>
      <c r="Y429" s="122"/>
    </row>
    <row r="430">
      <c r="A430" s="101">
        <v>1.0</v>
      </c>
      <c r="B430" s="96" t="s">
        <v>1850</v>
      </c>
      <c r="C430" s="33">
        <v>427.0</v>
      </c>
      <c r="D430" s="97">
        <v>7.0</v>
      </c>
      <c r="E430" s="98">
        <v>43791.0</v>
      </c>
      <c r="F430" s="35" t="str">
        <f>HYPERLINK("https://www.tribunnews.com/nasional/2019/11/22/jadi-satu-satunya-staf-khusus-presiden-penyandang-disabilitas-angkie-yudistia-dapat-tugas-khusus","sumber")</f>
        <v>sumber</v>
      </c>
      <c r="G430" s="35" t="str">
        <f t="shared" si="54"/>
        <v>lokasi</v>
      </c>
      <c r="H430" s="97">
        <v>208.0</v>
      </c>
      <c r="I430" s="134">
        <v>2.0</v>
      </c>
      <c r="J430" s="33">
        <v>2.0</v>
      </c>
      <c r="K430" s="102" t="s">
        <v>1851</v>
      </c>
      <c r="L430" s="33">
        <v>0.0</v>
      </c>
      <c r="M430" s="33">
        <v>0.0</v>
      </c>
      <c r="N430" s="37">
        <v>0.0</v>
      </c>
      <c r="O430" s="33">
        <v>0.0</v>
      </c>
      <c r="P430" s="33">
        <v>0.0</v>
      </c>
      <c r="Q430" s="33">
        <v>0.0</v>
      </c>
      <c r="R430" s="33">
        <v>1.0</v>
      </c>
      <c r="S430" s="33"/>
      <c r="T430" s="33">
        <v>0.0</v>
      </c>
      <c r="U430" s="33">
        <v>0.0</v>
      </c>
      <c r="V430" s="33">
        <v>1.0</v>
      </c>
      <c r="W430" s="36"/>
      <c r="X430" s="36"/>
      <c r="Y430" s="36"/>
    </row>
    <row r="431">
      <c r="A431" s="101">
        <v>1.0</v>
      </c>
      <c r="B431" s="96" t="s">
        <v>1852</v>
      </c>
      <c r="C431" s="33">
        <v>428.0</v>
      </c>
      <c r="D431" s="97">
        <v>6.0</v>
      </c>
      <c r="E431" s="98">
        <v>43792.0</v>
      </c>
      <c r="F431" s="35" t="str">
        <f>HYPERLINK("https://regional.kompas.com/read/2019/11/23/14140031/-cinta-ditolak-siswa-smk-tusuk-guru-sejarah-polisi--diduga-gangguan-jiwa","sumber")</f>
        <v>sumber</v>
      </c>
      <c r="G431" s="35" t="str">
        <f t="shared" si="54"/>
        <v>lokasi</v>
      </c>
      <c r="H431" s="97">
        <v>176.0</v>
      </c>
      <c r="I431" s="134">
        <v>1.0</v>
      </c>
      <c r="J431" s="33">
        <v>2.0</v>
      </c>
      <c r="K431" s="102" t="s">
        <v>1853</v>
      </c>
      <c r="L431" s="33">
        <v>0.0</v>
      </c>
      <c r="M431" s="50">
        <v>0.0</v>
      </c>
      <c r="N431" s="37">
        <v>0.0</v>
      </c>
      <c r="O431" s="33">
        <v>-1.0</v>
      </c>
      <c r="P431" s="33">
        <v>0.0</v>
      </c>
      <c r="Q431" s="33">
        <v>0.0</v>
      </c>
      <c r="R431" s="33">
        <v>0.0</v>
      </c>
      <c r="S431" s="33"/>
      <c r="T431" s="33">
        <v>0.0</v>
      </c>
      <c r="U431" s="33">
        <v>0.0</v>
      </c>
      <c r="V431" s="33">
        <v>1.0</v>
      </c>
      <c r="W431" s="36"/>
      <c r="X431" s="36"/>
      <c r="Y431" s="36"/>
    </row>
    <row r="432">
      <c r="A432" s="105">
        <v>2.0</v>
      </c>
      <c r="B432" s="106" t="s">
        <v>954</v>
      </c>
      <c r="C432" s="40">
        <v>429.0</v>
      </c>
      <c r="D432" s="107">
        <v>9.0</v>
      </c>
      <c r="E432" s="108">
        <v>43792.0</v>
      </c>
      <c r="F432" s="42" t="str">
        <f>HYPERLINK("https://trendtek.republika.co.id/berita/q1dqjd456/pameran-teknologi-masa-depan-disrupto-2019-hadir-di-jakarta","sumber")</f>
        <v>sumber</v>
      </c>
      <c r="G432" s="131" t="s">
        <v>33</v>
      </c>
      <c r="H432" s="107">
        <v>717.0</v>
      </c>
      <c r="I432" s="135"/>
      <c r="J432" s="40">
        <v>2.0</v>
      </c>
      <c r="K432" s="124"/>
      <c r="L432" s="40"/>
      <c r="M432" s="40"/>
      <c r="N432" s="40"/>
      <c r="O432" s="40"/>
      <c r="P432" s="40"/>
      <c r="Q432" s="40"/>
      <c r="R432" s="40"/>
      <c r="S432" s="40"/>
      <c r="T432" s="40"/>
      <c r="U432" s="40"/>
      <c r="V432" s="40"/>
      <c r="W432" s="41"/>
      <c r="X432" s="41"/>
      <c r="Y432" s="41"/>
    </row>
    <row r="433">
      <c r="A433" s="105">
        <v>2.0</v>
      </c>
      <c r="B433" s="106" t="s">
        <v>1854</v>
      </c>
      <c r="C433" s="40">
        <v>430.0</v>
      </c>
      <c r="D433" s="107">
        <v>8.0</v>
      </c>
      <c r="E433" s="108">
        <v>43792.0</v>
      </c>
      <c r="F433" s="42" t="str">
        <f>HYPERLINK("https://www.suara.com/lifestyle/2019/11/23/071952/kate-middleton-pakai-baju-bekas-dan-4-berita-lainnya","sumber")</f>
        <v>sumber</v>
      </c>
      <c r="G433" s="131" t="s">
        <v>33</v>
      </c>
      <c r="H433" s="107">
        <v>408.0</v>
      </c>
      <c r="I433" s="135"/>
      <c r="J433" s="40">
        <v>2.0</v>
      </c>
      <c r="K433" s="124"/>
      <c r="L433" s="40"/>
      <c r="M433" s="40"/>
      <c r="N433" s="40"/>
      <c r="O433" s="40"/>
      <c r="P433" s="40"/>
      <c r="Q433" s="40"/>
      <c r="R433" s="40"/>
      <c r="S433" s="40"/>
      <c r="T433" s="40"/>
      <c r="U433" s="40"/>
      <c r="V433" s="40"/>
      <c r="W433" s="41"/>
      <c r="X433" s="41"/>
      <c r="Y433" s="41"/>
    </row>
    <row r="434">
      <c r="A434" s="105">
        <v>2.0</v>
      </c>
      <c r="B434" s="106" t="s">
        <v>1855</v>
      </c>
      <c r="C434" s="40">
        <v>431.0</v>
      </c>
      <c r="D434" s="107">
        <v>4.0</v>
      </c>
      <c r="E434" s="108">
        <v>43793.0</v>
      </c>
      <c r="F434" s="42" t="str">
        <f>HYPERLINK("https://www.liputan6.com/showbiz/read/4117687/nikita-mirzani-buka-baju-di-mal-billy-syahputra-orang-gila","sumber")</f>
        <v>sumber</v>
      </c>
      <c r="G434" s="131" t="s">
        <v>33</v>
      </c>
      <c r="H434" s="107">
        <v>282.0</v>
      </c>
      <c r="I434" s="135"/>
      <c r="J434" s="40">
        <v>2.0</v>
      </c>
      <c r="K434" s="124"/>
      <c r="L434" s="40"/>
      <c r="M434" s="40"/>
      <c r="N434" s="40"/>
      <c r="O434" s="40"/>
      <c r="P434" s="40"/>
      <c r="Q434" s="40"/>
      <c r="R434" s="40"/>
      <c r="S434" s="40"/>
      <c r="T434" s="40"/>
      <c r="U434" s="40"/>
      <c r="V434" s="40"/>
      <c r="W434" s="41"/>
      <c r="X434" s="41"/>
      <c r="Y434" s="41"/>
    </row>
    <row r="435">
      <c r="A435" s="101">
        <v>1.0</v>
      </c>
      <c r="B435" s="96" t="s">
        <v>1856</v>
      </c>
      <c r="C435" s="33">
        <v>432.0</v>
      </c>
      <c r="D435" s="97">
        <v>10.0</v>
      </c>
      <c r="E435" s="98">
        <v>43793.0</v>
      </c>
      <c r="F435" s="35" t="str">
        <f>HYPERLINK("https://seleb.tempo.co/read/1275924/angkie-yudistia-takut-salah-paham-saat-diminta-jadi-staf-khusus-jokowi","sumber")</f>
        <v>sumber</v>
      </c>
      <c r="G435" s="35" t="str">
        <f>HYPERLINK("https://drive.google.com/open?id=15K5sriRJOw0JTPqD9yRZzl0fwZcfdV8X","lokasi")</f>
        <v>lokasi</v>
      </c>
      <c r="H435" s="97">
        <v>527.0</v>
      </c>
      <c r="I435" s="134">
        <v>2.0</v>
      </c>
      <c r="J435" s="33">
        <v>2.0</v>
      </c>
      <c r="K435" s="102" t="s">
        <v>946</v>
      </c>
      <c r="L435" s="33">
        <v>0.0</v>
      </c>
      <c r="M435" s="33">
        <v>0.0</v>
      </c>
      <c r="N435" s="37">
        <v>0.0</v>
      </c>
      <c r="O435" s="33">
        <v>0.0</v>
      </c>
      <c r="P435" s="33">
        <v>0.0</v>
      </c>
      <c r="Q435" s="33">
        <v>2.0</v>
      </c>
      <c r="R435" s="33">
        <v>1.0</v>
      </c>
      <c r="S435" s="33"/>
      <c r="T435" s="33">
        <v>0.0</v>
      </c>
      <c r="U435" s="33">
        <v>0.0</v>
      </c>
      <c r="V435" s="33">
        <v>1.0</v>
      </c>
      <c r="W435" s="36"/>
      <c r="X435" s="36"/>
      <c r="Y435" s="36"/>
    </row>
    <row r="436">
      <c r="A436" s="105">
        <v>2.0</v>
      </c>
      <c r="B436" s="106" t="s">
        <v>1857</v>
      </c>
      <c r="C436" s="40">
        <v>433.0</v>
      </c>
      <c r="D436" s="107">
        <v>5.0</v>
      </c>
      <c r="E436" s="108">
        <v>43814.0</v>
      </c>
      <c r="F436" s="42" t="str">
        <f>HYPERLINK("https://tirto.id/kapal-perempuan-minta-nadiem-makariem-tangani-3-masalah-pendidikan-entj","sumber")</f>
        <v>sumber</v>
      </c>
      <c r="G436" s="131" t="s">
        <v>33</v>
      </c>
      <c r="H436" s="107">
        <v>461.0</v>
      </c>
      <c r="I436" s="135"/>
      <c r="J436" s="40">
        <v>2.0</v>
      </c>
      <c r="K436" s="124"/>
      <c r="L436" s="40"/>
      <c r="M436" s="40"/>
      <c r="N436" s="40"/>
      <c r="O436" s="40"/>
      <c r="P436" s="40"/>
      <c r="Q436" s="40"/>
      <c r="R436" s="40"/>
      <c r="S436" s="40"/>
      <c r="T436" s="40"/>
      <c r="U436" s="40"/>
      <c r="V436" s="40"/>
      <c r="W436" s="41"/>
      <c r="X436" s="41"/>
      <c r="Y436" s="41"/>
    </row>
    <row r="437">
      <c r="A437" s="101">
        <v>1.0</v>
      </c>
      <c r="B437" s="96" t="s">
        <v>1858</v>
      </c>
      <c r="C437" s="33">
        <v>434.0</v>
      </c>
      <c r="D437" s="97">
        <v>2.0</v>
      </c>
      <c r="E437" s="98">
        <v>43816.0</v>
      </c>
      <c r="F437" s="35" t="str">
        <f>HYPERLINK("https://www.cnnindonesia.com/internasional/20191216115208-106-457326/menteri-malaysia-perjuangkan-pendidikan-kelompok-difabel","sumber")</f>
        <v>sumber</v>
      </c>
      <c r="G437" s="35" t="str">
        <f t="shared" ref="G437:G440" si="55">HYPERLINK("https://drive.google.com/open?id=15K5sriRJOw0JTPqD9yRZzl0fwZcfdV8X","lokasi")</f>
        <v>lokasi</v>
      </c>
      <c r="H437" s="97">
        <v>270.0</v>
      </c>
      <c r="I437" s="134">
        <v>4.0</v>
      </c>
      <c r="J437" s="33">
        <v>2.0</v>
      </c>
      <c r="K437" s="102" t="s">
        <v>1859</v>
      </c>
      <c r="L437" s="33">
        <v>0.0</v>
      </c>
      <c r="M437" s="33">
        <v>0.0</v>
      </c>
      <c r="N437" s="37">
        <v>0.0</v>
      </c>
      <c r="O437" s="33">
        <v>0.0</v>
      </c>
      <c r="P437" s="33">
        <v>0.0</v>
      </c>
      <c r="Q437" s="33">
        <v>0.0</v>
      </c>
      <c r="R437" s="33">
        <v>1.0</v>
      </c>
      <c r="S437" s="33"/>
      <c r="T437" s="33">
        <v>0.0</v>
      </c>
      <c r="U437" s="33">
        <v>0.0</v>
      </c>
      <c r="V437" s="33">
        <v>1.0</v>
      </c>
      <c r="W437" s="36"/>
      <c r="X437" s="36"/>
      <c r="Y437" s="36"/>
    </row>
    <row r="438">
      <c r="A438" s="112">
        <v>1.0</v>
      </c>
      <c r="B438" s="113" t="s">
        <v>1860</v>
      </c>
      <c r="C438" s="114">
        <v>435.0</v>
      </c>
      <c r="D438" s="115">
        <v>1.0</v>
      </c>
      <c r="E438" s="116">
        <v>43811.0</v>
      </c>
      <c r="F438" s="117" t="str">
        <f>HYPERLINK("https://health.detik.com/berita-detikhealth/d-4820194/soal-ig-live-bunuh-diri-aida-saskia-kenapa-manajer-bilang-cuma-prank","sumber")</f>
        <v>sumber</v>
      </c>
      <c r="G438" s="117" t="str">
        <f t="shared" si="55"/>
        <v>lokasi</v>
      </c>
      <c r="H438" s="115">
        <v>527.0</v>
      </c>
      <c r="I438" s="136">
        <v>1.0</v>
      </c>
      <c r="J438" s="114">
        <v>2.0</v>
      </c>
      <c r="K438" s="119" t="s">
        <v>1861</v>
      </c>
      <c r="L438" s="114">
        <v>0.0</v>
      </c>
      <c r="M438" s="114">
        <v>1.0</v>
      </c>
      <c r="N438" s="120">
        <v>0.0</v>
      </c>
      <c r="O438" s="114">
        <v>0.0</v>
      </c>
      <c r="P438" s="114">
        <v>0.0</v>
      </c>
      <c r="Q438" s="114" t="s">
        <v>61</v>
      </c>
      <c r="R438" s="114" t="s">
        <v>214</v>
      </c>
      <c r="S438" s="114"/>
      <c r="T438" s="114">
        <v>0.0</v>
      </c>
      <c r="U438" s="114">
        <v>0.0</v>
      </c>
      <c r="V438" s="114">
        <v>0.0</v>
      </c>
      <c r="W438" s="122"/>
      <c r="X438" s="122"/>
      <c r="Y438" s="122"/>
    </row>
    <row r="439">
      <c r="A439" s="112">
        <v>1.0</v>
      </c>
      <c r="B439" s="113" t="s">
        <v>1862</v>
      </c>
      <c r="C439" s="114">
        <v>436.0</v>
      </c>
      <c r="D439" s="115">
        <v>4.0</v>
      </c>
      <c r="E439" s="116">
        <v>43811.0</v>
      </c>
      <c r="F439" s="117" t="str">
        <f>HYPERLINK("https://www.liputan6.com/lifestyle/read/4131931/mendobrak-stereotip-penyandang-disabilitas-bagian-1","sumber")</f>
        <v>sumber</v>
      </c>
      <c r="G439" s="117" t="str">
        <f t="shared" si="55"/>
        <v>lokasi</v>
      </c>
      <c r="H439" s="115">
        <v>611.0</v>
      </c>
      <c r="I439" s="136">
        <v>3.0</v>
      </c>
      <c r="J439" s="114">
        <v>2.0</v>
      </c>
      <c r="K439" s="119" t="s">
        <v>1863</v>
      </c>
      <c r="L439" s="114">
        <v>0.0</v>
      </c>
      <c r="M439" s="114">
        <v>0.0</v>
      </c>
      <c r="N439" s="120">
        <v>0.0</v>
      </c>
      <c r="O439" s="114">
        <v>0.0</v>
      </c>
      <c r="P439" s="114">
        <v>0.0</v>
      </c>
      <c r="Q439" s="114" t="s">
        <v>1864</v>
      </c>
      <c r="R439" s="114" t="s">
        <v>1058</v>
      </c>
      <c r="S439" s="114"/>
      <c r="T439" s="114">
        <v>0.0</v>
      </c>
      <c r="U439" s="114">
        <v>0.0</v>
      </c>
      <c r="V439" s="114">
        <v>1.0</v>
      </c>
      <c r="W439" s="122"/>
      <c r="X439" s="122"/>
      <c r="Y439" s="122"/>
    </row>
    <row r="440">
      <c r="A440" s="101">
        <v>1.0</v>
      </c>
      <c r="B440" s="96" t="s">
        <v>1865</v>
      </c>
      <c r="C440" s="33">
        <v>437.0</v>
      </c>
      <c r="D440" s="97">
        <v>7.0</v>
      </c>
      <c r="E440" s="98">
        <v>43819.0</v>
      </c>
      <c r="F440" s="35" t="str">
        <f>HYPERLINK("https://www.tribunnews.com/kesehatan/2019/12/20/katarak-dapat-menurunkan-produktivitas-penderita-mau-bikin-ini-itu-susah","sumber")</f>
        <v>sumber</v>
      </c>
      <c r="G440" s="35" t="str">
        <f t="shared" si="55"/>
        <v>lokasi</v>
      </c>
      <c r="H440" s="97">
        <v>689.0</v>
      </c>
      <c r="I440" s="134">
        <v>2.0</v>
      </c>
      <c r="J440" s="33">
        <v>2.0</v>
      </c>
      <c r="K440" s="102" t="s">
        <v>1866</v>
      </c>
      <c r="L440" s="33">
        <v>0.0</v>
      </c>
      <c r="M440" s="33">
        <v>0.0</v>
      </c>
      <c r="N440" s="37">
        <v>0.0</v>
      </c>
      <c r="O440" s="33">
        <v>0.0</v>
      </c>
      <c r="P440" s="33">
        <v>0.0</v>
      </c>
      <c r="Q440" s="33" t="s">
        <v>277</v>
      </c>
      <c r="R440" s="33" t="s">
        <v>1867</v>
      </c>
      <c r="S440" s="33"/>
      <c r="T440" s="33">
        <v>0.0</v>
      </c>
      <c r="U440" s="33">
        <v>0.0</v>
      </c>
      <c r="V440" s="33">
        <v>1.0</v>
      </c>
      <c r="W440" s="36"/>
      <c r="X440" s="36"/>
      <c r="Y440" s="36"/>
    </row>
    <row r="441">
      <c r="A441" s="105">
        <v>2.0</v>
      </c>
      <c r="B441" s="106" t="s">
        <v>1868</v>
      </c>
      <c r="C441" s="40">
        <v>438.0</v>
      </c>
      <c r="D441" s="107">
        <v>5.0</v>
      </c>
      <c r="E441" s="108">
        <v>43820.0</v>
      </c>
      <c r="F441" s="42" t="str">
        <f>HYPERLINK("https://tirto.id/sinopsis-kasam-21-desember-putusan-sidang-hak-asuh-natasya-ditunda-eoij","sumber")</f>
        <v>sumber</v>
      </c>
      <c r="G441" s="131" t="s">
        <v>33</v>
      </c>
      <c r="H441" s="107">
        <v>669.0</v>
      </c>
      <c r="I441" s="135"/>
      <c r="J441" s="40">
        <v>2.0</v>
      </c>
      <c r="K441" s="124"/>
      <c r="L441" s="40"/>
      <c r="M441" s="40"/>
      <c r="N441" s="40"/>
      <c r="O441" s="40"/>
      <c r="P441" s="40"/>
      <c r="Q441" s="40"/>
      <c r="R441" s="40"/>
      <c r="S441" s="40"/>
      <c r="T441" s="40"/>
      <c r="U441" s="40"/>
      <c r="V441" s="40"/>
      <c r="W441" s="41"/>
      <c r="X441" s="41"/>
      <c r="Y441" s="41"/>
    </row>
    <row r="442">
      <c r="A442" s="112">
        <v>1.0</v>
      </c>
      <c r="B442" s="113" t="s">
        <v>1869</v>
      </c>
      <c r="C442" s="114">
        <v>439.0</v>
      </c>
      <c r="D442" s="115">
        <v>3.0</v>
      </c>
      <c r="E442" s="116">
        <v>43821.0</v>
      </c>
      <c r="F442" s="117" t="str">
        <f>HYPERLINK("https://news.okezone.com/read/2019/12/22/65/2144837/tak-membeda-bedakan-untar-terbuka-untuk-mahasiswa-berkebutuhan-khusus","sumber")</f>
        <v>sumber</v>
      </c>
      <c r="G442" s="117" t="str">
        <f t="shared" ref="G442:G446" si="56">HYPERLINK("https://drive.google.com/open?id=15K5sriRJOw0JTPqD9yRZzl0fwZcfdV8X","lokasi")</f>
        <v>lokasi</v>
      </c>
      <c r="H442" s="115">
        <v>244.0</v>
      </c>
      <c r="I442" s="136">
        <v>2.0</v>
      </c>
      <c r="J442" s="114">
        <v>2.0</v>
      </c>
      <c r="K442" s="119" t="s">
        <v>1870</v>
      </c>
      <c r="L442" s="114">
        <v>0.0</v>
      </c>
      <c r="M442" s="114">
        <v>0.0</v>
      </c>
      <c r="N442" s="120">
        <v>0.0</v>
      </c>
      <c r="O442" s="114">
        <v>0.0</v>
      </c>
      <c r="P442" s="114">
        <v>0.0</v>
      </c>
      <c r="Q442" s="114">
        <v>0.0</v>
      </c>
      <c r="R442" s="114">
        <v>1.0</v>
      </c>
      <c r="S442" s="114"/>
      <c r="T442" s="114">
        <v>0.0</v>
      </c>
      <c r="U442" s="114">
        <v>0.0</v>
      </c>
      <c r="V442" s="114">
        <v>1.0</v>
      </c>
      <c r="W442" s="122"/>
      <c r="X442" s="122"/>
      <c r="Y442" s="122"/>
    </row>
    <row r="443">
      <c r="A443" s="101">
        <v>1.0</v>
      </c>
      <c r="B443" s="96" t="s">
        <v>1871</v>
      </c>
      <c r="C443" s="33">
        <v>440.0</v>
      </c>
      <c r="D443" s="97">
        <v>8.0</v>
      </c>
      <c r="E443" s="98">
        <v>43824.0</v>
      </c>
      <c r="F443" s="35" t="str">
        <f>HYPERLINK("https://www.suara.com/news/2019/12/25/103427/cerita-toleransi-muslim-gaza-bantu-bahagiakan-warga-kristen-saat-natal","sumber")</f>
        <v>sumber</v>
      </c>
      <c r="G443" s="35" t="str">
        <f t="shared" si="56"/>
        <v>lokasi</v>
      </c>
      <c r="H443" s="97">
        <v>343.0</v>
      </c>
      <c r="I443" s="134">
        <v>3.0</v>
      </c>
      <c r="J443" s="33">
        <v>2.0</v>
      </c>
      <c r="K443" s="102" t="s">
        <v>1872</v>
      </c>
      <c r="L443" s="33">
        <v>0.0</v>
      </c>
      <c r="M443" s="33">
        <v>0.0</v>
      </c>
      <c r="N443" s="37">
        <v>0.0</v>
      </c>
      <c r="O443" s="33">
        <v>0.0</v>
      </c>
      <c r="P443" s="33">
        <v>0.0</v>
      </c>
      <c r="Q443" s="33">
        <v>1.0</v>
      </c>
      <c r="R443" s="33">
        <v>1.0</v>
      </c>
      <c r="S443" s="33"/>
      <c r="T443" s="33">
        <v>0.0</v>
      </c>
      <c r="U443" s="33">
        <v>0.0</v>
      </c>
      <c r="V443" s="33">
        <v>1.0</v>
      </c>
      <c r="W443" s="36"/>
      <c r="X443" s="36"/>
      <c r="Y443" s="36"/>
    </row>
    <row r="444">
      <c r="A444" s="112">
        <v>1.0</v>
      </c>
      <c r="B444" s="113" t="s">
        <v>1873</v>
      </c>
      <c r="C444" s="114">
        <v>441.0</v>
      </c>
      <c r="D444" s="115">
        <v>4.0</v>
      </c>
      <c r="E444" s="116">
        <v>43819.0</v>
      </c>
      <c r="F444" s="117" t="str">
        <f>HYPERLINK("https://www.liputan6.com/bisnis/read/4138828/kemenhub-berikan-17-tiket-mudik-gratis-untuk-disabilitas-gunakan-pesawat","sumber")</f>
        <v>sumber</v>
      </c>
      <c r="G444" s="117" t="str">
        <f t="shared" si="56"/>
        <v>lokasi</v>
      </c>
      <c r="H444" s="115">
        <v>415.0</v>
      </c>
      <c r="I444" s="136">
        <v>3.0</v>
      </c>
      <c r="J444" s="114">
        <v>2.0</v>
      </c>
      <c r="K444" s="119" t="s">
        <v>1874</v>
      </c>
      <c r="L444" s="114">
        <v>0.0</v>
      </c>
      <c r="M444" s="114">
        <v>0.0</v>
      </c>
      <c r="N444" s="120">
        <v>0.0</v>
      </c>
      <c r="O444" s="114">
        <v>0.0</v>
      </c>
      <c r="P444" s="114">
        <v>0.0</v>
      </c>
      <c r="Q444" s="114" t="s">
        <v>61</v>
      </c>
      <c r="R444" s="114" t="s">
        <v>100</v>
      </c>
      <c r="S444" s="114"/>
      <c r="T444" s="114">
        <v>0.0</v>
      </c>
      <c r="U444" s="114">
        <v>0.0</v>
      </c>
      <c r="V444" s="114">
        <v>1.0</v>
      </c>
      <c r="W444" s="122"/>
      <c r="X444" s="122"/>
      <c r="Y444" s="122"/>
    </row>
    <row r="445">
      <c r="A445" s="112">
        <v>1.0</v>
      </c>
      <c r="B445" s="113" t="s">
        <v>1875</v>
      </c>
      <c r="C445" s="114">
        <v>442.0</v>
      </c>
      <c r="D445" s="115">
        <v>6.0</v>
      </c>
      <c r="E445" s="116">
        <v>43814.0</v>
      </c>
      <c r="F445" s="117" t="str">
        <f>HYPERLINK("https://regional.kompas.com/read/2019/12/15/14121481/kisah-tunanetra-merawat-anak-dan-istri-gangguan-jiwa-berharap-belas-kasihan","sumber")</f>
        <v>sumber</v>
      </c>
      <c r="G445" s="117" t="str">
        <f t="shared" si="56"/>
        <v>lokasi</v>
      </c>
      <c r="H445" s="115">
        <v>180.0</v>
      </c>
      <c r="I445" s="136">
        <v>2.0</v>
      </c>
      <c r="J445" s="114">
        <v>2.0</v>
      </c>
      <c r="K445" s="119" t="s">
        <v>1876</v>
      </c>
      <c r="L445" s="114">
        <v>0.0</v>
      </c>
      <c r="M445" s="114">
        <v>0.0</v>
      </c>
      <c r="N445" s="120">
        <v>0.0</v>
      </c>
      <c r="O445" s="114">
        <v>0.0</v>
      </c>
      <c r="P445" s="114">
        <v>0.0</v>
      </c>
      <c r="Q445" s="114" t="s">
        <v>210</v>
      </c>
      <c r="R445" s="114" t="s">
        <v>214</v>
      </c>
      <c r="S445" s="114"/>
      <c r="T445" s="114">
        <v>0.0</v>
      </c>
      <c r="U445" s="114">
        <v>0.0</v>
      </c>
      <c r="V445" s="114">
        <v>1.0</v>
      </c>
      <c r="W445" s="122"/>
      <c r="X445" s="122"/>
      <c r="Y445" s="122"/>
    </row>
    <row r="446">
      <c r="A446" s="112">
        <v>1.0</v>
      </c>
      <c r="B446" s="125" t="s">
        <v>1877</v>
      </c>
      <c r="C446" s="114">
        <v>443.0</v>
      </c>
      <c r="D446" s="115">
        <v>9.0</v>
      </c>
      <c r="E446" s="116">
        <v>43821.0</v>
      </c>
      <c r="F446" s="117" t="str">
        <f>HYPERLINK("https://republika.co.id/berita/q2w2up8218000/tersangka-perusak-alquran-di-tasikmalaya-idap-gangguan-jiwa ","sumber")</f>
        <v>sumber</v>
      </c>
      <c r="G446" s="117" t="str">
        <f t="shared" si="56"/>
        <v>lokasi</v>
      </c>
      <c r="H446" s="115">
        <v>24.0</v>
      </c>
      <c r="I446" s="136">
        <v>1.0</v>
      </c>
      <c r="J446" s="114">
        <v>2.0</v>
      </c>
      <c r="K446" s="119" t="s">
        <v>1878</v>
      </c>
      <c r="L446" s="114">
        <v>0.0</v>
      </c>
      <c r="M446" s="114">
        <v>-1.0</v>
      </c>
      <c r="N446" s="120">
        <v>0.0</v>
      </c>
      <c r="O446" s="114">
        <v>0.0</v>
      </c>
      <c r="P446" s="114">
        <v>0.0</v>
      </c>
      <c r="Q446" s="114" t="s">
        <v>61</v>
      </c>
      <c r="R446" s="114" t="s">
        <v>61</v>
      </c>
      <c r="S446" s="114"/>
      <c r="T446" s="114">
        <v>0.0</v>
      </c>
      <c r="U446" s="114">
        <v>0.0</v>
      </c>
      <c r="V446" s="114">
        <v>0.0</v>
      </c>
      <c r="W446" s="122"/>
      <c r="X446" s="122"/>
      <c r="Y446" s="122"/>
    </row>
    <row r="447">
      <c r="A447" s="105">
        <v>2.0</v>
      </c>
      <c r="B447" s="106" t="s">
        <v>1879</v>
      </c>
      <c r="C447" s="40">
        <v>444.0</v>
      </c>
      <c r="D447" s="107">
        <v>2.0</v>
      </c>
      <c r="E447" s="108">
        <v>43829.0</v>
      </c>
      <c r="F447" s="42" t="str">
        <f>HYPERLINK("https://www.cnnindonesia.com/olahraga/20191230073234-178-460879/liverpool-dibantu-var-hingga-khabib-puji-ronaldo","sumber")</f>
        <v>sumber</v>
      </c>
      <c r="G447" s="131" t="s">
        <v>33</v>
      </c>
      <c r="H447" s="107">
        <v>310.0</v>
      </c>
      <c r="I447" s="135"/>
      <c r="J447" s="40">
        <v>2.0</v>
      </c>
      <c r="K447" s="124"/>
      <c r="L447" s="40"/>
      <c r="M447" s="40"/>
      <c r="N447" s="40"/>
      <c r="O447" s="40"/>
      <c r="P447" s="40"/>
      <c r="Q447" s="40"/>
      <c r="R447" s="40"/>
      <c r="S447" s="40"/>
      <c r="T447" s="40"/>
      <c r="U447" s="40"/>
      <c r="V447" s="40"/>
      <c r="W447" s="41"/>
      <c r="X447" s="41"/>
      <c r="Y447" s="41"/>
    </row>
    <row r="448">
      <c r="A448" s="101">
        <v>1.0</v>
      </c>
      <c r="B448" s="96" t="s">
        <v>1880</v>
      </c>
      <c r="C448" s="33">
        <v>445.0</v>
      </c>
      <c r="D448" s="97">
        <v>9.0</v>
      </c>
      <c r="E448" s="98">
        <v>43829.0</v>
      </c>
      <c r="F448" s="35" t="str">
        <f>HYPERLINK("https://republika.co.id/berita/q3aaie370/lrt-wajah-baru-transportasi-di-jakarta","sumber")</f>
        <v>sumber</v>
      </c>
      <c r="G448" s="35" t="str">
        <f t="shared" ref="G448:G453" si="57">HYPERLINK("https://drive.google.com/open?id=15K5sriRJOw0JTPqD9yRZzl0fwZcfdV8X","lokasi")</f>
        <v>lokasi</v>
      </c>
      <c r="H448" s="97">
        <v>717.0</v>
      </c>
      <c r="I448" s="134">
        <v>2.0</v>
      </c>
      <c r="J448" s="33">
        <v>3.0</v>
      </c>
      <c r="K448" s="102" t="s">
        <v>1881</v>
      </c>
      <c r="L448" s="33">
        <v>0.0</v>
      </c>
      <c r="M448" s="33">
        <v>0.0</v>
      </c>
      <c r="N448" s="37">
        <v>0.0</v>
      </c>
      <c r="O448" s="33">
        <v>0.0</v>
      </c>
      <c r="P448" s="33">
        <v>0.0</v>
      </c>
      <c r="Q448" s="33" t="s">
        <v>89</v>
      </c>
      <c r="R448" s="33" t="s">
        <v>89</v>
      </c>
      <c r="S448" s="33"/>
      <c r="T448" s="33">
        <v>0.0</v>
      </c>
      <c r="U448" s="33">
        <v>0.0</v>
      </c>
      <c r="V448" s="33">
        <v>1.0</v>
      </c>
      <c r="W448" s="36"/>
      <c r="X448" s="36"/>
      <c r="Y448" s="36"/>
    </row>
    <row r="449">
      <c r="A449" s="101">
        <v>1.0</v>
      </c>
      <c r="B449" s="96" t="s">
        <v>1882</v>
      </c>
      <c r="C449" s="33">
        <v>446.0</v>
      </c>
      <c r="D449" s="97">
        <v>10.0</v>
      </c>
      <c r="E449" s="98">
        <v>43829.0</v>
      </c>
      <c r="F449" s="35" t="str">
        <f>HYPERLINK("https://difabel.tempo.co/read/1289204/tips-guru-slb-ajarkan-siswa-jangan-pernah-bilang-salah","sumber")</f>
        <v>sumber</v>
      </c>
      <c r="G449" s="35" t="str">
        <f t="shared" si="57"/>
        <v>lokasi</v>
      </c>
      <c r="H449" s="97">
        <v>261.0</v>
      </c>
      <c r="I449" s="134">
        <v>2.0</v>
      </c>
      <c r="J449" s="33">
        <v>2.0</v>
      </c>
      <c r="K449" s="102" t="s">
        <v>1883</v>
      </c>
      <c r="L449" s="33">
        <v>0.0</v>
      </c>
      <c r="M449" s="33">
        <v>0.0</v>
      </c>
      <c r="N449" s="37">
        <v>0.0</v>
      </c>
      <c r="O449" s="33">
        <v>0.0</v>
      </c>
      <c r="P449" s="33">
        <v>0.0</v>
      </c>
      <c r="Q449" s="33">
        <v>1.0</v>
      </c>
      <c r="R449" s="33">
        <v>1.0</v>
      </c>
      <c r="S449" s="33"/>
      <c r="T449" s="33">
        <v>0.0</v>
      </c>
      <c r="U449" s="33">
        <v>0.0</v>
      </c>
      <c r="V449" s="33">
        <v>1.0</v>
      </c>
      <c r="W449" s="36"/>
      <c r="X449" s="36"/>
      <c r="Y449" s="36"/>
    </row>
    <row r="450">
      <c r="A450" s="101">
        <v>1.0</v>
      </c>
      <c r="B450" s="96" t="s">
        <v>1884</v>
      </c>
      <c r="C450" s="33">
        <v>447.0</v>
      </c>
      <c r="D450" s="97">
        <v>4.0</v>
      </c>
      <c r="E450" s="98">
        <v>43741.0</v>
      </c>
      <c r="F450" s="35" t="str">
        <f>HYPERLINK("https://www.liputan6.com/showbiz/read/4077715/sebelum-joaquin-phoenix-joker-diperankan-3-aktor-kaliber-oscar-ini","sumber")</f>
        <v>sumber</v>
      </c>
      <c r="G450" s="35" t="str">
        <f t="shared" si="57"/>
        <v>lokasi</v>
      </c>
      <c r="H450" s="97">
        <v>418.0</v>
      </c>
      <c r="I450" s="134">
        <v>2.0</v>
      </c>
      <c r="J450" s="33"/>
      <c r="K450" s="102"/>
      <c r="L450" s="33">
        <v>0.0</v>
      </c>
      <c r="M450" s="33">
        <v>0.0</v>
      </c>
      <c r="N450" s="37">
        <v>0.0</v>
      </c>
      <c r="O450" s="33">
        <v>0.0</v>
      </c>
      <c r="P450" s="33">
        <v>0.0</v>
      </c>
      <c r="Q450" s="33"/>
      <c r="R450" s="33"/>
      <c r="S450" s="33"/>
      <c r="T450" s="33">
        <v>0.0</v>
      </c>
      <c r="U450" s="33">
        <v>0.0</v>
      </c>
      <c r="V450" s="33">
        <v>1.0</v>
      </c>
      <c r="W450" s="36"/>
      <c r="X450" s="36"/>
      <c r="Y450" s="36"/>
    </row>
    <row r="451">
      <c r="A451" s="101">
        <v>1.0</v>
      </c>
      <c r="B451" s="96" t="s">
        <v>1885</v>
      </c>
      <c r="C451" s="33">
        <v>448.0</v>
      </c>
      <c r="D451" s="97">
        <v>8.0</v>
      </c>
      <c r="E451" s="98">
        <v>43741.0</v>
      </c>
      <c r="F451" s="35" t="str">
        <f>HYPERLINK("https://www.suara.com/entertainment/2019/10/03/060500/widi-mulia-terhibur-lihat-akting-suami-jadi-transgender","sumber")</f>
        <v>sumber</v>
      </c>
      <c r="G451" s="35" t="str">
        <f t="shared" si="57"/>
        <v>lokasi</v>
      </c>
      <c r="H451" s="97">
        <v>153.0</v>
      </c>
      <c r="I451" s="134">
        <v>2.0</v>
      </c>
      <c r="J451" s="33">
        <v>3.0</v>
      </c>
      <c r="K451" s="102" t="s">
        <v>1886</v>
      </c>
      <c r="L451" s="33">
        <v>0.0</v>
      </c>
      <c r="M451" s="33">
        <v>0.0</v>
      </c>
      <c r="N451" s="37">
        <v>0.0</v>
      </c>
      <c r="O451" s="33">
        <v>0.0</v>
      </c>
      <c r="P451" s="33">
        <v>0.0</v>
      </c>
      <c r="Q451" s="33">
        <v>0.0</v>
      </c>
      <c r="R451" s="33">
        <v>-1.0</v>
      </c>
      <c r="S451" s="33"/>
      <c r="T451" s="33">
        <v>0.0</v>
      </c>
      <c r="U451" s="33">
        <v>0.0</v>
      </c>
      <c r="V451" s="33">
        <v>1.0</v>
      </c>
      <c r="W451" s="36"/>
      <c r="X451" s="36"/>
      <c r="Y451" s="36"/>
    </row>
    <row r="452">
      <c r="A452" s="112">
        <v>1.0</v>
      </c>
      <c r="B452" s="113" t="s">
        <v>1887</v>
      </c>
      <c r="C452" s="114">
        <v>449.0</v>
      </c>
      <c r="D452" s="115">
        <v>7.0</v>
      </c>
      <c r="E452" s="116">
        <v>43741.0</v>
      </c>
      <c r="F452" s="117" t="str">
        <f>HYPERLINK("https://www.tribunnews.com/regional/2019/10/03/7-fakta-kasus-bocah-tewas-disiksa-pelaku-lgbt-kecurigaan-kronologi-ancaman-pelaku-hingga-bukti","sumber")</f>
        <v>sumber</v>
      </c>
      <c r="G452" s="117" t="str">
        <f t="shared" si="57"/>
        <v>lokasi</v>
      </c>
      <c r="H452" s="115">
        <v>170.0</v>
      </c>
      <c r="I452" s="136">
        <v>1.0</v>
      </c>
      <c r="J452" s="114">
        <v>3.0</v>
      </c>
      <c r="K452" s="119" t="s">
        <v>1888</v>
      </c>
      <c r="L452" s="114">
        <v>0.0</v>
      </c>
      <c r="M452" s="114">
        <v>1.0</v>
      </c>
      <c r="N452" s="120">
        <v>0.0</v>
      </c>
      <c r="O452" s="114">
        <v>0.0</v>
      </c>
      <c r="P452" s="114">
        <v>-1.0</v>
      </c>
      <c r="Q452" s="114" t="s">
        <v>53</v>
      </c>
      <c r="R452" s="114" t="s">
        <v>53</v>
      </c>
      <c r="S452" s="114"/>
      <c r="T452" s="114">
        <v>0.0</v>
      </c>
      <c r="U452" s="114">
        <v>-1.0</v>
      </c>
      <c r="V452" s="114">
        <v>1.0</v>
      </c>
      <c r="W452" s="122"/>
      <c r="X452" s="122"/>
      <c r="Y452" s="122"/>
    </row>
    <row r="453">
      <c r="A453" s="101">
        <v>1.0</v>
      </c>
      <c r="B453" s="96" t="s">
        <v>1889</v>
      </c>
      <c r="C453" s="33">
        <v>450.0</v>
      </c>
      <c r="D453" s="97">
        <v>8.0</v>
      </c>
      <c r="E453" s="98">
        <v>43742.0</v>
      </c>
      <c r="F453" s="35" t="str">
        <f>HYPERLINK("https://www.suara.com/lifestyle/2019/10/04/144458/tuntut-iphone-pemuda-rusia-ini-mengaku-dipaksa-jadi-suka-sesama-jenis","sumber")</f>
        <v>sumber</v>
      </c>
      <c r="G453" s="35" t="str">
        <f t="shared" si="57"/>
        <v>lokasi</v>
      </c>
      <c r="H453" s="97">
        <v>308.0</v>
      </c>
      <c r="I453" s="134">
        <v>1.0</v>
      </c>
      <c r="J453" s="33"/>
      <c r="K453" s="102" t="s">
        <v>1890</v>
      </c>
      <c r="L453" s="33">
        <v>0.0</v>
      </c>
      <c r="M453" s="50">
        <v>0.0</v>
      </c>
      <c r="N453" s="37">
        <v>0.0</v>
      </c>
      <c r="O453" s="33">
        <v>0.0</v>
      </c>
      <c r="P453" s="33">
        <v>0.0</v>
      </c>
      <c r="Q453" s="33">
        <v>0.0</v>
      </c>
      <c r="R453" s="33">
        <v>-1.0</v>
      </c>
      <c r="S453" s="33"/>
      <c r="T453" s="33">
        <v>0.0</v>
      </c>
      <c r="U453" s="33">
        <v>0.0</v>
      </c>
      <c r="V453" s="33">
        <v>1.0</v>
      </c>
      <c r="W453" s="36"/>
      <c r="X453" s="36"/>
      <c r="Y453" s="36"/>
    </row>
    <row r="454">
      <c r="A454" s="105">
        <v>2.0</v>
      </c>
      <c r="B454" s="106" t="s">
        <v>1891</v>
      </c>
      <c r="C454" s="40">
        <v>451.0</v>
      </c>
      <c r="D454" s="107">
        <v>1.0</v>
      </c>
      <c r="E454" s="108">
        <v>43745.0</v>
      </c>
      <c r="F454" s="42" t="str">
        <f>HYPERLINK("https://hot.detik.com/celeb/d-4736869/ashiaaap-victoria-beckham-tutup-channel-youtube","sumber")</f>
        <v>sumber</v>
      </c>
      <c r="G454" s="131" t="s">
        <v>33</v>
      </c>
      <c r="H454" s="107">
        <v>1641.0</v>
      </c>
      <c r="I454" s="135"/>
      <c r="J454" s="40">
        <v>3.0</v>
      </c>
      <c r="K454" s="124"/>
      <c r="L454" s="40"/>
      <c r="M454" s="40"/>
      <c r="N454" s="40"/>
      <c r="O454" s="40"/>
      <c r="P454" s="40"/>
      <c r="Q454" s="40"/>
      <c r="R454" s="40"/>
      <c r="S454" s="40"/>
      <c r="T454" s="40"/>
      <c r="U454" s="40"/>
      <c r="V454" s="40"/>
      <c r="W454" s="41"/>
      <c r="X454" s="41"/>
      <c r="Y454" s="41"/>
    </row>
    <row r="455">
      <c r="A455" s="101">
        <v>1.0</v>
      </c>
      <c r="B455" s="96" t="s">
        <v>1892</v>
      </c>
      <c r="C455" s="33">
        <v>452.0</v>
      </c>
      <c r="D455" s="97">
        <v>2.0</v>
      </c>
      <c r="E455" s="98">
        <v>43746.0</v>
      </c>
      <c r="F455" s="35" t="str">
        <f>HYPERLINK("https://www.cnnindonesia.com/teknologi/20191007082909-185-437330/orientasi-seks-berubah-pria-rusia-tuntut-apple-rp128-juta","sumber")</f>
        <v>sumber</v>
      </c>
      <c r="G455" s="35" t="str">
        <f t="shared" ref="G455:G457" si="58">HYPERLINK("https://drive.google.com/open?id=15K5sriRJOw0JTPqD9yRZzl0fwZcfdV8X","lokasi")</f>
        <v>lokasi</v>
      </c>
      <c r="H455" s="97">
        <v>284.0</v>
      </c>
      <c r="I455" s="134">
        <v>1.0</v>
      </c>
      <c r="J455" s="33">
        <v>3.0</v>
      </c>
      <c r="K455" s="102" t="s">
        <v>1893</v>
      </c>
      <c r="L455" s="33">
        <v>0.0</v>
      </c>
      <c r="M455" s="50">
        <v>0.0</v>
      </c>
      <c r="N455" s="37">
        <v>0.0</v>
      </c>
      <c r="O455" s="33">
        <v>0.0</v>
      </c>
      <c r="P455" s="33">
        <v>0.0</v>
      </c>
      <c r="Q455" s="33">
        <v>0.0</v>
      </c>
      <c r="R455" s="33">
        <v>-1.0</v>
      </c>
      <c r="S455" s="33"/>
      <c r="T455" s="33">
        <v>0.0</v>
      </c>
      <c r="U455" s="33">
        <v>0.0</v>
      </c>
      <c r="V455" s="33">
        <v>1.0</v>
      </c>
      <c r="W455" s="36"/>
      <c r="X455" s="36"/>
      <c r="Y455" s="36"/>
    </row>
    <row r="456">
      <c r="A456" s="101">
        <v>1.0</v>
      </c>
      <c r="B456" s="96" t="s">
        <v>1894</v>
      </c>
      <c r="C456" s="33">
        <v>453.0</v>
      </c>
      <c r="D456" s="97">
        <v>7.0</v>
      </c>
      <c r="E456" s="98">
        <v>43746.0</v>
      </c>
      <c r="F456" s="35" t="str">
        <f>HYPERLINK("https://www.tribunnews.com/regional/2019/10/08/jaringan-prostitusi-di-cipanas-ini-jajakan-psk-berkeliling-pakai-mobil-sasarannya-wna","sumber")</f>
        <v>sumber</v>
      </c>
      <c r="G456" s="35" t="str">
        <f t="shared" si="58"/>
        <v>lokasi</v>
      </c>
      <c r="H456" s="97">
        <v>272.0</v>
      </c>
      <c r="I456" s="134">
        <v>1.0</v>
      </c>
      <c r="J456" s="33">
        <v>3.0</v>
      </c>
      <c r="K456" s="102" t="s">
        <v>1895</v>
      </c>
      <c r="L456" s="33">
        <v>0.0</v>
      </c>
      <c r="M456" s="50">
        <v>0.0</v>
      </c>
      <c r="N456" s="37">
        <v>0.0</v>
      </c>
      <c r="O456" s="33">
        <v>0.0</v>
      </c>
      <c r="P456" s="33">
        <v>0.0</v>
      </c>
      <c r="Q456" s="33">
        <v>0.0</v>
      </c>
      <c r="R456" s="33">
        <v>1.0</v>
      </c>
      <c r="S456" s="33"/>
      <c r="T456" s="33">
        <v>0.0</v>
      </c>
      <c r="U456" s="33">
        <v>0.0</v>
      </c>
      <c r="V456" s="33">
        <v>1.0</v>
      </c>
      <c r="W456" s="36"/>
      <c r="X456" s="36"/>
      <c r="Y456" s="36"/>
    </row>
    <row r="457">
      <c r="A457" s="101">
        <v>1.0</v>
      </c>
      <c r="B457" s="96" t="s">
        <v>1896</v>
      </c>
      <c r="C457" s="33">
        <v>454.0</v>
      </c>
      <c r="D457" s="97">
        <v>1.0</v>
      </c>
      <c r="E457" s="98">
        <v>43747.0</v>
      </c>
      <c r="F457" s="35" t="str">
        <f>HYPERLINK("https://news.detik.com/berita-jawa-barat/d-4739071/bongkar-prostitusi-vila-bunga-cianjur-polisi-jawab-tantangan-warganet","sumber")</f>
        <v>sumber</v>
      </c>
      <c r="G457" s="35" t="str">
        <f t="shared" si="58"/>
        <v>lokasi</v>
      </c>
      <c r="H457" s="97">
        <v>351.0</v>
      </c>
      <c r="I457" s="134">
        <v>1.0</v>
      </c>
      <c r="J457" s="33">
        <v>3.0</v>
      </c>
      <c r="K457" s="102" t="s">
        <v>1895</v>
      </c>
      <c r="L457" s="33">
        <v>0.0</v>
      </c>
      <c r="M457" s="50">
        <v>0.0</v>
      </c>
      <c r="N457" s="37">
        <v>0.0</v>
      </c>
      <c r="O457" s="33">
        <v>0.0</v>
      </c>
      <c r="P457" s="33">
        <v>0.0</v>
      </c>
      <c r="Q457" s="33">
        <v>0.0</v>
      </c>
      <c r="R457" s="33">
        <v>1.0</v>
      </c>
      <c r="S457" s="33"/>
      <c r="T457" s="33">
        <v>0.0</v>
      </c>
      <c r="U457" s="33">
        <v>0.0</v>
      </c>
      <c r="V457" s="33">
        <v>1.0</v>
      </c>
      <c r="W457" s="36"/>
      <c r="X457" s="36"/>
      <c r="Y457" s="36"/>
    </row>
    <row r="458">
      <c r="A458" s="105">
        <v>2.0</v>
      </c>
      <c r="B458" s="106" t="s">
        <v>1897</v>
      </c>
      <c r="C458" s="40">
        <v>455.0</v>
      </c>
      <c r="D458" s="107">
        <v>6.0</v>
      </c>
      <c r="E458" s="108">
        <v>43747.0</v>
      </c>
      <c r="F458" s="42" t="str">
        <f>HYPERLINK("https://regional.kompas.com/read/2019/10/09/16470871/kisah-jumat-pemilik-350-gram-sabu-yang-ditangkap-hari-jumat","sumber")</f>
        <v>sumber</v>
      </c>
      <c r="G458" s="131" t="s">
        <v>33</v>
      </c>
      <c r="H458" s="107">
        <v>191.0</v>
      </c>
      <c r="I458" s="135"/>
      <c r="J458" s="40">
        <v>3.0</v>
      </c>
      <c r="K458" s="124"/>
      <c r="L458" s="40"/>
      <c r="M458" s="40"/>
      <c r="N458" s="40"/>
      <c r="O458" s="40"/>
      <c r="P458" s="40"/>
      <c r="Q458" s="40"/>
      <c r="R458" s="40"/>
      <c r="S458" s="40"/>
      <c r="T458" s="40"/>
      <c r="U458" s="40"/>
      <c r="V458" s="40"/>
      <c r="W458" s="41"/>
      <c r="X458" s="41"/>
      <c r="Y458" s="41"/>
    </row>
    <row r="459">
      <c r="A459" s="105">
        <v>2.0</v>
      </c>
      <c r="B459" s="106" t="s">
        <v>1898</v>
      </c>
      <c r="C459" s="40">
        <v>456.0</v>
      </c>
      <c r="D459" s="107">
        <v>2.0</v>
      </c>
      <c r="E459" s="108">
        <v>43788.0</v>
      </c>
      <c r="F459" s="42" t="str">
        <f>HYPERLINK("https://www.cnnindonesia.com/nasional/20191118224940-20-449503/kakek-di-binjai-tewas-usai-berhubungan-seks","sumber")</f>
        <v>sumber</v>
      </c>
      <c r="G459" s="131" t="s">
        <v>33</v>
      </c>
      <c r="H459" s="107">
        <v>205.0</v>
      </c>
      <c r="I459" s="135"/>
      <c r="J459" s="40">
        <v>3.0</v>
      </c>
      <c r="K459" s="124"/>
      <c r="L459" s="40"/>
      <c r="M459" s="40"/>
      <c r="N459" s="40"/>
      <c r="O459" s="40"/>
      <c r="P459" s="40"/>
      <c r="Q459" s="40"/>
      <c r="R459" s="40"/>
      <c r="S459" s="40"/>
      <c r="T459" s="40"/>
      <c r="U459" s="40"/>
      <c r="V459" s="40"/>
      <c r="W459" s="41"/>
      <c r="X459" s="41"/>
      <c r="Y459" s="41"/>
    </row>
    <row r="460">
      <c r="A460" s="101">
        <v>1.0</v>
      </c>
      <c r="B460" s="96" t="s">
        <v>1899</v>
      </c>
      <c r="C460" s="33">
        <v>457.0</v>
      </c>
      <c r="D460" s="97">
        <v>4.0</v>
      </c>
      <c r="E460" s="98">
        <v>43788.0</v>
      </c>
      <c r="F460" s="35" t="str">
        <f>HYPERLINK("https://www.liputan6.com/global/read/4113582/atlet-rugby-sebut-karhutla-di-australia-karma-dari-legalisasi-pernikahan-gay","sumber")</f>
        <v>sumber</v>
      </c>
      <c r="G460" s="35" t="str">
        <f>HYPERLINK("https://drive.google.com/open?id=15K5sriRJOw0JTPqD9yRZzl0fwZcfdV8X","lokasi")</f>
        <v>lokasi</v>
      </c>
      <c r="H460" s="97">
        <v>292.0</v>
      </c>
      <c r="I460" s="134">
        <v>2.0</v>
      </c>
      <c r="J460" s="33">
        <v>3.0</v>
      </c>
      <c r="K460" s="102" t="s">
        <v>1900</v>
      </c>
      <c r="L460" s="33">
        <v>0.0</v>
      </c>
      <c r="M460" s="33">
        <v>0.0</v>
      </c>
      <c r="N460" s="37">
        <v>0.0</v>
      </c>
      <c r="O460" s="33">
        <v>0.0</v>
      </c>
      <c r="P460" s="33">
        <v>0.0</v>
      </c>
      <c r="Q460" s="33" t="s">
        <v>53</v>
      </c>
      <c r="R460" s="33" t="s">
        <v>771</v>
      </c>
      <c r="S460" s="33"/>
      <c r="T460" s="33">
        <v>0.0</v>
      </c>
      <c r="U460" s="33">
        <v>0.0</v>
      </c>
      <c r="V460" s="33">
        <v>1.0</v>
      </c>
      <c r="W460" s="36"/>
      <c r="X460" s="36"/>
      <c r="Y460" s="36"/>
    </row>
    <row r="461">
      <c r="A461" s="105">
        <v>2.0</v>
      </c>
      <c r="B461" s="106" t="s">
        <v>1901</v>
      </c>
      <c r="C461" s="40">
        <v>458.0</v>
      </c>
      <c r="D461" s="107">
        <v>7.0</v>
      </c>
      <c r="E461" s="108">
        <v>43789.0</v>
      </c>
      <c r="F461" s="42" t="str">
        <f>HYPERLINK("https://www.tribunnews.com/seleb/2019/11/20/bibir-barbie-kumalasari-bengkak-setelah-disulam-irfan-sebaztian-kayak-banci-ditonjok-satpol-pp","sumber")</f>
        <v>sumber</v>
      </c>
      <c r="G461" s="131" t="s">
        <v>33</v>
      </c>
      <c r="H461" s="107">
        <v>53.0</v>
      </c>
      <c r="I461" s="135"/>
      <c r="J461" s="40">
        <v>3.0</v>
      </c>
      <c r="K461" s="124"/>
      <c r="L461" s="40"/>
      <c r="M461" s="40"/>
      <c r="N461" s="40"/>
      <c r="O461" s="40"/>
      <c r="P461" s="40"/>
      <c r="Q461" s="40"/>
      <c r="R461" s="40"/>
      <c r="S461" s="40"/>
      <c r="T461" s="40"/>
      <c r="U461" s="40"/>
      <c r="V461" s="40"/>
      <c r="W461" s="41"/>
      <c r="X461" s="41"/>
      <c r="Y461" s="41"/>
    </row>
    <row r="462">
      <c r="A462" s="101">
        <v>1.0</v>
      </c>
      <c r="B462" s="96" t="s">
        <v>1902</v>
      </c>
      <c r="C462" s="33">
        <v>459.0</v>
      </c>
      <c r="D462" s="97">
        <v>2.0</v>
      </c>
      <c r="E462" s="98">
        <v>43790.0</v>
      </c>
      <c r="F462" s="35" t="str">
        <f>HYPERLINK("https://www.cnnindonesia.com/internasional/20191120203252-113-450136/dua-gay-asal-saudi-ditahan-di-australia-usai-minta-suaka","sumber")</f>
        <v>sumber</v>
      </c>
      <c r="G462" s="35" t="str">
        <f>HYPERLINK("https://drive.google.com/open?id=15K5sriRJOw0JTPqD9yRZzl0fwZcfdV8X","lokasi")</f>
        <v>lokasi</v>
      </c>
      <c r="H462" s="97">
        <v>348.0</v>
      </c>
      <c r="I462" s="134">
        <v>1.0</v>
      </c>
      <c r="J462" s="33">
        <v>3.0</v>
      </c>
      <c r="K462" s="102" t="s">
        <v>1903</v>
      </c>
      <c r="L462" s="33">
        <v>0.0</v>
      </c>
      <c r="M462" s="33">
        <v>1.0</v>
      </c>
      <c r="N462" s="37">
        <v>0.0</v>
      </c>
      <c r="O462" s="33">
        <v>0.0</v>
      </c>
      <c r="P462" s="33">
        <v>0.0</v>
      </c>
      <c r="Q462" s="33" t="s">
        <v>1904</v>
      </c>
      <c r="R462" s="33" t="s">
        <v>100</v>
      </c>
      <c r="S462" s="33"/>
      <c r="T462" s="33">
        <v>0.0</v>
      </c>
      <c r="U462" s="33">
        <v>0.0</v>
      </c>
      <c r="V462" s="33">
        <v>1.0</v>
      </c>
      <c r="W462" s="36"/>
      <c r="X462" s="36"/>
      <c r="Y462" s="36"/>
    </row>
    <row r="463">
      <c r="A463" s="105">
        <v>2.0</v>
      </c>
      <c r="B463" s="106" t="s">
        <v>1905</v>
      </c>
      <c r="C463" s="40">
        <v>460.0</v>
      </c>
      <c r="D463" s="107">
        <v>4.0</v>
      </c>
      <c r="E463" s="108">
        <v>43791.0</v>
      </c>
      <c r="F463" s="42" t="str">
        <f>HYPERLINK("https://hot.liputan6.com/read/4117226/video-sikap-kejaksaan-agung-terkait-lgbt-lamar-cpns","sumber")</f>
        <v>sumber</v>
      </c>
      <c r="G463" s="131" t="s">
        <v>33</v>
      </c>
      <c r="H463" s="107">
        <v>20.0</v>
      </c>
      <c r="I463" s="135"/>
      <c r="J463" s="40">
        <v>3.0</v>
      </c>
      <c r="K463" s="124"/>
      <c r="L463" s="40"/>
      <c r="M463" s="40"/>
      <c r="N463" s="40"/>
      <c r="O463" s="40"/>
      <c r="P463" s="40"/>
      <c r="Q463" s="40"/>
      <c r="R463" s="40"/>
      <c r="S463" s="40"/>
      <c r="T463" s="40"/>
      <c r="U463" s="40"/>
      <c r="V463" s="40"/>
      <c r="W463" s="41"/>
      <c r="X463" s="41"/>
      <c r="Y463" s="41"/>
    </row>
    <row r="464">
      <c r="A464" s="101">
        <v>1.0</v>
      </c>
      <c r="B464" s="96" t="s">
        <v>1906</v>
      </c>
      <c r="C464" s="33">
        <v>461.0</v>
      </c>
      <c r="D464" s="97">
        <v>7.0</v>
      </c>
      <c r="E464" s="98">
        <v>43792.0</v>
      </c>
      <c r="F464" s="35" t="str">
        <f>HYPERLINK("https://www.tribunnews.com/seleb/2019/11/23/cpns-2019-6-kementerian-yang-akan-tutup-pendaftaran-pada-24-november-kominfo-hingga-kemenlu","sumber")</f>
        <v>sumber</v>
      </c>
      <c r="G464" s="35" t="str">
        <f>HYPERLINK("https://drive.google.com/open?id=15K5sriRJOw0JTPqD9yRZzl0fwZcfdV8X","lokasi")</f>
        <v>lokasi</v>
      </c>
      <c r="H464" s="97">
        <v>234.0</v>
      </c>
      <c r="I464" s="134">
        <v>4.0</v>
      </c>
      <c r="J464" s="33">
        <v>3.0</v>
      </c>
      <c r="K464" s="102" t="s">
        <v>1907</v>
      </c>
      <c r="L464" s="33">
        <v>0.0</v>
      </c>
      <c r="M464" s="33">
        <v>0.0</v>
      </c>
      <c r="N464" s="37">
        <v>0.0</v>
      </c>
      <c r="O464" s="33">
        <v>0.0</v>
      </c>
      <c r="P464" s="33">
        <v>0.0</v>
      </c>
      <c r="Q464" s="33">
        <v>0.0</v>
      </c>
      <c r="R464" s="33">
        <v>-1.0</v>
      </c>
      <c r="S464" s="33"/>
      <c r="T464" s="33">
        <v>0.0</v>
      </c>
      <c r="U464" s="33">
        <v>0.0</v>
      </c>
      <c r="V464" s="33">
        <v>1.0</v>
      </c>
      <c r="W464" s="36"/>
      <c r="X464" s="36"/>
      <c r="Y464" s="36"/>
    </row>
    <row r="465">
      <c r="A465" s="105">
        <v>2.0</v>
      </c>
      <c r="B465" s="106" t="s">
        <v>1908</v>
      </c>
      <c r="C465" s="40">
        <v>462.0</v>
      </c>
      <c r="D465" s="107">
        <v>1.0</v>
      </c>
      <c r="E465" s="108">
        <v>43795.0</v>
      </c>
      <c r="F465" s="42" t="str">
        <f>HYPERLINK("https://hot.detik.com/celeb/d-4798341/asyik-di-bali-paha-jennifer-dunn-bikin-salah-fokus","sumber")</f>
        <v>sumber</v>
      </c>
      <c r="G465" s="131" t="s">
        <v>33</v>
      </c>
      <c r="H465" s="107">
        <v>1741.0</v>
      </c>
      <c r="I465" s="135"/>
      <c r="J465" s="40">
        <v>3.0</v>
      </c>
      <c r="K465" s="124"/>
      <c r="L465" s="40"/>
      <c r="M465" s="40"/>
      <c r="N465" s="40"/>
      <c r="O465" s="40"/>
      <c r="P465" s="40"/>
      <c r="Q465" s="40"/>
      <c r="R465" s="40"/>
      <c r="S465" s="40"/>
      <c r="T465" s="40"/>
      <c r="U465" s="40"/>
      <c r="V465" s="40"/>
      <c r="W465" s="41"/>
      <c r="X465" s="41"/>
      <c r="Y465" s="41"/>
    </row>
    <row r="466">
      <c r="A466" s="101">
        <v>1.0</v>
      </c>
      <c r="B466" s="96" t="s">
        <v>1909</v>
      </c>
      <c r="C466" s="33">
        <v>463.0</v>
      </c>
      <c r="D466" s="97">
        <v>8.0</v>
      </c>
      <c r="E466" s="98">
        <v>43809.0</v>
      </c>
      <c r="F466" s="35" t="str">
        <f>HYPERLINK("https://www.suara.com/lifestyle/2019/12/10/073500/berani-blak-blakan-miss-universe-myanmar-2019-mengaku-penyuka-sesama-jenis","sumber")</f>
        <v>sumber</v>
      </c>
      <c r="G466" s="35" t="str">
        <f>HYPERLINK("https://drive.google.com/open?id=15K5sriRJOw0JTPqD9yRZzl0fwZcfdV8X","lokasi")</f>
        <v>lokasi</v>
      </c>
      <c r="H466" s="97">
        <v>248.0</v>
      </c>
      <c r="I466" s="134">
        <v>2.0</v>
      </c>
      <c r="J466" s="33">
        <v>3.0</v>
      </c>
      <c r="K466" s="102" t="s">
        <v>1910</v>
      </c>
      <c r="L466" s="33">
        <v>0.0</v>
      </c>
      <c r="M466" s="33">
        <v>0.0</v>
      </c>
      <c r="N466" s="37">
        <v>0.0</v>
      </c>
      <c r="O466" s="33">
        <v>0.0</v>
      </c>
      <c r="P466" s="33">
        <v>-1.0</v>
      </c>
      <c r="Q466" s="33">
        <v>2.0</v>
      </c>
      <c r="R466" s="33">
        <v>1.0</v>
      </c>
      <c r="S466" s="33" t="s">
        <v>1911</v>
      </c>
      <c r="T466" s="33">
        <v>1.0</v>
      </c>
      <c r="U466" s="33">
        <v>0.0</v>
      </c>
      <c r="V466" s="33">
        <v>0.0</v>
      </c>
      <c r="W466" s="36"/>
      <c r="X466" s="36"/>
      <c r="Y466" s="36"/>
    </row>
    <row r="467">
      <c r="A467" s="105">
        <v>2.0</v>
      </c>
      <c r="B467" s="106" t="s">
        <v>1912</v>
      </c>
      <c r="C467" s="40">
        <v>464.0</v>
      </c>
      <c r="D467" s="107">
        <v>2.0</v>
      </c>
      <c r="E467" s="108">
        <v>43814.0</v>
      </c>
      <c r="F467" s="42" t="str">
        <f>HYPERLINK("https://www.cnnindonesia.com/gaya-hidup/20191215124124-269-457119/memahami-brexit-dari-mata-empat-sahabat","sumber")</f>
        <v>sumber</v>
      </c>
      <c r="G467" s="131" t="s">
        <v>33</v>
      </c>
      <c r="H467" s="107">
        <v>844.0</v>
      </c>
      <c r="I467" s="135"/>
      <c r="J467" s="40">
        <v>3.0</v>
      </c>
      <c r="K467" s="124"/>
      <c r="L467" s="40"/>
      <c r="M467" s="40"/>
      <c r="N467" s="40"/>
      <c r="O467" s="40"/>
      <c r="P467" s="40"/>
      <c r="Q467" s="40"/>
      <c r="R467" s="40"/>
      <c r="S467" s="40"/>
      <c r="T467" s="40"/>
      <c r="U467" s="40"/>
      <c r="V467" s="40"/>
      <c r="W467" s="41"/>
      <c r="X467" s="41"/>
      <c r="Y467" s="41"/>
    </row>
    <row r="468">
      <c r="A468" s="101">
        <v>1.0</v>
      </c>
      <c r="B468" s="96" t="s">
        <v>1913</v>
      </c>
      <c r="C468" s="33">
        <v>465.0</v>
      </c>
      <c r="D468" s="97">
        <v>2.0</v>
      </c>
      <c r="E468" s="98">
        <v>43815.0</v>
      </c>
      <c r="F468" s="35" t="str">
        <f>HYPERLINK("https://www.cnnindonesia.com/hiburan/20191216151559-234-457406/lily-allen-hapus-twitter-usai-kaitkan-pm-inggris-dan-rasisme","sumber")</f>
        <v>sumber</v>
      </c>
      <c r="G468" s="35" t="str">
        <f t="shared" ref="G468:G471" si="59">HYPERLINK("https://drive.google.com/open?id=15K5sriRJOw0JTPqD9yRZzl0fwZcfdV8X","lokasi")</f>
        <v>lokasi</v>
      </c>
      <c r="H468" s="97">
        <v>318.0</v>
      </c>
      <c r="I468" s="134">
        <v>1.0</v>
      </c>
      <c r="J468" s="33">
        <v>3.0</v>
      </c>
      <c r="K468" s="102" t="s">
        <v>1914</v>
      </c>
      <c r="L468" s="33">
        <v>0.0</v>
      </c>
      <c r="M468" s="50">
        <v>0.0</v>
      </c>
      <c r="N468" s="37">
        <v>0.0</v>
      </c>
      <c r="O468" s="33">
        <v>0.0</v>
      </c>
      <c r="P468" s="33">
        <v>0.0</v>
      </c>
      <c r="Q468" s="33">
        <v>0.0</v>
      </c>
      <c r="R468" s="33">
        <v>0.0</v>
      </c>
      <c r="S468" s="33"/>
      <c r="T468" s="33">
        <v>0.0</v>
      </c>
      <c r="U468" s="33">
        <v>0.0</v>
      </c>
      <c r="V468" s="33">
        <v>1.0</v>
      </c>
      <c r="W468" s="36"/>
      <c r="X468" s="36"/>
      <c r="Y468" s="36"/>
    </row>
    <row r="469">
      <c r="A469" s="101">
        <v>1.0</v>
      </c>
      <c r="B469" s="96" t="s">
        <v>1915</v>
      </c>
      <c r="C469" s="33">
        <v>466.0</v>
      </c>
      <c r="D469" s="97">
        <v>5.0</v>
      </c>
      <c r="E469" s="98">
        <v>43817.0</v>
      </c>
      <c r="F469" s="35" t="str">
        <f>HYPERLINK("https://tirto.id/drama-love-with-flaws-ep-13-14-seo-yeon-bertemu-keluarga-min-hyuk-enGC","sumber")</f>
        <v>sumber</v>
      </c>
      <c r="G469" s="35" t="str">
        <f t="shared" si="59"/>
        <v>lokasi</v>
      </c>
      <c r="H469" s="97">
        <v>691.0</v>
      </c>
      <c r="I469" s="134">
        <v>2.0</v>
      </c>
      <c r="J469" s="33">
        <v>3.0</v>
      </c>
      <c r="K469" s="102"/>
      <c r="L469" s="33">
        <v>0.0</v>
      </c>
      <c r="M469" s="33">
        <v>0.0</v>
      </c>
      <c r="N469" s="37">
        <v>0.0</v>
      </c>
      <c r="O469" s="33">
        <v>0.0</v>
      </c>
      <c r="P469" s="33">
        <v>0.0</v>
      </c>
      <c r="Q469" s="33"/>
      <c r="R469" s="33"/>
      <c r="S469" s="33"/>
      <c r="T469" s="33">
        <v>0.0</v>
      </c>
      <c r="U469" s="33">
        <v>0.0</v>
      </c>
      <c r="V469" s="33">
        <v>1.0</v>
      </c>
      <c r="W469" s="36"/>
      <c r="X469" s="36"/>
      <c r="Y469" s="36"/>
    </row>
    <row r="470">
      <c r="A470" s="101">
        <v>1.0</v>
      </c>
      <c r="B470" s="96" t="s">
        <v>1916</v>
      </c>
      <c r="C470" s="33">
        <v>467.0</v>
      </c>
      <c r="D470" s="97">
        <v>7.0</v>
      </c>
      <c r="E470" s="98">
        <v>43817.0</v>
      </c>
      <c r="F470" s="35" t="str">
        <f>HYPERLINK("https://www.tribunnews.com/seleb/2019/12/18/kebohongan-lucinta-luna-dibongkar-gebby-vesta-terungkap-nama-asli-di-ktp-hingga-bayaran-endorse","sumber")</f>
        <v>sumber</v>
      </c>
      <c r="G470" s="35" t="str">
        <f t="shared" si="59"/>
        <v>lokasi</v>
      </c>
      <c r="H470" s="97">
        <v>114.0</v>
      </c>
      <c r="I470" s="134">
        <v>1.0</v>
      </c>
      <c r="J470" s="33">
        <v>3.0</v>
      </c>
      <c r="K470" s="102" t="s">
        <v>1917</v>
      </c>
      <c r="L470" s="33">
        <v>0.0</v>
      </c>
      <c r="M470" s="50">
        <v>0.0</v>
      </c>
      <c r="N470" s="37">
        <v>0.0</v>
      </c>
      <c r="O470" s="33">
        <v>0.0</v>
      </c>
      <c r="P470" s="33">
        <v>0.0</v>
      </c>
      <c r="Q470" s="33" t="s">
        <v>210</v>
      </c>
      <c r="R470" s="33" t="s">
        <v>685</v>
      </c>
      <c r="S470" s="33"/>
      <c r="T470" s="33">
        <v>0.0</v>
      </c>
      <c r="U470" s="33">
        <v>-1.0</v>
      </c>
      <c r="V470" s="33">
        <v>0.0</v>
      </c>
      <c r="W470" s="36"/>
      <c r="X470" s="36"/>
      <c r="Y470" s="36"/>
    </row>
    <row r="471">
      <c r="A471" s="101">
        <v>1.0</v>
      </c>
      <c r="B471" s="96" t="s">
        <v>1918</v>
      </c>
      <c r="C471" s="33">
        <v>468.0</v>
      </c>
      <c r="D471" s="97">
        <v>1.0</v>
      </c>
      <c r="E471" s="98">
        <v>43821.0</v>
      </c>
      <c r="F471" s="35" t="str">
        <f>HYPERLINK("https://inet.detik.com/cyberlife/d-4832087/orang-ini-mengaku-jelmaan-alien","sumber")</f>
        <v>sumber</v>
      </c>
      <c r="G471" s="35" t="str">
        <f t="shared" si="59"/>
        <v>lokasi</v>
      </c>
      <c r="H471" s="97">
        <v>313.0</v>
      </c>
      <c r="I471" s="134">
        <v>2.0</v>
      </c>
      <c r="J471" s="33">
        <v>3.0</v>
      </c>
      <c r="K471" s="102" t="s">
        <v>1919</v>
      </c>
      <c r="L471" s="33">
        <v>0.0</v>
      </c>
      <c r="M471" s="33">
        <v>0.0</v>
      </c>
      <c r="N471" s="37">
        <v>0.0</v>
      </c>
      <c r="O471" s="33">
        <v>0.0</v>
      </c>
      <c r="P471" s="33">
        <v>0.0</v>
      </c>
      <c r="Q471" s="33">
        <v>2.0</v>
      </c>
      <c r="R471" s="33">
        <v>0.0</v>
      </c>
      <c r="S471" s="33"/>
      <c r="T471" s="33">
        <v>0.0</v>
      </c>
      <c r="U471" s="33">
        <v>0.0</v>
      </c>
      <c r="V471" s="33">
        <v>1.0</v>
      </c>
      <c r="W471" s="36"/>
      <c r="X471" s="36"/>
      <c r="Y471" s="36"/>
    </row>
    <row r="472">
      <c r="A472" s="105">
        <v>2.0</v>
      </c>
      <c r="B472" s="106" t="s">
        <v>1920</v>
      </c>
      <c r="C472" s="40">
        <v>469.0</v>
      </c>
      <c r="D472" s="107">
        <v>1.0</v>
      </c>
      <c r="E472" s="108">
        <v>43827.0</v>
      </c>
      <c r="F472" s="42" t="str">
        <f>HYPERLINK("https://hot.detik.com/movie/d-4838673/selain-home-alone-2-donald-trump-juga-tampil-di-film-ini--sabet-piala","sumber")</f>
        <v>sumber</v>
      </c>
      <c r="G472" s="131" t="s">
        <v>33</v>
      </c>
      <c r="H472" s="107">
        <v>894.0</v>
      </c>
      <c r="I472" s="135"/>
      <c r="J472" s="40">
        <v>3.0</v>
      </c>
      <c r="K472" s="124"/>
      <c r="L472" s="40"/>
      <c r="M472" s="40"/>
      <c r="N472" s="40"/>
      <c r="O472" s="40"/>
      <c r="P472" s="40"/>
      <c r="Q472" s="40"/>
      <c r="R472" s="40"/>
      <c r="S472" s="40"/>
      <c r="T472" s="40"/>
      <c r="U472" s="40"/>
      <c r="V472" s="40"/>
      <c r="W472" s="41"/>
      <c r="X472" s="41"/>
      <c r="Y472" s="41"/>
    </row>
    <row r="473">
      <c r="A473" s="101">
        <v>1.0</v>
      </c>
      <c r="B473" s="96" t="s">
        <v>1921</v>
      </c>
      <c r="C473" s="33">
        <v>470.0</v>
      </c>
      <c r="D473" s="97">
        <v>3.0</v>
      </c>
      <c r="E473" s="98">
        <v>43827.0</v>
      </c>
      <c r="F473" s="35" t="str">
        <f>HYPERLINK("https://celebrity.okezone.com/read/2019/12/28/33/2146880/sebut-istri-jerinx-sid-transgender-seorang-netizen-pria-minta-maaf","sumber")</f>
        <v>sumber</v>
      </c>
      <c r="G473" s="35" t="str">
        <f t="shared" ref="G473:G479" si="60">HYPERLINK("https://drive.google.com/open?id=15K5sriRJOw0JTPqD9yRZzl0fwZcfdV8X","lokasi")</f>
        <v>lokasi</v>
      </c>
      <c r="H473" s="97">
        <v>260.0</v>
      </c>
      <c r="I473" s="134">
        <v>1.0</v>
      </c>
      <c r="J473" s="33">
        <v>3.0</v>
      </c>
      <c r="K473" s="102" t="s">
        <v>1922</v>
      </c>
      <c r="L473" s="33">
        <v>0.0</v>
      </c>
      <c r="M473" s="33">
        <v>1.0</v>
      </c>
      <c r="N473" s="37">
        <v>0.0</v>
      </c>
      <c r="O473" s="33">
        <v>0.0</v>
      </c>
      <c r="P473" s="33">
        <v>0.0</v>
      </c>
      <c r="Q473" s="33" t="s">
        <v>61</v>
      </c>
      <c r="R473" s="33" t="s">
        <v>62</v>
      </c>
      <c r="S473" s="33"/>
      <c r="T473" s="33">
        <v>0.0</v>
      </c>
      <c r="U473" s="33">
        <v>0.0</v>
      </c>
      <c r="V473" s="33">
        <v>0.0</v>
      </c>
      <c r="W473" s="36"/>
      <c r="X473" s="36"/>
      <c r="Y473" s="36"/>
    </row>
    <row r="474">
      <c r="A474" s="101">
        <v>1.0</v>
      </c>
      <c r="B474" s="96" t="s">
        <v>1923</v>
      </c>
      <c r="C474" s="33">
        <v>471.0</v>
      </c>
      <c r="D474" s="97">
        <v>7.0</v>
      </c>
      <c r="E474" s="98">
        <v>43827.0</v>
      </c>
      <c r="F474" s="35" t="str">
        <f>HYPERLINK("https://www.tribunnews.com/internasional/2019/12/28/kaleidoskop-2019-terpisah-30-tahun-lalu-wanita-ini-dapati-kenyataan-sang-anak-jadi-transgender","sumber")</f>
        <v>sumber</v>
      </c>
      <c r="G474" s="35" t="str">
        <f t="shared" si="60"/>
        <v>lokasi</v>
      </c>
      <c r="H474" s="97">
        <v>158.0</v>
      </c>
      <c r="I474" s="134">
        <v>2.0</v>
      </c>
      <c r="J474" s="33">
        <v>3.0</v>
      </c>
      <c r="K474" s="102" t="s">
        <v>1924</v>
      </c>
      <c r="L474" s="33">
        <v>0.0</v>
      </c>
      <c r="M474" s="33">
        <v>0.0</v>
      </c>
      <c r="N474" s="37">
        <v>0.0</v>
      </c>
      <c r="O474" s="33">
        <v>0.0</v>
      </c>
      <c r="P474" s="33">
        <v>-1.0</v>
      </c>
      <c r="Q474" s="33">
        <v>0.0</v>
      </c>
      <c r="R474" s="33">
        <v>0.0</v>
      </c>
      <c r="S474" s="33"/>
      <c r="T474" s="33">
        <v>0.0</v>
      </c>
      <c r="U474" s="33">
        <v>0.0</v>
      </c>
      <c r="V474" s="33">
        <v>1.0</v>
      </c>
      <c r="W474" s="36"/>
      <c r="X474" s="36"/>
      <c r="Y474" s="36"/>
    </row>
    <row r="475">
      <c r="A475" s="101">
        <v>1.0</v>
      </c>
      <c r="B475" s="96" t="s">
        <v>1925</v>
      </c>
      <c r="C475" s="33">
        <v>472.0</v>
      </c>
      <c r="D475" s="97">
        <v>4.0</v>
      </c>
      <c r="E475" s="98">
        <v>43828.0</v>
      </c>
      <c r="F475" s="35" t="str">
        <f>HYPERLINK("https://www.liputan6.com/showbiz/read/4143409/lucinta-luna-lakukan-oplas-habiskan-uang-miliaran","sumber")</f>
        <v>sumber</v>
      </c>
      <c r="G475" s="35" t="str">
        <f t="shared" si="60"/>
        <v>lokasi</v>
      </c>
      <c r="H475" s="97">
        <v>239.0</v>
      </c>
      <c r="I475" s="134">
        <v>2.0</v>
      </c>
      <c r="J475" s="33">
        <v>3.0</v>
      </c>
      <c r="K475" s="102" t="s">
        <v>1462</v>
      </c>
      <c r="L475" s="33">
        <v>0.0</v>
      </c>
      <c r="M475" s="33">
        <v>0.0</v>
      </c>
      <c r="N475" s="37">
        <v>0.0</v>
      </c>
      <c r="O475" s="33">
        <v>0.0</v>
      </c>
      <c r="P475" s="33">
        <v>0.0</v>
      </c>
      <c r="Q475" s="33">
        <v>0.0</v>
      </c>
      <c r="R475" s="33">
        <v>0.0</v>
      </c>
      <c r="S475" s="33"/>
      <c r="T475" s="33">
        <v>0.0</v>
      </c>
      <c r="U475" s="33">
        <v>-1.0</v>
      </c>
      <c r="V475" s="33">
        <v>0.0</v>
      </c>
      <c r="W475" s="36"/>
      <c r="X475" s="36"/>
      <c r="Y475" s="36"/>
    </row>
    <row r="476">
      <c r="A476" s="101">
        <v>1.0</v>
      </c>
      <c r="B476" s="96" t="s">
        <v>1926</v>
      </c>
      <c r="C476" s="33">
        <v>473.0</v>
      </c>
      <c r="D476" s="97">
        <v>2.0</v>
      </c>
      <c r="E476" s="98">
        <v>43744.0</v>
      </c>
      <c r="F476" s="35" t="str">
        <f>HYPERLINK("https://www.cnnindonesia.com/internasional/20191006130526-120-437185/masalah-rumah-tangga-perempuan-wni-di-kuwait-dibakar-suami","sumber")</f>
        <v>sumber</v>
      </c>
      <c r="G476" s="35" t="str">
        <f t="shared" si="60"/>
        <v>lokasi</v>
      </c>
      <c r="H476" s="97">
        <v>200.0</v>
      </c>
      <c r="I476" s="134">
        <v>1.0</v>
      </c>
      <c r="J476" s="33">
        <v>1.0</v>
      </c>
      <c r="K476" s="102"/>
      <c r="L476" s="33">
        <v>0.0</v>
      </c>
      <c r="M476" s="50">
        <v>0.0</v>
      </c>
      <c r="N476" s="37">
        <v>0.0</v>
      </c>
      <c r="O476" s="33">
        <v>0.0</v>
      </c>
      <c r="P476" s="33">
        <v>0.0</v>
      </c>
      <c r="Q476" s="33"/>
      <c r="R476" s="33"/>
      <c r="S476" s="33"/>
      <c r="T476" s="33">
        <v>0.0</v>
      </c>
      <c r="U476" s="33">
        <v>0.0</v>
      </c>
      <c r="V476" s="33">
        <v>1.0</v>
      </c>
      <c r="W476" s="36"/>
      <c r="X476" s="36"/>
      <c r="Y476" s="36"/>
    </row>
    <row r="477">
      <c r="A477" s="101">
        <v>1.0</v>
      </c>
      <c r="B477" s="96" t="s">
        <v>1927</v>
      </c>
      <c r="C477" s="33">
        <v>474.0</v>
      </c>
      <c r="D477" s="97">
        <v>6.0</v>
      </c>
      <c r="E477" s="98">
        <v>43744.0</v>
      </c>
      <c r="F477" s="35" t="str">
        <f>HYPERLINK("https://regional.kompas.com/read/2019/10/06/17543331/pria-ini-sudah-rencanakan-perkosa-istri-teman-sendiri","sumber")</f>
        <v>sumber</v>
      </c>
      <c r="G477" s="35" t="str">
        <f t="shared" si="60"/>
        <v>lokasi</v>
      </c>
      <c r="H477" s="97">
        <v>92.0</v>
      </c>
      <c r="I477" s="134">
        <v>1.0</v>
      </c>
      <c r="J477" s="33">
        <v>1.0</v>
      </c>
      <c r="K477" s="102" t="s">
        <v>1928</v>
      </c>
      <c r="L477" s="33">
        <v>0.0</v>
      </c>
      <c r="M477" s="50">
        <v>0.0</v>
      </c>
      <c r="N477" s="37">
        <v>0.0</v>
      </c>
      <c r="O477" s="33">
        <v>1.0</v>
      </c>
      <c r="P477" s="33">
        <v>0.0</v>
      </c>
      <c r="Q477" s="33">
        <v>0.0</v>
      </c>
      <c r="R477" s="33">
        <v>0.0</v>
      </c>
      <c r="S477" s="33" t="s">
        <v>1929</v>
      </c>
      <c r="T477" s="33">
        <v>1.0</v>
      </c>
      <c r="U477" s="33">
        <v>0.0</v>
      </c>
      <c r="V477" s="33">
        <v>1.0</v>
      </c>
      <c r="W477" s="36"/>
      <c r="X477" s="36"/>
      <c r="Y477" s="36"/>
    </row>
    <row r="478">
      <c r="A478" s="101">
        <v>1.0</v>
      </c>
      <c r="B478" s="96" t="s">
        <v>1930</v>
      </c>
      <c r="C478" s="33">
        <v>475.0</v>
      </c>
      <c r="D478" s="97">
        <v>6.0</v>
      </c>
      <c r="E478" s="98">
        <v>43746.0</v>
      </c>
      <c r="F478" s="35" t="str">
        <f>HYPERLINK("https://internasional.kompas.com/read/2019/10/08/20573781/temukan-rambut-di-sarapannya-pria-bangladesh-gunduli-kepala-istri","sumber")</f>
        <v>sumber</v>
      </c>
      <c r="G478" s="35" t="str">
        <f t="shared" si="60"/>
        <v>lokasi</v>
      </c>
      <c r="H478" s="97">
        <v>228.0</v>
      </c>
      <c r="I478" s="134">
        <v>1.0</v>
      </c>
      <c r="J478" s="33">
        <v>1.0</v>
      </c>
      <c r="K478" s="102" t="s">
        <v>1931</v>
      </c>
      <c r="L478" s="33">
        <v>0.0</v>
      </c>
      <c r="M478" s="50">
        <v>0.0</v>
      </c>
      <c r="N478" s="37">
        <v>0.0</v>
      </c>
      <c r="O478" s="33">
        <v>0.0</v>
      </c>
      <c r="P478" s="33">
        <v>0.0</v>
      </c>
      <c r="Q478" s="33">
        <v>0.0</v>
      </c>
      <c r="R478" s="33">
        <v>0.0</v>
      </c>
      <c r="S478" s="33"/>
      <c r="T478" s="33">
        <v>0.0</v>
      </c>
      <c r="U478" s="33">
        <v>0.0</v>
      </c>
      <c r="V478" s="33">
        <v>1.0</v>
      </c>
      <c r="W478" s="36"/>
      <c r="X478" s="36"/>
      <c r="Y478" s="36"/>
    </row>
    <row r="479">
      <c r="A479" s="101">
        <v>1.0</v>
      </c>
      <c r="B479" s="96" t="s">
        <v>1932</v>
      </c>
      <c r="C479" s="33">
        <v>476.0</v>
      </c>
      <c r="D479" s="97">
        <v>2.0</v>
      </c>
      <c r="E479" s="98">
        <v>43747.0</v>
      </c>
      <c r="F479" s="35" t="str">
        <f>HYPERLINK("https://www.cnnindonesia.com/nasional/20191008195442-20-437883/aksi-surabayamenggugat-akan-digelar-lagi-tuntut-perppu-kpk","sumber")</f>
        <v>sumber</v>
      </c>
      <c r="G479" s="35" t="str">
        <f t="shared" si="60"/>
        <v>lokasi</v>
      </c>
      <c r="H479" s="97">
        <v>494.0</v>
      </c>
      <c r="I479" s="134">
        <v>3.0</v>
      </c>
      <c r="J479" s="33">
        <v>1.0</v>
      </c>
      <c r="K479" s="102" t="s">
        <v>1933</v>
      </c>
      <c r="L479" s="33">
        <v>0.0</v>
      </c>
      <c r="M479" s="33">
        <v>0.0</v>
      </c>
      <c r="N479" s="37">
        <v>0.0</v>
      </c>
      <c r="O479" s="33">
        <v>0.0</v>
      </c>
      <c r="P479" s="33">
        <v>0.0</v>
      </c>
      <c r="Q479" s="33" t="s">
        <v>61</v>
      </c>
      <c r="R479" s="33" t="s">
        <v>192</v>
      </c>
      <c r="S479" s="33"/>
      <c r="T479" s="33">
        <v>0.0</v>
      </c>
      <c r="U479" s="33">
        <v>0.0</v>
      </c>
      <c r="V479" s="33">
        <v>1.0</v>
      </c>
      <c r="W479" s="36"/>
      <c r="X479" s="36"/>
      <c r="Y479" s="36"/>
    </row>
    <row r="480">
      <c r="A480" s="105">
        <v>2.0</v>
      </c>
      <c r="B480" s="106" t="s">
        <v>1934</v>
      </c>
      <c r="C480" s="40">
        <v>477.0</v>
      </c>
      <c r="D480" s="107">
        <v>6.0</v>
      </c>
      <c r="E480" s="108">
        <v>43747.0</v>
      </c>
      <c r="F480" s="42" t="str">
        <f>HYPERLINK("https://bola.kompas.com/read/2019/10/09/17000058/uang-jadi-penyebab-kondisi-conor-mcgregor-kian-terpuruk","sumber")</f>
        <v>sumber</v>
      </c>
      <c r="G480" s="131" t="s">
        <v>33</v>
      </c>
      <c r="H480" s="107">
        <v>223.0</v>
      </c>
      <c r="I480" s="135"/>
      <c r="J480" s="40">
        <v>1.0</v>
      </c>
      <c r="K480" s="124"/>
      <c r="L480" s="40"/>
      <c r="M480" s="40"/>
      <c r="N480" s="40"/>
      <c r="O480" s="40"/>
      <c r="P480" s="40"/>
      <c r="Q480" s="40"/>
      <c r="R480" s="40"/>
      <c r="S480" s="40"/>
      <c r="T480" s="40"/>
      <c r="U480" s="40"/>
      <c r="V480" s="40"/>
      <c r="W480" s="41"/>
      <c r="X480" s="41"/>
      <c r="Y480" s="41"/>
    </row>
    <row r="481">
      <c r="A481" s="101">
        <v>1.0</v>
      </c>
      <c r="B481" s="96" t="s">
        <v>1036</v>
      </c>
      <c r="C481" s="33">
        <v>478.0</v>
      </c>
      <c r="D481" s="97">
        <v>3.0</v>
      </c>
      <c r="E481" s="98">
        <v>43747.0</v>
      </c>
      <c r="F481" s="35" t="str">
        <f>HYPERLINK("https://news.okezone.com/read/2019/10/09/525/2114546/gadis-remaja-digilir-3-pria-paruh-baya-termasuk-pamannya-sendiri","sumber")</f>
        <v>sumber</v>
      </c>
      <c r="G481" s="35" t="str">
        <f>HYPERLINK("https://drive.google.com/open?id=15K5sriRJOw0JTPqD9yRZzl0fwZcfdV8X","lokasi")</f>
        <v>lokasi</v>
      </c>
      <c r="H481" s="97">
        <v>406.0</v>
      </c>
      <c r="I481" s="134">
        <v>1.0</v>
      </c>
      <c r="J481" s="33">
        <v>1.0</v>
      </c>
      <c r="K481" s="102" t="s">
        <v>1037</v>
      </c>
      <c r="L481" s="33">
        <v>0.0</v>
      </c>
      <c r="M481" s="50">
        <v>0.0</v>
      </c>
      <c r="N481" s="37">
        <v>0.0</v>
      </c>
      <c r="O481" s="33">
        <v>-1.0</v>
      </c>
      <c r="P481" s="33">
        <v>-1.0</v>
      </c>
      <c r="Q481" s="33">
        <v>0.0</v>
      </c>
      <c r="R481" s="33">
        <v>0.0</v>
      </c>
      <c r="S481" s="33" t="s">
        <v>1935</v>
      </c>
      <c r="T481" s="33">
        <v>5.0</v>
      </c>
      <c r="U481" s="33">
        <v>-1.0</v>
      </c>
      <c r="V481" s="33">
        <v>1.0</v>
      </c>
      <c r="W481" s="36"/>
      <c r="X481" s="36"/>
      <c r="Y481" s="36"/>
    </row>
    <row r="482">
      <c r="A482" s="105">
        <v>2.0</v>
      </c>
      <c r="B482" s="106" t="s">
        <v>1936</v>
      </c>
      <c r="C482" s="40">
        <v>479.0</v>
      </c>
      <c r="D482" s="107">
        <v>5.0</v>
      </c>
      <c r="E482" s="108">
        <v>43748.0</v>
      </c>
      <c r="F482" s="42" t="str">
        <f>HYPERLINK("https://tirto.id/10-oktober-adalah-hari-kesehatan-jiwa-dan-anti-hukuman-mati-sedunia-ejvr","sumber")</f>
        <v>sumber</v>
      </c>
      <c r="G482" s="131" t="s">
        <v>33</v>
      </c>
      <c r="H482" s="107">
        <v>660.0</v>
      </c>
      <c r="I482" s="135"/>
      <c r="J482" s="40">
        <v>1.0</v>
      </c>
      <c r="K482" s="124"/>
      <c r="L482" s="40"/>
      <c r="M482" s="40"/>
      <c r="N482" s="40"/>
      <c r="O482" s="40"/>
      <c r="P482" s="40"/>
      <c r="Q482" s="40"/>
      <c r="R482" s="40"/>
      <c r="S482" s="40"/>
      <c r="T482" s="40"/>
      <c r="U482" s="40"/>
      <c r="V482" s="40"/>
      <c r="W482" s="41"/>
      <c r="X482" s="41"/>
      <c r="Y482" s="41"/>
    </row>
    <row r="483">
      <c r="A483" s="101">
        <v>1.0</v>
      </c>
      <c r="B483" s="96" t="s">
        <v>1937</v>
      </c>
      <c r="C483" s="33">
        <v>480.0</v>
      </c>
      <c r="D483" s="97">
        <v>8.0</v>
      </c>
      <c r="E483" s="98">
        <v>43783.0</v>
      </c>
      <c r="F483" s="35" t="str">
        <f>HYPERLINK("https://jatim.suara.com/read/2019/11/14/113614/dari-hobi-mengintip-ayah-kandung-tiap-malam-cabuli-anak-gadisnya","sumber")</f>
        <v>sumber</v>
      </c>
      <c r="G483" s="35" t="str">
        <f t="shared" ref="G483:G490" si="61">HYPERLINK("https://drive.google.com/open?id=15K5sriRJOw0JTPqD9yRZzl0fwZcfdV8X","lokasi")</f>
        <v>lokasi</v>
      </c>
      <c r="H483" s="97">
        <v>315.0</v>
      </c>
      <c r="I483" s="134">
        <v>1.0</v>
      </c>
      <c r="J483" s="33">
        <v>1.0</v>
      </c>
      <c r="K483" s="102" t="s">
        <v>1938</v>
      </c>
      <c r="L483" s="33">
        <v>0.0</v>
      </c>
      <c r="M483" s="50">
        <v>0.0</v>
      </c>
      <c r="N483" s="33">
        <v>-1.0</v>
      </c>
      <c r="O483" s="33">
        <v>-1.0</v>
      </c>
      <c r="P483" s="33">
        <v>-1.0</v>
      </c>
      <c r="Q483" s="33">
        <v>0.0</v>
      </c>
      <c r="R483" s="33">
        <v>-1.0</v>
      </c>
      <c r="S483" s="33" t="s">
        <v>1939</v>
      </c>
      <c r="T483" s="33">
        <v>2.0</v>
      </c>
      <c r="U483" s="33">
        <v>0.0</v>
      </c>
      <c r="V483" s="33">
        <v>1.0</v>
      </c>
      <c r="W483" s="36"/>
      <c r="X483" s="36"/>
      <c r="Y483" s="36"/>
    </row>
    <row r="484">
      <c r="A484" s="101">
        <v>1.0</v>
      </c>
      <c r="B484" s="96" t="s">
        <v>1940</v>
      </c>
      <c r="C484" s="33">
        <v>481.0</v>
      </c>
      <c r="D484" s="97">
        <v>5.0</v>
      </c>
      <c r="E484" s="98">
        <v>43788.0</v>
      </c>
      <c r="F484" s="35" t="str">
        <f>HYPERLINK("https://tirto.id/sertifikasi-pernikahan-bukan-syarat-wajib-bagi-calon-pengantin-elX8","sumber")</f>
        <v>sumber</v>
      </c>
      <c r="G484" s="35" t="str">
        <f t="shared" si="61"/>
        <v>lokasi</v>
      </c>
      <c r="H484" s="97">
        <v>411.0</v>
      </c>
      <c r="I484" s="134">
        <v>4.0</v>
      </c>
      <c r="J484" s="33">
        <v>1.0</v>
      </c>
      <c r="K484" s="102" t="s">
        <v>1941</v>
      </c>
      <c r="L484" s="33">
        <v>0.0</v>
      </c>
      <c r="M484" s="33">
        <v>0.0</v>
      </c>
      <c r="N484" s="37">
        <v>0.0</v>
      </c>
      <c r="O484" s="33">
        <v>0.0</v>
      </c>
      <c r="P484" s="33">
        <v>0.0</v>
      </c>
      <c r="Q484" s="33" t="s">
        <v>1867</v>
      </c>
      <c r="R484" s="33" t="s">
        <v>1867</v>
      </c>
      <c r="S484" s="33"/>
      <c r="T484" s="33">
        <v>0.0</v>
      </c>
      <c r="U484" s="33">
        <v>0.0</v>
      </c>
      <c r="V484" s="33">
        <v>1.0</v>
      </c>
      <c r="W484" s="36"/>
      <c r="X484" s="36"/>
      <c r="Y484" s="36"/>
    </row>
    <row r="485">
      <c r="A485" s="101">
        <v>1.0</v>
      </c>
      <c r="B485" s="96" t="s">
        <v>1942</v>
      </c>
      <c r="C485" s="33">
        <v>482.0</v>
      </c>
      <c r="D485" s="97">
        <v>7.0</v>
      </c>
      <c r="E485" s="98">
        <v>43788.0</v>
      </c>
      <c r="F485" s="35" t="str">
        <f>HYPERLINK("https://www.tribunnews.com/lifestyle/2019/11/19/viral-pelemparan-sperma-di-tasikmalaya-ini-pandangan-pengamat","sumber")</f>
        <v>sumber</v>
      </c>
      <c r="G485" s="35" t="str">
        <f t="shared" si="61"/>
        <v>lokasi</v>
      </c>
      <c r="H485" s="97">
        <v>164.0</v>
      </c>
      <c r="I485" s="134">
        <v>1.0</v>
      </c>
      <c r="J485" s="33">
        <v>1.0</v>
      </c>
      <c r="K485" s="102" t="s">
        <v>1943</v>
      </c>
      <c r="L485" s="33">
        <v>0.0</v>
      </c>
      <c r="M485" s="50">
        <v>0.0</v>
      </c>
      <c r="N485" s="37">
        <v>0.0</v>
      </c>
      <c r="O485" s="33">
        <v>0.0</v>
      </c>
      <c r="P485" s="33">
        <v>-1.0</v>
      </c>
      <c r="Q485" s="33">
        <v>0.0</v>
      </c>
      <c r="R485" s="33">
        <v>1.0</v>
      </c>
      <c r="S485" s="33"/>
      <c r="T485" s="33">
        <v>0.0</v>
      </c>
      <c r="U485" s="33">
        <v>0.0</v>
      </c>
      <c r="V485" s="33">
        <v>1.0</v>
      </c>
      <c r="W485" s="36"/>
      <c r="X485" s="36"/>
      <c r="Y485" s="36"/>
    </row>
    <row r="486">
      <c r="A486" s="101">
        <v>1.0</v>
      </c>
      <c r="B486" s="96" t="s">
        <v>1944</v>
      </c>
      <c r="C486" s="33">
        <v>483.0</v>
      </c>
      <c r="D486" s="97">
        <v>6.0</v>
      </c>
      <c r="E486" s="98">
        <v>43789.0</v>
      </c>
      <c r="F486" s="35" t="str">
        <f>HYPERLINK("https://regional.kompas.com/read/2019/11/20/14184521/mengenal-sejarah-lokalisasi-prostitusi-tertua-di-kendal-yang-baru-ditutup","sumber")</f>
        <v>sumber</v>
      </c>
      <c r="G486" s="35" t="str">
        <f t="shared" si="61"/>
        <v>lokasi</v>
      </c>
      <c r="H486" s="97">
        <v>158.0</v>
      </c>
      <c r="I486" s="134">
        <v>2.0</v>
      </c>
      <c r="J486" s="33">
        <v>1.0</v>
      </c>
      <c r="K486" s="102" t="s">
        <v>1945</v>
      </c>
      <c r="L486" s="33">
        <v>0.0</v>
      </c>
      <c r="M486" s="33">
        <v>0.0</v>
      </c>
      <c r="N486" s="37">
        <v>0.0</v>
      </c>
      <c r="O486" s="33">
        <v>0.0</v>
      </c>
      <c r="P486" s="33">
        <v>0.0</v>
      </c>
      <c r="Q486" s="33" t="s">
        <v>61</v>
      </c>
      <c r="R486" s="33" t="s">
        <v>61</v>
      </c>
      <c r="S486" s="33"/>
      <c r="T486" s="33">
        <v>0.0</v>
      </c>
      <c r="U486" s="33">
        <v>0.0</v>
      </c>
      <c r="V486" s="33">
        <v>1.0</v>
      </c>
      <c r="W486" s="36"/>
      <c r="X486" s="36"/>
      <c r="Y486" s="36"/>
    </row>
    <row r="487">
      <c r="A487" s="112">
        <v>1.0</v>
      </c>
      <c r="B487" s="113" t="s">
        <v>1946</v>
      </c>
      <c r="C487" s="114">
        <v>484.0</v>
      </c>
      <c r="D487" s="115">
        <v>3.0</v>
      </c>
      <c r="E487" s="116">
        <v>43747.0</v>
      </c>
      <c r="F487" s="117" t="str">
        <f>HYPERLINK("https://nasional.okezone.com/read/2019/10/09/337/2114746/kekerasan-seksual-terus-melonjak-ruu-pks-harus-segera-disahkan","sumber")</f>
        <v>sumber</v>
      </c>
      <c r="G487" s="117" t="str">
        <f t="shared" si="61"/>
        <v>lokasi</v>
      </c>
      <c r="H487" s="115">
        <v>363.0</v>
      </c>
      <c r="I487" s="136">
        <v>4.0</v>
      </c>
      <c r="J487" s="114">
        <v>1.0</v>
      </c>
      <c r="K487" s="119" t="s">
        <v>1947</v>
      </c>
      <c r="L487" s="114">
        <v>0.0</v>
      </c>
      <c r="M487" s="114">
        <v>0.0</v>
      </c>
      <c r="N487" s="114">
        <v>0.0</v>
      </c>
      <c r="O487" s="114">
        <v>0.0</v>
      </c>
      <c r="P487" s="114">
        <v>0.0</v>
      </c>
      <c r="Q487" s="114" t="s">
        <v>53</v>
      </c>
      <c r="R487" s="114" t="s">
        <v>392</v>
      </c>
      <c r="S487" s="114"/>
      <c r="T487" s="114">
        <v>0.0</v>
      </c>
      <c r="U487" s="114">
        <v>0.0</v>
      </c>
      <c r="V487" s="114">
        <v>1.0</v>
      </c>
      <c r="W487" s="122"/>
      <c r="X487" s="122"/>
      <c r="Y487" s="122"/>
    </row>
    <row r="488">
      <c r="A488" s="101">
        <v>1.0</v>
      </c>
      <c r="B488" s="96" t="s">
        <v>1948</v>
      </c>
      <c r="C488" s="33">
        <v>485.0</v>
      </c>
      <c r="D488" s="97">
        <v>2.0</v>
      </c>
      <c r="E488" s="98">
        <v>43790.0</v>
      </c>
      <c r="F488" s="35" t="str">
        <f>HYPERLINK("https://www.cnnindonesia.com/internasional/20191121080001-134-450184/kasus-pemerkosaan-julian-assange-sampai-sistem-rudal-iran","sumber")</f>
        <v>sumber</v>
      </c>
      <c r="G488" s="35" t="str">
        <f t="shared" si="61"/>
        <v>lokasi</v>
      </c>
      <c r="H488" s="97">
        <v>491.0</v>
      </c>
      <c r="I488" s="134">
        <v>1.0</v>
      </c>
      <c r="J488" s="33">
        <v>1.0</v>
      </c>
      <c r="K488" s="102" t="s">
        <v>1949</v>
      </c>
      <c r="L488" s="33">
        <v>0.0</v>
      </c>
      <c r="M488" s="50">
        <v>0.0</v>
      </c>
      <c r="N488" s="33">
        <v>0.0</v>
      </c>
      <c r="O488" s="33">
        <v>0.0</v>
      </c>
      <c r="P488" s="33">
        <v>0.0</v>
      </c>
      <c r="Q488" s="33">
        <v>0.0</v>
      </c>
      <c r="R488" s="33">
        <v>-1.0</v>
      </c>
      <c r="S488" s="33"/>
      <c r="T488" s="33">
        <v>0.0</v>
      </c>
      <c r="U488" s="33">
        <v>0.0</v>
      </c>
      <c r="V488" s="33">
        <v>1.0</v>
      </c>
      <c r="W488" s="36"/>
      <c r="X488" s="36"/>
      <c r="Y488" s="36"/>
    </row>
    <row r="489">
      <c r="A489" s="101">
        <v>1.0</v>
      </c>
      <c r="B489" s="96" t="s">
        <v>1950</v>
      </c>
      <c r="C489" s="33">
        <v>486.0</v>
      </c>
      <c r="D489" s="97">
        <v>3.0</v>
      </c>
      <c r="E489" s="98">
        <v>43791.0</v>
      </c>
      <c r="F489" s="35" t="str">
        <f>HYPERLINK("https://news.okezone.com/read/2019/11/22/18/2133211/jerman-berencana-menggunakan-foto-pornografi-anak-palsu-untuk-menjerat-pedofil","sumber")</f>
        <v>sumber</v>
      </c>
      <c r="G489" s="35" t="str">
        <f t="shared" si="61"/>
        <v>lokasi</v>
      </c>
      <c r="H489" s="97">
        <v>347.0</v>
      </c>
      <c r="I489" s="134">
        <v>4.0</v>
      </c>
      <c r="J489" s="33">
        <v>1.0</v>
      </c>
      <c r="K489" s="102" t="s">
        <v>1951</v>
      </c>
      <c r="L489" s="33">
        <v>0.0</v>
      </c>
      <c r="M489" s="33">
        <v>0.0</v>
      </c>
      <c r="N489" s="33">
        <v>0.0</v>
      </c>
      <c r="O489" s="33">
        <v>0.0</v>
      </c>
      <c r="P489" s="33">
        <v>0.0</v>
      </c>
      <c r="Q489" s="33" t="s">
        <v>53</v>
      </c>
      <c r="R489" s="33" t="s">
        <v>1586</v>
      </c>
      <c r="S489" s="33"/>
      <c r="T489" s="33">
        <v>0.0</v>
      </c>
      <c r="U489" s="33">
        <v>0.0</v>
      </c>
      <c r="V489" s="33">
        <v>1.0</v>
      </c>
      <c r="W489" s="36"/>
      <c r="X489" s="36"/>
      <c r="Y489" s="36"/>
    </row>
    <row r="490">
      <c r="A490" s="101">
        <v>1.0</v>
      </c>
      <c r="B490" s="96" t="s">
        <v>1952</v>
      </c>
      <c r="C490" s="33">
        <v>487.0</v>
      </c>
      <c r="D490" s="97">
        <v>7.0</v>
      </c>
      <c r="E490" s="98">
        <v>43792.0</v>
      </c>
      <c r="F490" s="35" t="str">
        <f>HYPERLINK("https://www.tribunnews.com/internasional/2019/11/23/911-sempat-abaikan-perempuan-yang-pesan-pizza-akhirnya-selamatkan-ibu-yang-jadi-korban-kdrt","sumber")</f>
        <v>sumber</v>
      </c>
      <c r="G490" s="35" t="str">
        <f t="shared" si="61"/>
        <v>lokasi</v>
      </c>
      <c r="H490" s="97">
        <v>219.0</v>
      </c>
      <c r="I490" s="134">
        <v>1.0</v>
      </c>
      <c r="J490" s="33">
        <v>1.0</v>
      </c>
      <c r="K490" s="102" t="s">
        <v>1953</v>
      </c>
      <c r="L490" s="33">
        <v>0.0</v>
      </c>
      <c r="M490" s="50">
        <v>0.0</v>
      </c>
      <c r="N490" s="33">
        <v>0.0</v>
      </c>
      <c r="O490" s="33">
        <v>0.0</v>
      </c>
      <c r="P490" s="33">
        <v>0.0</v>
      </c>
      <c r="Q490" s="33" t="s">
        <v>61</v>
      </c>
      <c r="R490" s="33" t="s">
        <v>61</v>
      </c>
      <c r="S490" s="33"/>
      <c r="T490" s="33">
        <v>0.0</v>
      </c>
      <c r="U490" s="33">
        <v>0.0</v>
      </c>
      <c r="V490" s="33">
        <v>1.0</v>
      </c>
      <c r="W490" s="36"/>
      <c r="X490" s="36"/>
      <c r="Y490" s="36"/>
    </row>
    <row r="491">
      <c r="A491" s="105">
        <v>2.0</v>
      </c>
      <c r="B491" s="106" t="s">
        <v>1954</v>
      </c>
      <c r="C491" s="40">
        <v>488.0</v>
      </c>
      <c r="D491" s="107">
        <v>4.0</v>
      </c>
      <c r="E491" s="108">
        <v>43793.0</v>
      </c>
      <c r="F491" s="42" t="str">
        <f>HYPERLINK("https://www.liputan6.com/global/read/4118229/instagram-dituduh-hapus-sejumlah-akun-bintang-porno-diskriminatif-atau","sumber")</f>
        <v>sumber</v>
      </c>
      <c r="G491" s="131" t="s">
        <v>33</v>
      </c>
      <c r="H491" s="107">
        <v>1075.0</v>
      </c>
      <c r="I491" s="135"/>
      <c r="J491" s="40">
        <v>1.0</v>
      </c>
      <c r="K491" s="124"/>
      <c r="L491" s="40"/>
      <c r="M491" s="40"/>
      <c r="N491" s="40"/>
      <c r="O491" s="40"/>
      <c r="P491" s="40"/>
      <c r="Q491" s="40"/>
      <c r="R491" s="40"/>
      <c r="S491" s="40"/>
      <c r="T491" s="40"/>
      <c r="U491" s="40"/>
      <c r="V491" s="40"/>
      <c r="W491" s="41"/>
      <c r="X491" s="41"/>
      <c r="Y491" s="41"/>
    </row>
    <row r="492">
      <c r="A492" s="105">
        <v>2.0</v>
      </c>
      <c r="B492" s="106" t="s">
        <v>1955</v>
      </c>
      <c r="C492" s="40">
        <v>489.0</v>
      </c>
      <c r="D492" s="107">
        <v>9.0</v>
      </c>
      <c r="E492" s="108">
        <v>43793.0</v>
      </c>
      <c r="F492" s="42" t="str">
        <f>HYPERLINK("https://senggang.republika.co.id/berita/q1hdnc194978901219000/kisah-hidup-michael-jackson-akan-diangkat-ke-layar-lebar","sumber")</f>
        <v>sumber</v>
      </c>
      <c r="G492" s="131" t="s">
        <v>33</v>
      </c>
      <c r="H492" s="107">
        <v>272.0</v>
      </c>
      <c r="I492" s="135"/>
      <c r="J492" s="40">
        <v>1.0</v>
      </c>
      <c r="K492" s="124"/>
      <c r="L492" s="40"/>
      <c r="M492" s="40"/>
      <c r="N492" s="40"/>
      <c r="O492" s="40"/>
      <c r="P492" s="40"/>
      <c r="Q492" s="40"/>
      <c r="R492" s="40"/>
      <c r="S492" s="40"/>
      <c r="T492" s="40"/>
      <c r="U492" s="40"/>
      <c r="V492" s="40"/>
      <c r="W492" s="41"/>
      <c r="X492" s="41"/>
      <c r="Y492" s="41"/>
    </row>
    <row r="493">
      <c r="A493" s="101">
        <v>1.0</v>
      </c>
      <c r="B493" s="96" t="s">
        <v>1956</v>
      </c>
      <c r="C493" s="33">
        <v>490.0</v>
      </c>
      <c r="D493" s="97">
        <v>2.0</v>
      </c>
      <c r="E493" s="98">
        <v>43794.0</v>
      </c>
      <c r="F493" s="35" t="str">
        <f>HYPERLINK("https://www.cnnindonesia.com/hiburan/20191125124327-234-451191/polisi-korea-rilis-hasil-penyelidikan-awal-kematian-goo-hara","sumber")</f>
        <v>sumber</v>
      </c>
      <c r="G493" s="35" t="str">
        <f t="shared" ref="G493:G502" si="62">HYPERLINK("https://drive.google.com/open?id=15K5sriRJOw0JTPqD9yRZzl0fwZcfdV8X","lokasi")</f>
        <v>lokasi</v>
      </c>
      <c r="H493" s="97">
        <v>482.0</v>
      </c>
      <c r="I493" s="134">
        <v>1.0</v>
      </c>
      <c r="J493" s="33">
        <v>1.0</v>
      </c>
      <c r="K493" s="102" t="s">
        <v>1957</v>
      </c>
      <c r="L493" s="33">
        <v>0.0</v>
      </c>
      <c r="M493" s="50">
        <v>0.0</v>
      </c>
      <c r="N493" s="33">
        <v>0.0</v>
      </c>
      <c r="O493" s="33">
        <v>0.0</v>
      </c>
      <c r="P493" s="33">
        <v>0.0</v>
      </c>
      <c r="Q493" s="33" t="s">
        <v>119</v>
      </c>
      <c r="R493" s="33" t="s">
        <v>61</v>
      </c>
      <c r="S493" s="33"/>
      <c r="T493" s="33">
        <v>0.0</v>
      </c>
      <c r="U493" s="33">
        <v>0.0</v>
      </c>
      <c r="V493" s="33">
        <v>1.0</v>
      </c>
      <c r="W493" s="36"/>
      <c r="X493" s="36"/>
      <c r="Y493" s="36"/>
    </row>
    <row r="494">
      <c r="A494" s="101">
        <v>1.0</v>
      </c>
      <c r="B494" s="96" t="s">
        <v>1958</v>
      </c>
      <c r="C494" s="33">
        <v>491.0</v>
      </c>
      <c r="D494" s="97">
        <v>1.0</v>
      </c>
      <c r="E494" s="98">
        <v>43794.0</v>
      </c>
      <c r="F494" s="35" t="str">
        <f>HYPERLINK("https://news.detik.com/abc-australia/d-4797448/saya-lahir-dan-besar-di-sydney-wanita-hamil-berjilbab-dipukuli-lalu-diinjak","sumber")</f>
        <v>sumber</v>
      </c>
      <c r="G494" s="35" t="str">
        <f t="shared" si="62"/>
        <v>lokasi</v>
      </c>
      <c r="H494" s="97">
        <v>691.0</v>
      </c>
      <c r="I494" s="134">
        <v>1.0</v>
      </c>
      <c r="J494" s="33">
        <v>1.0</v>
      </c>
      <c r="K494" s="102" t="s">
        <v>1959</v>
      </c>
      <c r="L494" s="33">
        <v>0.0</v>
      </c>
      <c r="M494" s="33">
        <v>1.0</v>
      </c>
      <c r="N494" s="33">
        <v>0.0</v>
      </c>
      <c r="O494" s="33">
        <v>0.0</v>
      </c>
      <c r="P494" s="33">
        <v>0.0</v>
      </c>
      <c r="Q494" s="33" t="s">
        <v>1960</v>
      </c>
      <c r="R494" s="33" t="s">
        <v>1078</v>
      </c>
      <c r="S494" s="33"/>
      <c r="T494" s="33">
        <v>0.0</v>
      </c>
      <c r="U494" s="33">
        <v>0.0</v>
      </c>
      <c r="V494" s="33">
        <v>1.0</v>
      </c>
      <c r="W494" s="36"/>
      <c r="X494" s="36"/>
      <c r="Y494" s="36"/>
    </row>
    <row r="495">
      <c r="A495" s="101">
        <v>1.0</v>
      </c>
      <c r="B495" s="137" t="s">
        <v>1961</v>
      </c>
      <c r="C495" s="33">
        <v>492.0</v>
      </c>
      <c r="D495" s="97">
        <v>3.0</v>
      </c>
      <c r="E495" s="98">
        <v>43788.0</v>
      </c>
      <c r="F495" s="35" t="str">
        <f>HYPERLINK("https://index.okezone.com/read/2019/11/19/612/2131707/kisah-pilu-remaja-13-tahun-hamil-diperkosa-6-pria-endingnya-tragis ","sumber")</f>
        <v>sumber</v>
      </c>
      <c r="G495" s="35" t="str">
        <f t="shared" si="62"/>
        <v>lokasi</v>
      </c>
      <c r="H495" s="97">
        <v>259.0</v>
      </c>
      <c r="I495" s="134">
        <v>1.0</v>
      </c>
      <c r="J495" s="33">
        <v>1.0</v>
      </c>
      <c r="K495" s="102"/>
      <c r="L495" s="33">
        <v>0.0</v>
      </c>
      <c r="M495" s="33">
        <v>-1.0</v>
      </c>
      <c r="N495" s="33">
        <v>-1.0</v>
      </c>
      <c r="O495" s="33">
        <v>0.0</v>
      </c>
      <c r="P495" s="33">
        <v>-1.0</v>
      </c>
      <c r="Q495" s="33"/>
      <c r="R495" s="33"/>
      <c r="S495" s="33"/>
      <c r="T495" s="33">
        <v>0.0</v>
      </c>
      <c r="U495" s="33">
        <v>0.0</v>
      </c>
      <c r="V495" s="33">
        <v>0.0</v>
      </c>
      <c r="W495" s="36"/>
      <c r="X495" s="36"/>
      <c r="Y495" s="36"/>
    </row>
    <row r="496">
      <c r="A496" s="101">
        <v>1.0</v>
      </c>
      <c r="B496" s="96" t="s">
        <v>1962</v>
      </c>
      <c r="C496" s="33">
        <v>493.0</v>
      </c>
      <c r="D496" s="97">
        <v>2.0</v>
      </c>
      <c r="E496" s="98">
        <v>43812.0</v>
      </c>
      <c r="F496" s="35" t="str">
        <f>HYPERLINK("https://www.cnnindonesia.com/hiburan/20191212201935-234-456503/kasus-pelecehan-harvey-weinstein-sepakat-ganti-rugi-rp350-m","sumber")</f>
        <v>sumber</v>
      </c>
      <c r="G496" s="35" t="str">
        <f t="shared" si="62"/>
        <v>lokasi</v>
      </c>
      <c r="H496" s="97">
        <v>345.0</v>
      </c>
      <c r="I496" s="134">
        <v>1.0</v>
      </c>
      <c r="J496" s="33">
        <v>1.0</v>
      </c>
      <c r="K496" s="102"/>
      <c r="L496" s="33">
        <v>0.0</v>
      </c>
      <c r="M496" s="50">
        <v>0.0</v>
      </c>
      <c r="N496" s="33">
        <v>0.0</v>
      </c>
      <c r="O496" s="33">
        <v>0.0</v>
      </c>
      <c r="P496" s="33">
        <v>-1.0</v>
      </c>
      <c r="Q496" s="33"/>
      <c r="R496" s="33"/>
      <c r="S496" s="33"/>
      <c r="T496" s="33">
        <v>0.0</v>
      </c>
      <c r="U496" s="33">
        <v>0.0</v>
      </c>
      <c r="V496" s="33">
        <v>1.0</v>
      </c>
      <c r="W496" s="36"/>
      <c r="X496" s="36"/>
      <c r="Y496" s="36"/>
    </row>
    <row r="497">
      <c r="A497" s="101">
        <v>1.0</v>
      </c>
      <c r="B497" s="96" t="s">
        <v>1963</v>
      </c>
      <c r="C497" s="33">
        <v>494.0</v>
      </c>
      <c r="D497" s="97">
        <v>3.0</v>
      </c>
      <c r="E497" s="98">
        <v>43813.0</v>
      </c>
      <c r="F497" s="35" t="str">
        <f>HYPERLINK("https://news.okezone.com/read/2019/12/13/525/2141774/bermodus-belikan-mainan-pemuda-sodomi-11-anak-di-cirebon","sumber")</f>
        <v>sumber</v>
      </c>
      <c r="G497" s="35" t="str">
        <f t="shared" si="62"/>
        <v>lokasi</v>
      </c>
      <c r="H497" s="97">
        <v>287.0</v>
      </c>
      <c r="I497" s="134">
        <v>1.0</v>
      </c>
      <c r="J497" s="33">
        <v>1.0</v>
      </c>
      <c r="K497" s="102" t="s">
        <v>1964</v>
      </c>
      <c r="L497" s="33">
        <v>0.0</v>
      </c>
      <c r="M497" s="50">
        <v>0.0</v>
      </c>
      <c r="N497" s="33">
        <v>0.0</v>
      </c>
      <c r="O497" s="33">
        <v>1.0</v>
      </c>
      <c r="P497" s="33">
        <v>0.0</v>
      </c>
      <c r="Q497" s="33">
        <v>0.0</v>
      </c>
      <c r="R497" s="33">
        <v>0.0</v>
      </c>
      <c r="S497" s="33" t="s">
        <v>1965</v>
      </c>
      <c r="T497" s="33">
        <v>1.0</v>
      </c>
      <c r="U497" s="33">
        <v>-1.0</v>
      </c>
      <c r="V497" s="33">
        <v>1.0</v>
      </c>
      <c r="W497" s="36"/>
      <c r="X497" s="36"/>
      <c r="Y497" s="36"/>
    </row>
    <row r="498">
      <c r="A498" s="101">
        <v>1.0</v>
      </c>
      <c r="B498" s="96" t="s">
        <v>1966</v>
      </c>
      <c r="C498" s="33">
        <v>495.0</v>
      </c>
      <c r="D498" s="97">
        <v>10.0</v>
      </c>
      <c r="E498" s="98">
        <v>43819.0</v>
      </c>
      <c r="F498" s="35" t="str">
        <f>HYPERLINK("https://metro.tempo.co/read/1286122/pakai-doa-doa-habib-husein-alatas-hipnotis-korban-pencabulannya","sumber")</f>
        <v>sumber</v>
      </c>
      <c r="G498" s="35" t="str">
        <f t="shared" si="62"/>
        <v>lokasi</v>
      </c>
      <c r="H498" s="97">
        <v>204.0</v>
      </c>
      <c r="I498" s="134">
        <v>1.0</v>
      </c>
      <c r="J498" s="33">
        <v>1.0</v>
      </c>
      <c r="K498" s="102" t="s">
        <v>1967</v>
      </c>
      <c r="L498" s="33">
        <v>0.0</v>
      </c>
      <c r="M498" s="50">
        <v>0.0</v>
      </c>
      <c r="N498" s="33">
        <v>0.0</v>
      </c>
      <c r="O498" s="33">
        <v>1.0</v>
      </c>
      <c r="P498" s="33">
        <v>0.0</v>
      </c>
      <c r="Q498" s="33" t="s">
        <v>61</v>
      </c>
      <c r="R498" s="33" t="s">
        <v>61</v>
      </c>
      <c r="S498" s="33"/>
      <c r="T498" s="33">
        <v>0.0</v>
      </c>
      <c r="U498" s="33">
        <v>0.0</v>
      </c>
      <c r="V498" s="33">
        <v>1.0</v>
      </c>
      <c r="W498" s="36"/>
      <c r="X498" s="36"/>
      <c r="Y498" s="36"/>
    </row>
    <row r="499">
      <c r="A499" s="112">
        <v>1.0</v>
      </c>
      <c r="B499" s="113" t="s">
        <v>1968</v>
      </c>
      <c r="C499" s="114">
        <v>496.0</v>
      </c>
      <c r="D499" s="115">
        <v>4.0</v>
      </c>
      <c r="E499" s="116">
        <v>43792.0</v>
      </c>
      <c r="F499" s="117" t="str">
        <f>HYPERLINK("https://www.liputan6.com/global/read/4117586/mundur-dari-tugas-kerajaan-inggris-pangeran-andrew-pindah-dari-istana","sumber")</f>
        <v>sumber</v>
      </c>
      <c r="G499" s="117" t="str">
        <f t="shared" si="62"/>
        <v>lokasi</v>
      </c>
      <c r="H499" s="115">
        <v>553.0</v>
      </c>
      <c r="I499" s="138">
        <v>2.0</v>
      </c>
      <c r="J499" s="120">
        <v>1.0</v>
      </c>
      <c r="K499" s="139" t="s">
        <v>1969</v>
      </c>
      <c r="L499" s="120">
        <v>0.0</v>
      </c>
      <c r="M499" s="120">
        <v>0.0</v>
      </c>
      <c r="N499" s="114">
        <v>0.0</v>
      </c>
      <c r="O499" s="120">
        <v>0.0</v>
      </c>
      <c r="P499" s="120">
        <v>0.0</v>
      </c>
      <c r="Q499" s="120">
        <v>0.0</v>
      </c>
      <c r="R499" s="120">
        <v>0.0</v>
      </c>
      <c r="S499" s="120"/>
      <c r="T499" s="120">
        <v>0.0</v>
      </c>
      <c r="U499" s="120">
        <v>0.0</v>
      </c>
      <c r="V499" s="120">
        <v>1.0</v>
      </c>
      <c r="W499" s="122"/>
      <c r="X499" s="122"/>
      <c r="Y499" s="122"/>
    </row>
    <row r="500">
      <c r="A500" s="101">
        <v>1.0</v>
      </c>
      <c r="B500" s="96" t="s">
        <v>1970</v>
      </c>
      <c r="C500" s="33">
        <v>497.0</v>
      </c>
      <c r="D500" s="97">
        <v>4.0</v>
      </c>
      <c r="E500" s="98">
        <v>43821.0</v>
      </c>
      <c r="F500" s="35" t="str">
        <f>HYPERLINK("https://hot.liputan6.com/read/4139731/kisah-pilu-wanita-alami-kdrt-leher-dirantai-di-kamar-agar-tak-kabur","sumber")</f>
        <v>sumber</v>
      </c>
      <c r="G500" s="35" t="str">
        <f t="shared" si="62"/>
        <v>lokasi</v>
      </c>
      <c r="H500" s="97">
        <v>347.0</v>
      </c>
      <c r="I500" s="140">
        <v>1.0</v>
      </c>
      <c r="J500" s="37">
        <v>1.0</v>
      </c>
      <c r="K500" s="141"/>
      <c r="L500" s="37">
        <v>0.0</v>
      </c>
      <c r="M500" s="142">
        <v>0.0</v>
      </c>
      <c r="N500" s="33">
        <v>0.0</v>
      </c>
      <c r="O500" s="37">
        <v>0.0</v>
      </c>
      <c r="P500" s="37">
        <v>-1.0</v>
      </c>
      <c r="Q500" s="37"/>
      <c r="R500" s="37"/>
      <c r="S500" s="37"/>
      <c r="T500" s="37">
        <v>0.0</v>
      </c>
      <c r="U500" s="37">
        <v>0.0</v>
      </c>
      <c r="V500" s="37">
        <v>1.0</v>
      </c>
      <c r="W500" s="36"/>
      <c r="X500" s="36"/>
      <c r="Y500" s="36"/>
    </row>
    <row r="501">
      <c r="A501" s="101">
        <v>1.0</v>
      </c>
      <c r="B501" s="96" t="s">
        <v>1971</v>
      </c>
      <c r="C501" s="33">
        <v>498.0</v>
      </c>
      <c r="D501" s="97">
        <v>6.0</v>
      </c>
      <c r="E501" s="98">
        <v>43822.0</v>
      </c>
      <c r="F501" s="35" t="str">
        <f>HYPERLINK("https://www.kompas.com/tren/read/2019/12/23/112254665/erick-thohir-tegaskan-sanksi-pelecehan-perempuan-di-lingkungan-bumn-seperti","sumber")</f>
        <v>sumber</v>
      </c>
      <c r="G501" s="35" t="str">
        <f t="shared" si="62"/>
        <v>lokasi</v>
      </c>
      <c r="H501" s="97">
        <v>178.0</v>
      </c>
      <c r="I501" s="140">
        <v>4.0</v>
      </c>
      <c r="J501" s="37">
        <v>1.0</v>
      </c>
      <c r="K501" s="141" t="s">
        <v>1972</v>
      </c>
      <c r="L501" s="37">
        <v>0.0</v>
      </c>
      <c r="M501" s="37">
        <v>0.0</v>
      </c>
      <c r="N501" s="33">
        <v>0.0</v>
      </c>
      <c r="O501" s="37">
        <v>0.0</v>
      </c>
      <c r="P501" s="37">
        <v>0.0</v>
      </c>
      <c r="Q501" s="37">
        <v>0.0</v>
      </c>
      <c r="R501" s="37">
        <v>1.0</v>
      </c>
      <c r="S501" s="37"/>
      <c r="T501" s="37">
        <v>0.0</v>
      </c>
      <c r="U501" s="37">
        <v>0.0</v>
      </c>
      <c r="V501" s="37">
        <v>1.0</v>
      </c>
      <c r="W501" s="36"/>
      <c r="X501" s="36"/>
      <c r="Y501" s="36"/>
    </row>
    <row r="502">
      <c r="A502" s="101">
        <v>1.0</v>
      </c>
      <c r="B502" s="96" t="s">
        <v>1973</v>
      </c>
      <c r="C502" s="33">
        <v>499.0</v>
      </c>
      <c r="D502" s="97">
        <v>2.0</v>
      </c>
      <c r="E502" s="98">
        <v>43825.0</v>
      </c>
      <c r="F502" s="35" t="str">
        <f>HYPERLINK("https://www.cnnindonesia.com/nasional/20191225194733-20-459893/ketua-kwi-bantah-ada-pelecehan-seksual-di-gereja-katolik","sumber")</f>
        <v>sumber</v>
      </c>
      <c r="G502" s="35" t="str">
        <f t="shared" si="62"/>
        <v>lokasi</v>
      </c>
      <c r="H502" s="97">
        <v>635.0</v>
      </c>
      <c r="I502" s="134">
        <v>1.0</v>
      </c>
      <c r="J502" s="33">
        <v>1.0</v>
      </c>
      <c r="K502" s="102" t="s">
        <v>1974</v>
      </c>
      <c r="L502" s="33">
        <v>0.0</v>
      </c>
      <c r="M502" s="33">
        <v>-1.0</v>
      </c>
      <c r="N502" s="33">
        <v>0.0</v>
      </c>
      <c r="O502" s="33">
        <v>0.0</v>
      </c>
      <c r="P502" s="33">
        <v>0.0</v>
      </c>
      <c r="Q502" s="33" t="s">
        <v>61</v>
      </c>
      <c r="R502" s="33" t="s">
        <v>173</v>
      </c>
      <c r="S502" s="33"/>
      <c r="T502" s="33">
        <v>0.0</v>
      </c>
      <c r="U502" s="33">
        <v>0.0</v>
      </c>
      <c r="V502" s="33">
        <v>1.0</v>
      </c>
      <c r="W502" s="36"/>
      <c r="X502" s="36"/>
      <c r="Y502" s="36"/>
    </row>
    <row r="503">
      <c r="A503" s="105">
        <v>2.0</v>
      </c>
      <c r="B503" s="106" t="s">
        <v>1975</v>
      </c>
      <c r="C503" s="40">
        <v>500.0</v>
      </c>
      <c r="D503" s="107">
        <v>5.0</v>
      </c>
      <c r="E503" s="108">
        <v>43826.0</v>
      </c>
      <c r="F503" s="42" t="str">
        <f>HYPERLINK("https://tirto.id/jelang-nataru-polda-metro-jaya-tangkap-47-orang-terkait-narkoba-epiW","sumber")</f>
        <v>sumber</v>
      </c>
      <c r="G503" s="131" t="s">
        <v>33</v>
      </c>
      <c r="H503" s="107">
        <v>260.0</v>
      </c>
      <c r="I503" s="135"/>
      <c r="J503" s="40">
        <v>1.0</v>
      </c>
      <c r="K503" s="124"/>
      <c r="L503" s="40"/>
      <c r="M503" s="40"/>
      <c r="N503" s="40"/>
      <c r="O503" s="40"/>
      <c r="P503" s="40"/>
      <c r="Q503" s="40"/>
      <c r="R503" s="40"/>
      <c r="S503" s="40"/>
      <c r="T503" s="40"/>
      <c r="U503" s="40"/>
      <c r="V503" s="40"/>
      <c r="W503" s="41"/>
      <c r="X503" s="41"/>
      <c r="Y503" s="41"/>
    </row>
    <row r="504">
      <c r="A504" s="101">
        <v>1.0</v>
      </c>
      <c r="B504" s="96" t="s">
        <v>1976</v>
      </c>
      <c r="C504" s="33">
        <v>501.0</v>
      </c>
      <c r="D504" s="97">
        <v>8.0</v>
      </c>
      <c r="E504" s="98">
        <v>43829.0</v>
      </c>
      <c r="F504" s="35" t="str">
        <f>HYPERLINK("https://www.suara.com/news/2019/12/30/155213/hilangkan-jejak-alasan-m-iqbal-telanjangi-mayat-bela-di-kebun-jagung","sumber")</f>
        <v>sumber</v>
      </c>
      <c r="G504" s="35" t="str">
        <f t="shared" ref="G504:G506" si="63">HYPERLINK("https://drive.google.com/open?id=15K5sriRJOw0JTPqD9yRZzl0fwZcfdV8X","lokasi")</f>
        <v>lokasi</v>
      </c>
      <c r="H504" s="97">
        <v>253.0</v>
      </c>
      <c r="I504" s="134">
        <v>1.0</v>
      </c>
      <c r="J504" s="33">
        <v>1.0</v>
      </c>
      <c r="K504" s="102" t="s">
        <v>1977</v>
      </c>
      <c r="L504" s="33">
        <v>0.0</v>
      </c>
      <c r="M504" s="50">
        <v>0.0</v>
      </c>
      <c r="N504" s="33">
        <v>0.0</v>
      </c>
      <c r="O504" s="33">
        <v>0.0</v>
      </c>
      <c r="P504" s="33">
        <v>0.0</v>
      </c>
      <c r="Q504" s="33">
        <v>0.0</v>
      </c>
      <c r="R504" s="33">
        <v>0.0</v>
      </c>
      <c r="S504" s="33"/>
      <c r="T504" s="33">
        <v>0.0</v>
      </c>
      <c r="U504" s="33">
        <v>0.0</v>
      </c>
      <c r="V504" s="33">
        <v>1.0</v>
      </c>
      <c r="W504" s="36"/>
      <c r="X504" s="36"/>
      <c r="Y504" s="36"/>
    </row>
    <row r="505">
      <c r="A505" s="101">
        <v>1.0</v>
      </c>
      <c r="B505" s="96" t="s">
        <v>1978</v>
      </c>
      <c r="C505" s="33">
        <v>502.0</v>
      </c>
      <c r="D505" s="97">
        <v>4.0</v>
      </c>
      <c r="E505" s="98">
        <v>43830.0</v>
      </c>
      <c r="F505" s="35" t="str">
        <f>HYPERLINK("https://www.liputan6.com/global/read/4145033/unicef-2010-2019-jadi-dekade-mematikan-bagi-anak-daerah-konflik","sumber")</f>
        <v>sumber</v>
      </c>
      <c r="G505" s="35" t="str">
        <f t="shared" si="63"/>
        <v>lokasi</v>
      </c>
      <c r="H505" s="97">
        <v>341.0</v>
      </c>
      <c r="I505" s="134">
        <v>4.0</v>
      </c>
      <c r="J505" s="33">
        <v>1.0</v>
      </c>
      <c r="K505" s="102" t="s">
        <v>1979</v>
      </c>
      <c r="L505" s="33">
        <v>0.0</v>
      </c>
      <c r="M505" s="33">
        <v>0.0</v>
      </c>
      <c r="N505" s="33">
        <v>0.0</v>
      </c>
      <c r="O505" s="33">
        <v>0.0</v>
      </c>
      <c r="P505" s="33">
        <v>0.0</v>
      </c>
      <c r="Q505" s="33">
        <v>1.0</v>
      </c>
      <c r="R505" s="33">
        <v>1.0</v>
      </c>
      <c r="S505" s="33"/>
      <c r="T505" s="33">
        <v>0.0</v>
      </c>
      <c r="U505" s="33">
        <v>0.0</v>
      </c>
      <c r="V505" s="33">
        <v>1.0</v>
      </c>
      <c r="W505" s="36"/>
      <c r="X505" s="36"/>
      <c r="Y505" s="36"/>
    </row>
    <row r="506">
      <c r="A506" s="112">
        <v>1.0</v>
      </c>
      <c r="B506" s="113" t="s">
        <v>1980</v>
      </c>
      <c r="C506" s="114">
        <v>503.0</v>
      </c>
      <c r="D506" s="115">
        <v>10.0</v>
      </c>
      <c r="E506" s="116">
        <v>43823.0</v>
      </c>
      <c r="F506" s="117" t="str">
        <f>HYPERLINK("https://metro.tempo.co/read/1287214/pelaku-prostitusi-berkedok-kawin-kontrak-menyamar-pemandu-wisata","sumber")</f>
        <v>sumber</v>
      </c>
      <c r="G506" s="117" t="str">
        <f t="shared" si="63"/>
        <v>lokasi</v>
      </c>
      <c r="H506" s="115">
        <v>228.0</v>
      </c>
      <c r="I506" s="136">
        <v>1.0</v>
      </c>
      <c r="J506" s="114">
        <v>1.0</v>
      </c>
      <c r="K506" s="119" t="s">
        <v>1981</v>
      </c>
      <c r="L506" s="114">
        <v>0.0</v>
      </c>
      <c r="M506" s="50">
        <v>0.0</v>
      </c>
      <c r="N506" s="114">
        <v>0.0</v>
      </c>
      <c r="O506" s="114">
        <v>0.0</v>
      </c>
      <c r="P506" s="114">
        <v>0.0</v>
      </c>
      <c r="Q506" s="114">
        <v>0.0</v>
      </c>
      <c r="R506" s="114">
        <v>0.0</v>
      </c>
      <c r="S506" s="114"/>
      <c r="T506" s="114">
        <v>0.0</v>
      </c>
      <c r="U506" s="114">
        <v>0.0</v>
      </c>
      <c r="V506" s="114">
        <v>1.0</v>
      </c>
      <c r="W506" s="122"/>
      <c r="X506" s="122"/>
      <c r="Y506" s="122"/>
    </row>
  </sheetData>
  <customSheetViews>
    <customSheetView guid="{62CFFA2F-2CDE-4159-80E8-0067D9460027}" filter="1" showAutoFilter="1">
      <autoFilter ref="$P$4:$P$506"/>
    </customSheetView>
    <customSheetView guid="{17EFBF60-FA66-46DD-8C66-7DD74D543108}" filter="1" showAutoFilter="1">
      <autoFilter ref="$S$4:$S$506"/>
    </customSheetView>
    <customSheetView guid="{7A661D72-FC41-4646-AEAF-00CD193B6D95}" filter="1" showAutoFilter="1">
      <autoFilter ref="$A$4:$A$506"/>
    </customSheetView>
    <customSheetView guid="{0B48C2DC-E7D4-4DCC-ACB5-09BD4089ED05}" filter="1" showAutoFilter="1">
      <autoFilter ref="$N$4:$N$506">
        <filterColumn colId="0">
          <filters/>
        </filterColumn>
      </autoFilter>
    </customSheetView>
    <customSheetView guid="{66348944-9FC2-49D4-937A-1A6FEBFF4639}" filter="1" showAutoFilter="1">
      <autoFilter ref="$K$4:$K$506"/>
    </customSheetView>
    <customSheetView guid="{E3B16FF4-157A-41A8-880D-5DDB83361892}" filter="1" showAutoFilter="1">
      <autoFilter ref="$I$4:$I$506">
        <filterColumn colId="0">
          <filters blank="1">
            <filter val="2"/>
            <filter val="3"/>
            <filter val="4"/>
            <filter val="5"/>
          </filters>
        </filterColumn>
      </autoFilter>
    </customSheetView>
  </customSheetViews>
  <mergeCells count="23">
    <mergeCell ref="N2:P2"/>
    <mergeCell ref="Q2:Q3"/>
    <mergeCell ref="W1:Y1"/>
    <mergeCell ref="B2:B3"/>
    <mergeCell ref="C2:C3"/>
    <mergeCell ref="D2:D3"/>
    <mergeCell ref="E2:E3"/>
    <mergeCell ref="F2:F3"/>
    <mergeCell ref="G2:G3"/>
    <mergeCell ref="H2:H3"/>
    <mergeCell ref="I2:I3"/>
    <mergeCell ref="J2:J3"/>
    <mergeCell ref="K2:K3"/>
    <mergeCell ref="L2:L3"/>
    <mergeCell ref="M2:M3"/>
    <mergeCell ref="R2:R3"/>
    <mergeCell ref="S2:S3"/>
    <mergeCell ref="T2:T3"/>
    <mergeCell ref="U2:U3"/>
    <mergeCell ref="V2:V3"/>
    <mergeCell ref="W2:W3"/>
    <mergeCell ref="X2:X3"/>
    <mergeCell ref="Y2:Y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10.29"/>
    <col customWidth="1" min="2" max="2" width="20.71"/>
    <col customWidth="1" min="3" max="3" width="4.29"/>
    <col customWidth="1" min="4" max="4" width="7.43"/>
    <col customWidth="1" min="5" max="5" width="11.43"/>
    <col customWidth="1" min="6" max="6" width="7.43"/>
    <col customWidth="1" min="7" max="7" width="7.0"/>
    <col customWidth="1" min="8" max="10" width="11.29"/>
    <col customWidth="1" min="11" max="11" width="20.0"/>
    <col customWidth="1" min="12" max="13" width="10.71"/>
    <col customWidth="1" min="14" max="16" width="12.0"/>
    <col customWidth="1" min="17" max="18" width="13.43"/>
    <col customWidth="1" min="19" max="19" width="29.29"/>
    <col customWidth="1" min="20" max="20" width="8.29"/>
    <col customWidth="1" min="21" max="21" width="8.57"/>
    <col customWidth="1" min="22" max="22" width="10.71"/>
    <col customWidth="1" min="23" max="24" width="8.14"/>
    <col customWidth="1" min="25" max="26" width="9.86"/>
    <col customWidth="1" min="27" max="28" width="12.14"/>
  </cols>
  <sheetData>
    <row r="1">
      <c r="A1" s="143" t="s">
        <v>1982</v>
      </c>
      <c r="B1" s="1" t="s">
        <v>1</v>
      </c>
      <c r="C1" s="2" t="s">
        <v>2</v>
      </c>
      <c r="D1" s="3"/>
      <c r="E1" s="3"/>
      <c r="F1" s="3"/>
      <c r="G1" s="3"/>
      <c r="H1" s="3"/>
      <c r="I1" s="3"/>
      <c r="J1" s="3"/>
      <c r="K1" s="4"/>
      <c r="L1" s="5" t="s">
        <v>3</v>
      </c>
      <c r="M1" s="3"/>
      <c r="N1" s="3"/>
      <c r="O1" s="3"/>
      <c r="P1" s="4"/>
      <c r="Q1" s="6" t="s">
        <v>4</v>
      </c>
      <c r="R1" s="3"/>
      <c r="S1" s="3"/>
      <c r="T1" s="3"/>
      <c r="U1" s="4"/>
      <c r="V1" s="7" t="s">
        <v>5</v>
      </c>
      <c r="W1" s="144" t="s">
        <v>6</v>
      </c>
      <c r="X1" s="145"/>
      <c r="Y1" s="146"/>
      <c r="Z1" s="9"/>
      <c r="AA1" s="9"/>
      <c r="AB1" s="9"/>
      <c r="AC1" s="9"/>
      <c r="AD1" s="9"/>
      <c r="AE1" s="9"/>
      <c r="AF1" s="9"/>
    </row>
    <row r="2">
      <c r="B2" s="10"/>
      <c r="C2" s="11" t="s">
        <v>7</v>
      </c>
      <c r="D2" s="11" t="s">
        <v>8</v>
      </c>
      <c r="E2" s="11" t="s">
        <v>9</v>
      </c>
      <c r="F2" s="11" t="s">
        <v>10</v>
      </c>
      <c r="G2" s="11" t="s">
        <v>11</v>
      </c>
      <c r="H2" s="11" t="s">
        <v>12</v>
      </c>
      <c r="I2" s="11" t="s">
        <v>13</v>
      </c>
      <c r="J2" s="11" t="s">
        <v>14</v>
      </c>
      <c r="K2" s="11" t="s">
        <v>15</v>
      </c>
      <c r="L2" s="12" t="s">
        <v>16</v>
      </c>
      <c r="M2" s="12" t="s">
        <v>17</v>
      </c>
      <c r="N2" s="5" t="s">
        <v>18</v>
      </c>
      <c r="O2" s="3"/>
      <c r="P2" s="4"/>
      <c r="Q2" s="14" t="s">
        <v>19</v>
      </c>
      <c r="R2" s="14" t="s">
        <v>20</v>
      </c>
      <c r="S2" s="147" t="s">
        <v>21</v>
      </c>
      <c r="T2" s="148"/>
      <c r="U2" s="149" t="s">
        <v>22</v>
      </c>
      <c r="V2" s="16" t="s">
        <v>23</v>
      </c>
      <c r="W2" s="17" t="s">
        <v>24</v>
      </c>
      <c r="X2" s="17" t="s">
        <v>25</v>
      </c>
      <c r="Y2" s="150" t="s">
        <v>26</v>
      </c>
      <c r="Z2" s="9"/>
      <c r="AA2" s="9"/>
      <c r="AB2" s="9"/>
      <c r="AC2" s="9"/>
      <c r="AD2" s="9"/>
      <c r="AE2" s="9"/>
      <c r="AF2" s="9"/>
    </row>
    <row r="3" ht="9.75" customHeight="1">
      <c r="B3" s="10"/>
      <c r="C3" s="10"/>
      <c r="D3" s="10"/>
      <c r="E3" s="10"/>
      <c r="F3" s="10"/>
      <c r="G3" s="10"/>
      <c r="H3" s="10"/>
      <c r="I3" s="10"/>
      <c r="J3" s="10"/>
      <c r="K3" s="10"/>
      <c r="L3" s="10"/>
      <c r="M3" s="10"/>
      <c r="N3" s="12" t="s">
        <v>27</v>
      </c>
      <c r="O3" s="20" t="s">
        <v>28</v>
      </c>
      <c r="P3" s="12" t="s">
        <v>29</v>
      </c>
      <c r="Q3" s="10"/>
      <c r="R3" s="10"/>
      <c r="S3" s="149" t="s">
        <v>30</v>
      </c>
      <c r="T3" s="14" t="s">
        <v>31</v>
      </c>
      <c r="U3" s="10"/>
      <c r="V3" s="10"/>
      <c r="W3" s="10"/>
      <c r="X3" s="10"/>
      <c r="Y3" s="151"/>
      <c r="Z3" s="9"/>
      <c r="AA3" s="9"/>
      <c r="AB3" s="9"/>
      <c r="AC3" s="9"/>
      <c r="AD3" s="9"/>
      <c r="AE3" s="9"/>
      <c r="AF3" s="9"/>
    </row>
    <row r="4">
      <c r="B4" s="22"/>
      <c r="C4" s="22"/>
      <c r="D4" s="22"/>
      <c r="E4" s="22"/>
      <c r="F4" s="22"/>
      <c r="G4" s="22"/>
      <c r="H4" s="22"/>
      <c r="I4" s="22"/>
      <c r="J4" s="22"/>
      <c r="K4" s="22"/>
      <c r="L4" s="22"/>
      <c r="M4" s="22"/>
      <c r="N4" s="22"/>
      <c r="O4" s="22"/>
      <c r="P4" s="22"/>
      <c r="Q4" s="22"/>
      <c r="R4" s="22"/>
      <c r="S4" s="22"/>
      <c r="T4" s="22"/>
      <c r="U4" s="22"/>
      <c r="V4" s="22"/>
      <c r="W4" s="22"/>
      <c r="X4" s="22"/>
      <c r="Y4" s="151"/>
      <c r="Z4" s="9"/>
      <c r="AA4" s="9"/>
      <c r="AB4" s="9"/>
      <c r="AC4" s="9"/>
      <c r="AD4" s="9"/>
      <c r="AE4" s="9"/>
      <c r="AF4" s="9"/>
    </row>
    <row r="5">
      <c r="A5" s="152">
        <v>2.0</v>
      </c>
      <c r="B5" s="153" t="s">
        <v>1983</v>
      </c>
      <c r="C5" s="47">
        <v>1.0</v>
      </c>
      <c r="D5" s="154">
        <v>10.0</v>
      </c>
      <c r="E5" s="155">
        <v>43466.0</v>
      </c>
      <c r="F5" s="156" t="str">
        <f>HYPERLINK("https://kolom.tempo.co/read/1159973/mengakhiri-siklus-intoleransi ","sumber")</f>
        <v>sumber</v>
      </c>
      <c r="G5" s="156" t="str">
        <f t="shared" ref="G5:G391" si="1">HYPERLINK("https://drive.google.com/open?id=1--vaU45zB19vTrOrqC0hEG1ZIEB3x0KE","lokasi")</f>
        <v>lokasi</v>
      </c>
      <c r="H5" s="153">
        <v>469.0</v>
      </c>
      <c r="I5" s="47"/>
      <c r="J5" s="154">
        <v>4.0</v>
      </c>
      <c r="K5" s="157"/>
      <c r="L5" s="47"/>
      <c r="M5" s="47"/>
      <c r="N5" s="47"/>
      <c r="O5" s="47"/>
      <c r="P5" s="47"/>
      <c r="Q5" s="47"/>
      <c r="R5" s="47"/>
      <c r="S5" s="157"/>
      <c r="T5" s="47"/>
      <c r="U5" s="47"/>
      <c r="V5" s="47"/>
      <c r="W5" s="47"/>
      <c r="X5" s="48"/>
      <c r="Y5" s="47"/>
      <c r="Z5" s="43"/>
      <c r="AA5" s="43"/>
      <c r="AB5" s="51"/>
      <c r="AC5" s="51"/>
      <c r="AD5" s="51"/>
      <c r="AE5" s="51"/>
      <c r="AF5" s="51"/>
    </row>
    <row r="6">
      <c r="A6" s="158">
        <v>1.0</v>
      </c>
      <c r="B6" s="159" t="s">
        <v>1094</v>
      </c>
      <c r="C6" s="44">
        <v>2.0</v>
      </c>
      <c r="D6" s="160">
        <v>2.0</v>
      </c>
      <c r="E6" s="161">
        <v>43800.0</v>
      </c>
      <c r="F6" s="162" t="str">
        <f>HYPERLINK("https://www.cnnindonesia.com/nasional/20190112002154-32-360314/debat-capres-kontras-minta-calon-sampaikan-sikap-terkait-pki ","sumber")</f>
        <v>sumber</v>
      </c>
      <c r="G6" s="162" t="str">
        <f t="shared" si="1"/>
        <v>lokasi</v>
      </c>
      <c r="H6" s="159">
        <v>386.0</v>
      </c>
      <c r="I6" s="44">
        <v>4.0</v>
      </c>
      <c r="J6" s="163">
        <v>4.0</v>
      </c>
      <c r="K6" s="164" t="s">
        <v>1095</v>
      </c>
      <c r="L6" s="44">
        <v>0.0</v>
      </c>
      <c r="M6" s="44">
        <v>0.0</v>
      </c>
      <c r="N6" s="44">
        <v>0.0</v>
      </c>
      <c r="O6" s="44">
        <v>0.0</v>
      </c>
      <c r="P6" s="44">
        <v>-1.0</v>
      </c>
      <c r="Q6" s="44">
        <v>0.0</v>
      </c>
      <c r="R6" s="44">
        <v>1.0</v>
      </c>
      <c r="S6" s="164"/>
      <c r="T6" s="44">
        <v>0.0</v>
      </c>
      <c r="U6" s="44">
        <v>0.0</v>
      </c>
      <c r="V6" s="44">
        <v>1.0</v>
      </c>
      <c r="W6" s="45"/>
      <c r="X6" s="45"/>
      <c r="Y6" s="9"/>
      <c r="Z6" s="9"/>
      <c r="AA6" s="52"/>
      <c r="AB6" s="9"/>
      <c r="AC6" s="9"/>
      <c r="AD6" s="9"/>
      <c r="AE6" s="9"/>
      <c r="AF6" s="9"/>
    </row>
    <row r="7">
      <c r="A7" s="152">
        <v>2.0</v>
      </c>
      <c r="B7" s="153" t="s">
        <v>1984</v>
      </c>
      <c r="C7" s="47">
        <v>3.0</v>
      </c>
      <c r="D7" s="154">
        <v>10.0</v>
      </c>
      <c r="E7" s="154" t="s">
        <v>1985</v>
      </c>
      <c r="F7" s="156" t="str">
        <f>HYPERLINK("https://kolom.tempo.co/read/1167060/modal-cekak-debat-presiden ","sumber")</f>
        <v>sumber</v>
      </c>
      <c r="G7" s="156" t="str">
        <f t="shared" si="1"/>
        <v>lokasi</v>
      </c>
      <c r="H7" s="153">
        <v>619.0</v>
      </c>
      <c r="I7" s="47"/>
      <c r="J7" s="154">
        <v>4.0</v>
      </c>
      <c r="K7" s="157"/>
      <c r="L7" s="48"/>
      <c r="M7" s="48"/>
      <c r="N7" s="48"/>
      <c r="O7" s="48"/>
      <c r="P7" s="48"/>
      <c r="Q7" s="48"/>
      <c r="R7" s="48"/>
      <c r="S7" s="165"/>
      <c r="T7" s="48"/>
      <c r="U7" s="48"/>
      <c r="V7" s="48"/>
      <c r="W7" s="48"/>
      <c r="X7" s="48"/>
      <c r="Y7" s="47"/>
      <c r="Z7" s="43"/>
      <c r="AA7" s="51"/>
      <c r="AB7" s="51"/>
      <c r="AC7" s="51"/>
      <c r="AD7" s="51"/>
      <c r="AE7" s="51"/>
      <c r="AF7" s="51"/>
    </row>
    <row r="8">
      <c r="A8" s="158">
        <v>1.0</v>
      </c>
      <c r="B8" s="159" t="s">
        <v>1986</v>
      </c>
      <c r="C8" s="44">
        <v>4.0</v>
      </c>
      <c r="D8" s="160">
        <v>5.0</v>
      </c>
      <c r="E8" s="160" t="s">
        <v>87</v>
      </c>
      <c r="F8" s="162" t="str">
        <f>HYPERLINK("https://tirto.id/kala-kaum-urban-menjelajahi-dunia-kebatinan-de7R ","sumber")</f>
        <v>sumber</v>
      </c>
      <c r="G8" s="162" t="str">
        <f t="shared" si="1"/>
        <v>lokasi</v>
      </c>
      <c r="H8" s="159">
        <v>1333.0</v>
      </c>
      <c r="I8" s="44">
        <v>2.0</v>
      </c>
      <c r="J8" s="160">
        <v>4.0</v>
      </c>
      <c r="K8" s="164" t="s">
        <v>1987</v>
      </c>
      <c r="L8" s="44">
        <v>0.0</v>
      </c>
      <c r="M8" s="44">
        <v>0.0</v>
      </c>
      <c r="N8" s="166">
        <v>0.0</v>
      </c>
      <c r="O8" s="44">
        <v>0.0</v>
      </c>
      <c r="P8" s="44">
        <v>0.0</v>
      </c>
      <c r="Q8" s="44" t="s">
        <v>131</v>
      </c>
      <c r="R8" s="44" t="s">
        <v>392</v>
      </c>
      <c r="S8" s="164"/>
      <c r="T8" s="44">
        <v>0.0</v>
      </c>
      <c r="U8" s="44">
        <v>0.0</v>
      </c>
      <c r="V8" s="44">
        <v>1.0</v>
      </c>
      <c r="W8" s="45"/>
      <c r="X8" s="45"/>
      <c r="Y8" s="9"/>
      <c r="Z8" s="9"/>
      <c r="AA8" s="52"/>
      <c r="AB8" s="9"/>
      <c r="AC8" s="9"/>
      <c r="AD8" s="9"/>
      <c r="AE8" s="9"/>
      <c r="AF8" s="9"/>
    </row>
    <row r="9">
      <c r="A9" s="167">
        <v>1.0</v>
      </c>
      <c r="B9" s="168" t="s">
        <v>1988</v>
      </c>
      <c r="C9" s="55">
        <v>5.0</v>
      </c>
      <c r="D9" s="169">
        <v>6.0</v>
      </c>
      <c r="E9" s="170">
        <v>43739.0</v>
      </c>
      <c r="F9" s="171" t="str">
        <f>HYPERLINK(" https://nasional.kompas.com/read/2019/01/10/06114071/debat-capres-diharapkan-angkat-isu-perlindungan-hak-kelompok-minoritas","sumber")</f>
        <v>sumber</v>
      </c>
      <c r="G9" s="171" t="str">
        <f t="shared" si="1"/>
        <v>lokasi</v>
      </c>
      <c r="H9" s="168">
        <v>328.0</v>
      </c>
      <c r="I9" s="55">
        <v>4.0</v>
      </c>
      <c r="J9" s="169">
        <v>4.0</v>
      </c>
      <c r="K9" s="172" t="s">
        <v>1989</v>
      </c>
      <c r="L9" s="55">
        <v>0.0</v>
      </c>
      <c r="M9" s="55">
        <v>0.0</v>
      </c>
      <c r="N9" s="173">
        <v>0.0</v>
      </c>
      <c r="O9" s="55">
        <v>0.0</v>
      </c>
      <c r="P9" s="55">
        <v>0.0</v>
      </c>
      <c r="Q9" s="55">
        <v>0.0</v>
      </c>
      <c r="R9" s="55">
        <v>1.0</v>
      </c>
      <c r="S9" s="174"/>
      <c r="T9" s="55">
        <v>0.0</v>
      </c>
      <c r="U9" s="55">
        <v>0.0</v>
      </c>
      <c r="V9" s="55">
        <v>1.0</v>
      </c>
      <c r="W9" s="46"/>
      <c r="X9" s="46"/>
      <c r="Y9" s="55"/>
      <c r="Z9" s="30"/>
      <c r="AA9" s="30"/>
      <c r="AB9" s="31"/>
      <c r="AC9" s="31"/>
      <c r="AD9" s="31"/>
      <c r="AE9" s="31"/>
      <c r="AF9" s="31"/>
    </row>
    <row r="10">
      <c r="A10" s="167">
        <v>1.0</v>
      </c>
      <c r="B10" s="168" t="s">
        <v>1990</v>
      </c>
      <c r="C10" s="55">
        <v>6.0</v>
      </c>
      <c r="D10" s="169">
        <v>10.0</v>
      </c>
      <c r="E10" s="169" t="s">
        <v>354</v>
      </c>
      <c r="F10" s="171" t="str">
        <f>HYPERLINK(" https://nasional.tempo.co/read/1178219/pemerintah-bandung-terbitkan-ktp-pertama-untuk-penghayat","sumber")</f>
        <v>sumber</v>
      </c>
      <c r="G10" s="171" t="str">
        <f t="shared" si="1"/>
        <v>lokasi</v>
      </c>
      <c r="H10" s="168">
        <v>336.0</v>
      </c>
      <c r="I10" s="55">
        <v>4.0</v>
      </c>
      <c r="J10" s="169">
        <v>4.0</v>
      </c>
      <c r="K10" s="172" t="s">
        <v>1991</v>
      </c>
      <c r="L10" s="55">
        <v>0.0</v>
      </c>
      <c r="M10" s="55">
        <v>0.0</v>
      </c>
      <c r="N10" s="173">
        <v>0.0</v>
      </c>
      <c r="O10" s="55">
        <v>0.0</v>
      </c>
      <c r="P10" s="55">
        <v>0.0</v>
      </c>
      <c r="Q10" s="55" t="s">
        <v>100</v>
      </c>
      <c r="R10" s="55" t="s">
        <v>100</v>
      </c>
      <c r="S10" s="174"/>
      <c r="T10" s="55">
        <v>0.0</v>
      </c>
      <c r="U10" s="55">
        <v>0.0</v>
      </c>
      <c r="V10" s="55">
        <v>1.0</v>
      </c>
      <c r="W10" s="46"/>
      <c r="X10" s="46"/>
      <c r="Y10" s="55"/>
      <c r="Z10" s="30"/>
      <c r="AA10" s="30"/>
      <c r="AB10" s="31"/>
      <c r="AC10" s="31"/>
      <c r="AD10" s="31"/>
      <c r="AE10" s="31"/>
      <c r="AF10" s="31"/>
    </row>
    <row r="11">
      <c r="A11" s="152">
        <v>2.0</v>
      </c>
      <c r="B11" s="153" t="s">
        <v>1992</v>
      </c>
      <c r="C11" s="47">
        <v>7.0</v>
      </c>
      <c r="D11" s="154">
        <v>6.0</v>
      </c>
      <c r="E11" s="155">
        <v>43771.0</v>
      </c>
      <c r="F11" s="156" t="str">
        <f>HYPERLINK("https://ekonomi.kompas.com/read/2019/02/11/074100326/pembayaran-elektronik-paytren-gandeng-unsyiah- ","sumber")</f>
        <v>sumber</v>
      </c>
      <c r="G11" s="156" t="str">
        <f t="shared" si="1"/>
        <v>lokasi</v>
      </c>
      <c r="H11" s="153">
        <v>327.0</v>
      </c>
      <c r="I11" s="48"/>
      <c r="J11" s="154">
        <v>4.0</v>
      </c>
      <c r="K11" s="165"/>
      <c r="L11" s="48"/>
      <c r="M11" s="48"/>
      <c r="N11" s="48"/>
      <c r="O11" s="48"/>
      <c r="P11" s="48"/>
      <c r="Q11" s="48"/>
      <c r="R11" s="48"/>
      <c r="S11" s="165"/>
      <c r="T11" s="48"/>
      <c r="U11" s="48"/>
      <c r="V11" s="48"/>
      <c r="W11" s="48"/>
      <c r="X11" s="48"/>
      <c r="Y11" s="47"/>
      <c r="Z11" s="43"/>
      <c r="AA11" s="51"/>
      <c r="AB11" s="51"/>
      <c r="AC11" s="51"/>
      <c r="AD11" s="51"/>
      <c r="AE11" s="51"/>
      <c r="AF11" s="51"/>
    </row>
    <row r="12">
      <c r="A12" s="167">
        <v>1.0</v>
      </c>
      <c r="B12" s="168" t="s">
        <v>1993</v>
      </c>
      <c r="C12" s="55">
        <v>8.0</v>
      </c>
      <c r="D12" s="169">
        <v>3.0</v>
      </c>
      <c r="E12" s="169" t="s">
        <v>357</v>
      </c>
      <c r="F12" s="171" t="str">
        <f>HYPERLINK("https://news.okezone.com/read/2019/02/26/337/2023119/soal-kolom-penghayat-kepercayaan-di-e-ktp-jk-mereka-juga-orang-indonesia","sumber")</f>
        <v>sumber</v>
      </c>
      <c r="G12" s="171" t="str">
        <f t="shared" si="1"/>
        <v>lokasi</v>
      </c>
      <c r="H12" s="168">
        <v>373.0</v>
      </c>
      <c r="I12" s="55">
        <v>4.0</v>
      </c>
      <c r="J12" s="169">
        <v>4.0</v>
      </c>
      <c r="K12" s="172" t="s">
        <v>1994</v>
      </c>
      <c r="L12" s="55">
        <v>0.0</v>
      </c>
      <c r="M12" s="55">
        <v>0.0</v>
      </c>
      <c r="N12" s="55">
        <v>0.0</v>
      </c>
      <c r="O12" s="55">
        <v>0.0</v>
      </c>
      <c r="P12" s="55">
        <v>0.0</v>
      </c>
      <c r="Q12" s="55" t="s">
        <v>61</v>
      </c>
      <c r="R12" s="55" t="s">
        <v>192</v>
      </c>
      <c r="S12" s="174"/>
      <c r="T12" s="55">
        <v>0.0</v>
      </c>
      <c r="U12" s="55">
        <v>0.0</v>
      </c>
      <c r="V12" s="55">
        <v>1.0</v>
      </c>
      <c r="W12" s="46"/>
      <c r="X12" s="46"/>
      <c r="Y12" s="55"/>
      <c r="Z12" s="30"/>
      <c r="AA12" s="30"/>
      <c r="AB12" s="31"/>
      <c r="AC12" s="31"/>
      <c r="AD12" s="31"/>
      <c r="AE12" s="31"/>
      <c r="AF12" s="31"/>
    </row>
    <row r="13">
      <c r="A13" s="158">
        <v>1.0</v>
      </c>
      <c r="B13" s="159" t="s">
        <v>1995</v>
      </c>
      <c r="C13" s="44">
        <v>9.0</v>
      </c>
      <c r="D13" s="160">
        <v>2.0</v>
      </c>
      <c r="E13" s="160" t="s">
        <v>108</v>
      </c>
      <c r="F13" s="162" t="str">
        <f>HYPERLINK("https://www.cnnindonesia.com/internasional/20190213205418-113-369064/jemaah-ahmadiyah-bangladesh-diserang-saat-hendak-kenduri ","sumber")</f>
        <v>sumber</v>
      </c>
      <c r="G13" s="162" t="str">
        <f t="shared" si="1"/>
        <v>lokasi</v>
      </c>
      <c r="H13" s="159">
        <v>207.0</v>
      </c>
      <c r="I13" s="44">
        <v>1.0</v>
      </c>
      <c r="J13" s="160">
        <v>4.0</v>
      </c>
      <c r="K13" s="164" t="s">
        <v>1996</v>
      </c>
      <c r="L13" s="44">
        <v>0.0</v>
      </c>
      <c r="M13" s="44">
        <v>-1.0</v>
      </c>
      <c r="N13" s="166">
        <v>0.0</v>
      </c>
      <c r="O13" s="44">
        <v>0.0</v>
      </c>
      <c r="P13" s="44">
        <v>0.0</v>
      </c>
      <c r="Q13" s="44">
        <v>0.0</v>
      </c>
      <c r="R13" s="44">
        <v>0.0</v>
      </c>
      <c r="S13" s="175"/>
      <c r="T13" s="44">
        <v>0.0</v>
      </c>
      <c r="U13" s="44">
        <v>0.0</v>
      </c>
      <c r="V13" s="44">
        <v>0.0</v>
      </c>
      <c r="W13" s="45"/>
      <c r="X13" s="45"/>
      <c r="Y13" s="9"/>
      <c r="Z13" s="9"/>
      <c r="AA13" s="52"/>
      <c r="AB13" s="9"/>
      <c r="AC13" s="9"/>
      <c r="AD13" s="9"/>
      <c r="AE13" s="9"/>
      <c r="AF13" s="9"/>
    </row>
    <row r="14">
      <c r="A14" s="152">
        <v>2.0</v>
      </c>
      <c r="B14" s="153" t="s">
        <v>1997</v>
      </c>
      <c r="C14" s="47">
        <v>10.0</v>
      </c>
      <c r="D14" s="154">
        <v>7.0</v>
      </c>
      <c r="E14" s="154" t="s">
        <v>1998</v>
      </c>
      <c r="F14" s="156" t="str">
        <f>HYPERLINK("http://www.tribunnews.com/regional/2019/02/15/lima-santri-di-ingin-jaya-aceh-besar-terseret-ombak-3-orang-tewas ","sumber")</f>
        <v>sumber</v>
      </c>
      <c r="G14" s="156" t="str">
        <f t="shared" si="1"/>
        <v>lokasi</v>
      </c>
      <c r="H14" s="153">
        <v>214.0</v>
      </c>
      <c r="I14" s="48"/>
      <c r="J14" s="154">
        <v>4.0</v>
      </c>
      <c r="K14" s="165"/>
      <c r="L14" s="48"/>
      <c r="M14" s="48"/>
      <c r="N14" s="48"/>
      <c r="O14" s="48"/>
      <c r="P14" s="48"/>
      <c r="Q14" s="48"/>
      <c r="R14" s="48"/>
      <c r="S14" s="165"/>
      <c r="T14" s="48"/>
      <c r="U14" s="48"/>
      <c r="V14" s="48"/>
      <c r="W14" s="48"/>
      <c r="X14" s="48"/>
      <c r="Y14" s="47"/>
      <c r="Z14" s="43"/>
      <c r="AA14" s="51"/>
      <c r="AB14" s="51"/>
      <c r="AC14" s="51"/>
      <c r="AD14" s="51"/>
      <c r="AE14" s="51"/>
      <c r="AF14" s="51"/>
    </row>
    <row r="15">
      <c r="A15" s="167">
        <v>1.0</v>
      </c>
      <c r="B15" s="168" t="s">
        <v>1999</v>
      </c>
      <c r="C15" s="55">
        <v>11.0</v>
      </c>
      <c r="D15" s="169">
        <v>6.0</v>
      </c>
      <c r="E15" s="169" t="s">
        <v>360</v>
      </c>
      <c r="F15" s="171" t="str">
        <f>HYPERLINK("https://nasional.kompas.com/read/2019/02/27/09234291/wapres-kalla-ingatkan-agar-hak-kependudukan-penghayat-kepercayaan-tak","sumber")</f>
        <v>sumber</v>
      </c>
      <c r="G15" s="171" t="str">
        <f t="shared" si="1"/>
        <v>lokasi</v>
      </c>
      <c r="H15" s="168">
        <v>292.0</v>
      </c>
      <c r="I15" s="55">
        <v>4.0</v>
      </c>
      <c r="J15" s="169">
        <v>4.0</v>
      </c>
      <c r="K15" s="172" t="s">
        <v>2000</v>
      </c>
      <c r="L15" s="55">
        <v>0.0</v>
      </c>
      <c r="M15" s="55">
        <v>0.0</v>
      </c>
      <c r="N15" s="55">
        <v>0.0</v>
      </c>
      <c r="O15" s="55">
        <v>0.0</v>
      </c>
      <c r="P15" s="55">
        <v>0.0</v>
      </c>
      <c r="Q15" s="55" t="s">
        <v>61</v>
      </c>
      <c r="R15" s="55" t="s">
        <v>192</v>
      </c>
      <c r="S15" s="174"/>
      <c r="T15" s="55">
        <v>0.0</v>
      </c>
      <c r="U15" s="55">
        <v>0.0</v>
      </c>
      <c r="V15" s="55">
        <v>1.0</v>
      </c>
      <c r="W15" s="46"/>
      <c r="X15" s="46"/>
      <c r="Y15" s="55"/>
      <c r="Z15" s="30"/>
      <c r="AA15" s="30"/>
      <c r="AB15" s="31"/>
      <c r="AC15" s="31"/>
      <c r="AD15" s="31"/>
      <c r="AE15" s="31"/>
      <c r="AF15" s="31"/>
    </row>
    <row r="16">
      <c r="A16" s="158">
        <v>1.0</v>
      </c>
      <c r="B16" s="159" t="s">
        <v>2001</v>
      </c>
      <c r="C16" s="44">
        <v>12.0</v>
      </c>
      <c r="D16" s="160">
        <v>10.0</v>
      </c>
      <c r="E16" s="160" t="s">
        <v>2002</v>
      </c>
      <c r="F16" s="162" t="str">
        <f>HYPERLINK("https://nasional.tempo.co/read/1178325/begini-prosedur-mendapat-ktp-bagi-penganut-aliran-kepercayaan ","sumber")</f>
        <v>sumber</v>
      </c>
      <c r="G16" s="162" t="str">
        <f t="shared" si="1"/>
        <v>lokasi</v>
      </c>
      <c r="H16" s="159">
        <v>461.0</v>
      </c>
      <c r="I16" s="44">
        <v>4.0</v>
      </c>
      <c r="J16" s="160">
        <v>4.0</v>
      </c>
      <c r="K16" s="164" t="s">
        <v>2003</v>
      </c>
      <c r="L16" s="44">
        <v>0.0</v>
      </c>
      <c r="M16" s="44">
        <v>0.0</v>
      </c>
      <c r="N16" s="166">
        <v>0.0</v>
      </c>
      <c r="O16" s="44">
        <v>0.0</v>
      </c>
      <c r="P16" s="44">
        <v>0.0</v>
      </c>
      <c r="Q16" s="44" t="s">
        <v>214</v>
      </c>
      <c r="R16" s="44" t="s">
        <v>61</v>
      </c>
      <c r="S16" s="175"/>
      <c r="T16" s="44">
        <v>0.0</v>
      </c>
      <c r="U16" s="44">
        <v>0.0</v>
      </c>
      <c r="V16" s="44">
        <v>1.0</v>
      </c>
      <c r="W16" s="45"/>
      <c r="X16" s="45"/>
      <c r="Y16" s="45"/>
      <c r="Z16" s="9"/>
      <c r="AA16" s="52"/>
      <c r="AB16" s="9"/>
      <c r="AC16" s="9"/>
      <c r="AD16" s="9"/>
      <c r="AE16" s="9"/>
      <c r="AF16" s="9"/>
    </row>
    <row r="17">
      <c r="A17" s="158">
        <v>1.0</v>
      </c>
      <c r="B17" s="159" t="s">
        <v>2004</v>
      </c>
      <c r="C17" s="44">
        <v>13.0</v>
      </c>
      <c r="D17" s="160">
        <v>3.0</v>
      </c>
      <c r="E17" s="160" t="s">
        <v>496</v>
      </c>
      <c r="F17" s="162" t="str">
        <f>HYPERLINK("https://news.okezone.com/read/2019/02/25/337/2022651/kolom-penghayat-kepercayaan-di-e-ktp-dukcapil-laksanakan-amanat-mk ","sumber")</f>
        <v>sumber</v>
      </c>
      <c r="G17" s="162" t="str">
        <f t="shared" si="1"/>
        <v>lokasi</v>
      </c>
      <c r="H17" s="159">
        <v>355.0</v>
      </c>
      <c r="I17" s="44">
        <v>4.0</v>
      </c>
      <c r="J17" s="160">
        <v>4.0</v>
      </c>
      <c r="K17" s="164" t="s">
        <v>2005</v>
      </c>
      <c r="L17" s="44">
        <v>0.0</v>
      </c>
      <c r="M17" s="44">
        <v>0.0</v>
      </c>
      <c r="N17" s="44">
        <v>0.0</v>
      </c>
      <c r="O17" s="44">
        <v>0.0</v>
      </c>
      <c r="P17" s="44">
        <v>0.0</v>
      </c>
      <c r="Q17" s="44">
        <v>0.0</v>
      </c>
      <c r="R17" s="44">
        <v>0.0</v>
      </c>
      <c r="S17" s="175"/>
      <c r="T17" s="44">
        <v>0.0</v>
      </c>
      <c r="U17" s="44">
        <v>0.0</v>
      </c>
      <c r="V17" s="44">
        <v>1.0</v>
      </c>
      <c r="W17" s="45"/>
      <c r="X17" s="45"/>
      <c r="Y17" s="45"/>
      <c r="Z17" s="9"/>
      <c r="AA17" s="52"/>
      <c r="AB17" s="9"/>
      <c r="AC17" s="9"/>
      <c r="AD17" s="9"/>
      <c r="AE17" s="9"/>
      <c r="AF17" s="9"/>
    </row>
    <row r="18">
      <c r="A18" s="158">
        <v>1.0</v>
      </c>
      <c r="B18" s="159" t="s">
        <v>2006</v>
      </c>
      <c r="C18" s="44">
        <v>14.0</v>
      </c>
      <c r="D18" s="160">
        <v>2.0</v>
      </c>
      <c r="E18" s="160" t="s">
        <v>357</v>
      </c>
      <c r="F18" s="162" t="str">
        <f>HYPERLINK("https://www.cnnindonesia.com/nasional/20190226172120-20-372795/jk-tegaskan-kolom-kepercayaan-di-e-ktp-sesuai-putusan-mk ","sumber")</f>
        <v>sumber</v>
      </c>
      <c r="G18" s="162" t="str">
        <f t="shared" si="1"/>
        <v>lokasi</v>
      </c>
      <c r="H18" s="159">
        <v>368.0</v>
      </c>
      <c r="I18" s="44">
        <v>4.0</v>
      </c>
      <c r="J18" s="160">
        <v>4.0</v>
      </c>
      <c r="K18" s="164" t="s">
        <v>2007</v>
      </c>
      <c r="L18" s="44">
        <v>0.0</v>
      </c>
      <c r="M18" s="44">
        <v>0.0</v>
      </c>
      <c r="N18" s="166">
        <v>0.0</v>
      </c>
      <c r="O18" s="44">
        <v>0.0</v>
      </c>
      <c r="P18" s="44">
        <v>0.0</v>
      </c>
      <c r="Q18" s="44" t="s">
        <v>119</v>
      </c>
      <c r="R18" s="44" t="s">
        <v>214</v>
      </c>
      <c r="S18" s="175"/>
      <c r="T18" s="44">
        <v>0.0</v>
      </c>
      <c r="U18" s="44">
        <v>0.0</v>
      </c>
      <c r="V18" s="44">
        <v>1.0</v>
      </c>
      <c r="W18" s="45"/>
      <c r="X18" s="45"/>
      <c r="Y18" s="45"/>
      <c r="Z18" s="9"/>
      <c r="AA18" s="52"/>
      <c r="AB18" s="9"/>
      <c r="AC18" s="9"/>
      <c r="AD18" s="9"/>
      <c r="AE18" s="9"/>
      <c r="AF18" s="9"/>
    </row>
    <row r="19">
      <c r="A19" s="152">
        <v>2.0</v>
      </c>
      <c r="B19" s="153" t="s">
        <v>2008</v>
      </c>
      <c r="C19" s="47">
        <v>15.0</v>
      </c>
      <c r="D19" s="154">
        <v>10.0</v>
      </c>
      <c r="E19" s="155">
        <v>43527.0</v>
      </c>
      <c r="F19" s="156" t="str">
        <f>HYPERLINK("https://dunia.tempo.co/read/1181406/10-militan-isis-di-suriah-diduga-dieksekusi-mati-di-trotoar ","sumber")</f>
        <v>sumber</v>
      </c>
      <c r="G19" s="156" t="str">
        <f t="shared" si="1"/>
        <v>lokasi</v>
      </c>
      <c r="H19" s="153">
        <v>289.0</v>
      </c>
      <c r="I19" s="47"/>
      <c r="J19" s="154">
        <v>4.0</v>
      </c>
      <c r="K19" s="157"/>
      <c r="L19" s="47"/>
      <c r="M19" s="47"/>
      <c r="N19" s="47"/>
      <c r="O19" s="47"/>
      <c r="P19" s="47"/>
      <c r="Q19" s="47"/>
      <c r="R19" s="47"/>
      <c r="S19" s="165"/>
      <c r="T19" s="47"/>
      <c r="U19" s="47"/>
      <c r="V19" s="47"/>
      <c r="W19" s="48"/>
      <c r="X19" s="48"/>
      <c r="Y19" s="47"/>
      <c r="Z19" s="43"/>
      <c r="AA19" s="51"/>
      <c r="AB19" s="51"/>
      <c r="AC19" s="51"/>
      <c r="AD19" s="51"/>
      <c r="AE19" s="51"/>
      <c r="AF19" s="51"/>
    </row>
    <row r="20">
      <c r="A20" s="158">
        <v>1.0</v>
      </c>
      <c r="B20" s="159" t="s">
        <v>2009</v>
      </c>
      <c r="C20" s="44">
        <v>16.0</v>
      </c>
      <c r="D20" s="160">
        <v>4.0</v>
      </c>
      <c r="E20" s="161">
        <v>43558.0</v>
      </c>
      <c r="F20" s="162" t="str">
        <f>HYPERLINK("https://www.liputan6.com/regional/read/3908571/belum-ada-pengajuan-e-ktp-penghayat-kepercayaan-di-makassar ","sumber")</f>
        <v>sumber</v>
      </c>
      <c r="G20" s="162" t="str">
        <f t="shared" si="1"/>
        <v>lokasi</v>
      </c>
      <c r="H20" s="159">
        <v>265.0</v>
      </c>
      <c r="I20" s="44">
        <v>4.0</v>
      </c>
      <c r="J20" s="160">
        <v>4.0</v>
      </c>
      <c r="K20" s="164" t="s">
        <v>2010</v>
      </c>
      <c r="L20" s="44">
        <v>0.0</v>
      </c>
      <c r="M20" s="44">
        <v>0.0</v>
      </c>
      <c r="N20" s="166">
        <v>0.0</v>
      </c>
      <c r="O20" s="44">
        <v>0.0</v>
      </c>
      <c r="P20" s="44">
        <v>0.0</v>
      </c>
      <c r="Q20" s="44">
        <v>0.0</v>
      </c>
      <c r="R20" s="44">
        <v>0.0</v>
      </c>
      <c r="S20" s="175"/>
      <c r="T20" s="44">
        <v>0.0</v>
      </c>
      <c r="U20" s="44">
        <v>0.0</v>
      </c>
      <c r="V20" s="44">
        <v>1.0</v>
      </c>
      <c r="W20" s="45"/>
      <c r="X20" s="45"/>
      <c r="Y20" s="45"/>
      <c r="Z20" s="9"/>
      <c r="AA20" s="52"/>
      <c r="AB20" s="9"/>
      <c r="AC20" s="9"/>
      <c r="AD20" s="9"/>
      <c r="AE20" s="9"/>
      <c r="AF20" s="9"/>
    </row>
    <row r="21">
      <c r="A21" s="158">
        <v>1.0</v>
      </c>
      <c r="B21" s="159" t="s">
        <v>2011</v>
      </c>
      <c r="C21" s="44">
        <v>17.0</v>
      </c>
      <c r="D21" s="160">
        <v>1.0</v>
      </c>
      <c r="E21" s="161">
        <v>43680.0</v>
      </c>
      <c r="F21" s="162" t="str">
        <f>HYPERLINK("https://news.detik.com/berita/d-4458343/orang-rimba-di-jambi-belum-ada-yang-ganti-kolom-agama ","sumber")</f>
        <v>sumber</v>
      </c>
      <c r="G21" s="162" t="str">
        <f t="shared" si="1"/>
        <v>lokasi</v>
      </c>
      <c r="H21" s="159">
        <v>402.0</v>
      </c>
      <c r="I21" s="44">
        <v>4.0</v>
      </c>
      <c r="J21" s="160">
        <v>4.0</v>
      </c>
      <c r="K21" s="164" t="s">
        <v>2012</v>
      </c>
      <c r="L21" s="44">
        <v>0.0</v>
      </c>
      <c r="M21" s="44">
        <v>0.0</v>
      </c>
      <c r="N21" s="166">
        <v>0.0</v>
      </c>
      <c r="O21" s="44">
        <v>0.0</v>
      </c>
      <c r="P21" s="44">
        <v>0.0</v>
      </c>
      <c r="Q21" s="44">
        <v>1.0</v>
      </c>
      <c r="R21" s="44">
        <v>1.0</v>
      </c>
      <c r="S21" s="175"/>
      <c r="T21" s="44">
        <v>0.0</v>
      </c>
      <c r="U21" s="44">
        <v>0.0</v>
      </c>
      <c r="V21" s="44">
        <v>1.0</v>
      </c>
      <c r="W21" s="45"/>
      <c r="X21" s="45"/>
      <c r="Y21" s="45"/>
      <c r="Z21" s="9"/>
      <c r="AA21" s="52"/>
      <c r="AB21" s="9"/>
      <c r="AC21" s="9"/>
      <c r="AD21" s="9"/>
      <c r="AE21" s="9"/>
      <c r="AF21" s="9"/>
    </row>
    <row r="22">
      <c r="A22" s="152">
        <v>2.0</v>
      </c>
      <c r="B22" s="153" t="s">
        <v>2013</v>
      </c>
      <c r="C22" s="47">
        <v>18.0</v>
      </c>
      <c r="D22" s="154">
        <v>1.0</v>
      </c>
      <c r="E22" s="155">
        <v>43711.0</v>
      </c>
      <c r="F22" s="156" t="str">
        <f>HYPERLINK("https://news.detik.com/berita/d-4459990/akademisi-usu-hingga-uin-yogyakarta-akan-jadi-panelis-debat-cawapres ","sumber")</f>
        <v>sumber</v>
      </c>
      <c r="G22" s="156" t="str">
        <f t="shared" si="1"/>
        <v>lokasi</v>
      </c>
      <c r="H22" s="153">
        <v>211.0</v>
      </c>
      <c r="I22" s="48"/>
      <c r="J22" s="154">
        <v>4.0</v>
      </c>
      <c r="K22" s="165"/>
      <c r="L22" s="48"/>
      <c r="M22" s="48"/>
      <c r="N22" s="48"/>
      <c r="O22" s="48"/>
      <c r="P22" s="48"/>
      <c r="Q22" s="48"/>
      <c r="R22" s="48"/>
      <c r="S22" s="165"/>
      <c r="T22" s="48"/>
      <c r="U22" s="48"/>
      <c r="V22" s="48"/>
      <c r="W22" s="48"/>
      <c r="X22" s="48"/>
      <c r="Y22" s="47"/>
      <c r="Z22" s="43"/>
      <c r="AA22" s="51"/>
      <c r="AB22" s="51"/>
      <c r="AC22" s="51"/>
      <c r="AD22" s="51"/>
      <c r="AE22" s="51"/>
      <c r="AF22" s="51"/>
    </row>
    <row r="23">
      <c r="A23" s="152">
        <v>2.0</v>
      </c>
      <c r="B23" s="153" t="s">
        <v>2014</v>
      </c>
      <c r="C23" s="47">
        <v>19.0</v>
      </c>
      <c r="D23" s="154">
        <v>6.0</v>
      </c>
      <c r="E23" s="155">
        <v>43772.0</v>
      </c>
      <c r="F23" s="156" t="str">
        <f>HYPERLINK("https://nasional.kompas.com/read/2019/03/11/09223591/akademisi-usu-unhas-hingga-praktisi-akan-jadi-panelis-debat-ketiga ","sumber")</f>
        <v>sumber</v>
      </c>
      <c r="G23" s="156" t="str">
        <f t="shared" si="1"/>
        <v>lokasi</v>
      </c>
      <c r="H23" s="153">
        <v>303.0</v>
      </c>
      <c r="I23" s="48"/>
      <c r="J23" s="154">
        <v>4.0</v>
      </c>
      <c r="K23" s="165"/>
      <c r="L23" s="48"/>
      <c r="M23" s="48"/>
      <c r="N23" s="48"/>
      <c r="O23" s="48"/>
      <c r="P23" s="48"/>
      <c r="Q23" s="48"/>
      <c r="R23" s="48"/>
      <c r="S23" s="165"/>
      <c r="T23" s="48"/>
      <c r="U23" s="48"/>
      <c r="V23" s="48"/>
      <c r="W23" s="48"/>
      <c r="X23" s="48"/>
      <c r="Y23" s="47"/>
      <c r="Z23" s="43"/>
      <c r="AA23" s="51"/>
      <c r="AB23" s="51"/>
      <c r="AC23" s="51"/>
      <c r="AD23" s="51"/>
      <c r="AE23" s="51"/>
      <c r="AF23" s="51"/>
    </row>
    <row r="24">
      <c r="A24" s="152">
        <v>2.0</v>
      </c>
      <c r="B24" s="153" t="s">
        <v>2015</v>
      </c>
      <c r="C24" s="47">
        <v>20.0</v>
      </c>
      <c r="D24" s="154">
        <v>4.0</v>
      </c>
      <c r="E24" s="154" t="s">
        <v>523</v>
      </c>
      <c r="F24" s="156" t="str">
        <f>HYPERLINK("https://www.liputan6.com/global/read/3919962/19-3-2003-dimulainya-perang-irak-yang-dilandasi-kebohongan ","sumber")</f>
        <v>sumber</v>
      </c>
      <c r="G24" s="156" t="str">
        <f t="shared" si="1"/>
        <v>lokasi</v>
      </c>
      <c r="H24" s="153">
        <v>783.0</v>
      </c>
      <c r="I24" s="48"/>
      <c r="J24" s="154">
        <v>4.0</v>
      </c>
      <c r="K24" s="165"/>
      <c r="L24" s="48"/>
      <c r="M24" s="48"/>
      <c r="N24" s="48"/>
      <c r="O24" s="48"/>
      <c r="P24" s="48"/>
      <c r="Q24" s="48"/>
      <c r="R24" s="48"/>
      <c r="S24" s="165"/>
      <c r="T24" s="48"/>
      <c r="U24" s="48"/>
      <c r="V24" s="48"/>
      <c r="W24" s="48"/>
      <c r="X24" s="48"/>
      <c r="Y24" s="47"/>
      <c r="Z24" s="43"/>
      <c r="AA24" s="51"/>
      <c r="AB24" s="51"/>
      <c r="AC24" s="51"/>
      <c r="AD24" s="51"/>
      <c r="AE24" s="51"/>
      <c r="AF24" s="51"/>
    </row>
    <row r="25">
      <c r="A25" s="158">
        <v>1.0</v>
      </c>
      <c r="B25" s="159" t="s">
        <v>2016</v>
      </c>
      <c r="C25" s="44">
        <v>21.0</v>
      </c>
      <c r="D25" s="160">
        <v>7.0</v>
      </c>
      <c r="E25" s="160" t="s">
        <v>523</v>
      </c>
      <c r="F25" s="162" t="str">
        <f>HYPERLINK("http://www.tribunnews.com/australia-plus/2019/03/19/penghayat-kepercayaan-indonesia-ingin-diakui-lebih-dari-kolom-ktp ","sumber")</f>
        <v>sumber</v>
      </c>
      <c r="G25" s="162" t="str">
        <f t="shared" si="1"/>
        <v>lokasi</v>
      </c>
      <c r="H25" s="159">
        <v>271.0</v>
      </c>
      <c r="I25" s="44">
        <v>4.0</v>
      </c>
      <c r="J25" s="160">
        <v>4.0</v>
      </c>
      <c r="K25" s="164" t="s">
        <v>2017</v>
      </c>
      <c r="L25" s="44">
        <v>0.0</v>
      </c>
      <c r="M25" s="44">
        <v>0.0</v>
      </c>
      <c r="N25" s="166">
        <v>0.0</v>
      </c>
      <c r="O25" s="44">
        <v>0.0</v>
      </c>
      <c r="P25" s="44">
        <v>0.0</v>
      </c>
      <c r="Q25" s="44" t="s">
        <v>2018</v>
      </c>
      <c r="R25" s="44" t="s">
        <v>2019</v>
      </c>
      <c r="S25" s="175"/>
      <c r="T25" s="44">
        <v>0.0</v>
      </c>
      <c r="U25" s="44">
        <v>0.0</v>
      </c>
      <c r="V25" s="44">
        <v>1.0</v>
      </c>
      <c r="W25" s="45"/>
      <c r="X25" s="45"/>
      <c r="Y25" s="45"/>
      <c r="Z25" s="9"/>
      <c r="AA25" s="52"/>
      <c r="AB25" s="9"/>
      <c r="AC25" s="9"/>
      <c r="AD25" s="9"/>
      <c r="AE25" s="9"/>
      <c r="AF25" s="9"/>
    </row>
    <row r="26">
      <c r="A26" s="158">
        <v>1.0</v>
      </c>
      <c r="B26" s="159" t="s">
        <v>2020</v>
      </c>
      <c r="C26" s="44">
        <v>22.0</v>
      </c>
      <c r="D26" s="160">
        <v>6.0</v>
      </c>
      <c r="E26" s="160" t="s">
        <v>525</v>
      </c>
      <c r="F26" s="162" t="str">
        <f>HYPERLINK("https://regional.kompas.com/read/2019/03/22/18034311/pemilu-2019-pengungsi-syiah-sampang-tak-bisa-memilih-caleg ","sumber")</f>
        <v>sumber</v>
      </c>
      <c r="G26" s="162" t="str">
        <f t="shared" si="1"/>
        <v>lokasi</v>
      </c>
      <c r="H26" s="159">
        <v>239.0</v>
      </c>
      <c r="I26" s="44">
        <v>4.0</v>
      </c>
      <c r="J26" s="160">
        <v>4.0</v>
      </c>
      <c r="K26" s="164" t="s">
        <v>2021</v>
      </c>
      <c r="L26" s="44">
        <v>0.0</v>
      </c>
      <c r="M26" s="44">
        <v>0.0</v>
      </c>
      <c r="N26" s="166">
        <v>0.0</v>
      </c>
      <c r="O26" s="44">
        <v>0.0</v>
      </c>
      <c r="P26" s="44">
        <v>0.0</v>
      </c>
      <c r="Q26" s="44">
        <v>0.0</v>
      </c>
      <c r="R26" s="44">
        <v>0.0</v>
      </c>
      <c r="S26" s="175"/>
      <c r="T26" s="44">
        <v>0.0</v>
      </c>
      <c r="U26" s="44">
        <v>0.0</v>
      </c>
      <c r="V26" s="44">
        <v>1.0</v>
      </c>
      <c r="W26" s="45"/>
      <c r="X26" s="45"/>
      <c r="Y26" s="45"/>
      <c r="Z26" s="9"/>
      <c r="AA26" s="52"/>
      <c r="AB26" s="9"/>
      <c r="AC26" s="9"/>
      <c r="AD26" s="9"/>
      <c r="AE26" s="9"/>
      <c r="AF26" s="9"/>
    </row>
    <row r="27">
      <c r="A27" s="158">
        <v>1.0</v>
      </c>
      <c r="B27" s="159" t="s">
        <v>2022</v>
      </c>
      <c r="C27" s="44">
        <v>23.0</v>
      </c>
      <c r="D27" s="160">
        <v>8.0</v>
      </c>
      <c r="E27" s="160" t="s">
        <v>525</v>
      </c>
      <c r="F27" s="162" t="str">
        <f>HYPERLINK("https://jatim.suara.com/read/2019/03/22/123128/ratusan-pengungsi-muslim-syiah-sampang-dipastikan-bisa-nyoblos-di-sidoarjo ","sumber")</f>
        <v>sumber</v>
      </c>
      <c r="G27" s="162" t="str">
        <f t="shared" si="1"/>
        <v>lokasi</v>
      </c>
      <c r="H27" s="159">
        <v>282.0</v>
      </c>
      <c r="I27" s="44">
        <v>4.0</v>
      </c>
      <c r="J27" s="160">
        <v>4.0</v>
      </c>
      <c r="K27" s="164" t="s">
        <v>2023</v>
      </c>
      <c r="L27" s="44">
        <v>0.0</v>
      </c>
      <c r="M27" s="44">
        <v>0.0</v>
      </c>
      <c r="N27" s="166">
        <v>0.0</v>
      </c>
      <c r="O27" s="44">
        <v>0.0</v>
      </c>
      <c r="P27" s="44">
        <v>0.0</v>
      </c>
      <c r="Q27" s="44">
        <v>0.0</v>
      </c>
      <c r="R27" s="44">
        <v>0.0</v>
      </c>
      <c r="S27" s="175"/>
      <c r="T27" s="44">
        <v>0.0</v>
      </c>
      <c r="U27" s="44">
        <v>0.0</v>
      </c>
      <c r="V27" s="44">
        <v>1.0</v>
      </c>
      <c r="W27" s="45"/>
      <c r="X27" s="45"/>
      <c r="Y27" s="45"/>
      <c r="Z27" s="9"/>
      <c r="AA27" s="52"/>
      <c r="AB27" s="9"/>
      <c r="AC27" s="9"/>
      <c r="AD27" s="9"/>
      <c r="AE27" s="9"/>
      <c r="AF27" s="9"/>
    </row>
    <row r="28">
      <c r="A28" s="167">
        <v>1.0</v>
      </c>
      <c r="B28" s="168" t="s">
        <v>2024</v>
      </c>
      <c r="C28" s="55">
        <v>24.0</v>
      </c>
      <c r="D28" s="169">
        <v>2.0</v>
      </c>
      <c r="E28" s="169" t="s">
        <v>153</v>
      </c>
      <c r="F28" s="171" t="str">
        <f>HYPERLINK("https://www.cnnindonesia.com/nasional/20190313140835-32-376888/kolom-agama-ktp-warga-baduy-diisi-penganut-kepercayaan","sumber")</f>
        <v>sumber</v>
      </c>
      <c r="G28" s="171" t="str">
        <f t="shared" si="1"/>
        <v>lokasi</v>
      </c>
      <c r="H28" s="168">
        <v>430.0</v>
      </c>
      <c r="I28" s="55">
        <v>4.0</v>
      </c>
      <c r="J28" s="169">
        <v>4.0</v>
      </c>
      <c r="K28" s="172" t="s">
        <v>2025</v>
      </c>
      <c r="L28" s="55">
        <v>0.0</v>
      </c>
      <c r="M28" s="55">
        <v>0.0</v>
      </c>
      <c r="N28" s="173">
        <v>0.0</v>
      </c>
      <c r="O28" s="55">
        <v>0.0</v>
      </c>
      <c r="P28" s="55">
        <v>0.0</v>
      </c>
      <c r="Q28" s="55" t="s">
        <v>2026</v>
      </c>
      <c r="R28" s="55" t="s">
        <v>392</v>
      </c>
      <c r="S28" s="174"/>
      <c r="T28" s="55">
        <v>0.0</v>
      </c>
      <c r="U28" s="55">
        <v>0.0</v>
      </c>
      <c r="V28" s="55">
        <v>1.0</v>
      </c>
      <c r="W28" s="46"/>
      <c r="X28" s="46"/>
      <c r="Y28" s="55"/>
      <c r="Z28" s="30"/>
      <c r="AA28" s="30"/>
      <c r="AB28" s="31"/>
      <c r="AC28" s="31"/>
      <c r="AD28" s="31"/>
      <c r="AE28" s="31"/>
      <c r="AF28" s="31"/>
    </row>
    <row r="29">
      <c r="A29" s="158">
        <v>1.0</v>
      </c>
      <c r="B29" s="159" t="s">
        <v>2027</v>
      </c>
      <c r="C29" s="44">
        <v>25.0</v>
      </c>
      <c r="D29" s="160">
        <v>9.0</v>
      </c>
      <c r="E29" s="160" t="s">
        <v>171</v>
      </c>
      <c r="F29" s="162" t="str">
        <f>HYPERLINK("https://internasional.republika.co.id/berita/internasional/asia/pp83gp366/selandia-baru-tak-punya-data-lengkap-kejahatan-kebencian ","sumber")</f>
        <v>sumber</v>
      </c>
      <c r="G29" s="162" t="str">
        <f t="shared" si="1"/>
        <v>lokasi</v>
      </c>
      <c r="H29" s="159">
        <v>568.0</v>
      </c>
      <c r="I29" s="44">
        <v>4.0</v>
      </c>
      <c r="J29" s="160">
        <v>4.0</v>
      </c>
      <c r="K29" s="164" t="s">
        <v>2028</v>
      </c>
      <c r="L29" s="44">
        <v>0.0</v>
      </c>
      <c r="M29" s="44">
        <v>0.0</v>
      </c>
      <c r="N29" s="166">
        <v>0.0</v>
      </c>
      <c r="O29" s="44">
        <v>0.0</v>
      </c>
      <c r="P29" s="44">
        <v>0.0</v>
      </c>
      <c r="Q29" s="44" t="s">
        <v>2029</v>
      </c>
      <c r="R29" s="44" t="s">
        <v>700</v>
      </c>
      <c r="S29" s="175"/>
      <c r="T29" s="44">
        <v>0.0</v>
      </c>
      <c r="U29" s="44">
        <v>0.0</v>
      </c>
      <c r="V29" s="44">
        <v>1.0</v>
      </c>
      <c r="W29" s="45"/>
      <c r="X29" s="45"/>
      <c r="Y29" s="45"/>
      <c r="Z29" s="9"/>
      <c r="AA29" s="52"/>
      <c r="AB29" s="9"/>
      <c r="AC29" s="9"/>
      <c r="AD29" s="9"/>
      <c r="AE29" s="9"/>
      <c r="AF29" s="9"/>
    </row>
    <row r="30">
      <c r="A30" s="152">
        <v>2.0</v>
      </c>
      <c r="B30" s="153" t="s">
        <v>2030</v>
      </c>
      <c r="C30" s="47">
        <v>26.0</v>
      </c>
      <c r="D30" s="154">
        <v>4.0</v>
      </c>
      <c r="E30" s="155">
        <v>43500.0</v>
      </c>
      <c r="F30" s="156" t="str">
        <f>HYPERLINK("https://www.liputan6.com/news/read/3932588/menkominfo-berita-hoaks-meningkat-tajam-jelang-pemilu ","sumber")</f>
        <v>sumber</v>
      </c>
      <c r="G30" s="156" t="str">
        <f t="shared" si="1"/>
        <v>lokasi</v>
      </c>
      <c r="H30" s="153">
        <v>410.0</v>
      </c>
      <c r="I30" s="48"/>
      <c r="J30" s="154">
        <v>4.0</v>
      </c>
      <c r="K30" s="165"/>
      <c r="L30" s="48"/>
      <c r="M30" s="48"/>
      <c r="N30" s="48"/>
      <c r="O30" s="48"/>
      <c r="P30" s="48"/>
      <c r="Q30" s="48"/>
      <c r="R30" s="48"/>
      <c r="S30" s="165"/>
      <c r="T30" s="48"/>
      <c r="U30" s="48"/>
      <c r="V30" s="48"/>
      <c r="W30" s="48"/>
      <c r="X30" s="48"/>
      <c r="Y30" s="47"/>
      <c r="Z30" s="43"/>
      <c r="AA30" s="51"/>
      <c r="AB30" s="51"/>
      <c r="AC30" s="51"/>
      <c r="AD30" s="51"/>
      <c r="AE30" s="51"/>
      <c r="AF30" s="51"/>
    </row>
    <row r="31">
      <c r="A31" s="158">
        <v>1.0</v>
      </c>
      <c r="B31" s="159" t="s">
        <v>2031</v>
      </c>
      <c r="C31" s="44">
        <v>27.0</v>
      </c>
      <c r="D31" s="160">
        <v>5.0</v>
      </c>
      <c r="E31" s="161">
        <v>43500.0</v>
      </c>
      <c r="F31" s="162" t="str">
        <f>HYPERLINK("https://tirto.id/pbb-kecam-kebijakan-hukuman-mati-lgbt-di-brunei-dkVs ","sumber")</f>
        <v>sumber</v>
      </c>
      <c r="G31" s="162" t="str">
        <f t="shared" si="1"/>
        <v>lokasi</v>
      </c>
      <c r="H31" s="159">
        <v>320.0</v>
      </c>
      <c r="I31" s="44">
        <v>4.0</v>
      </c>
      <c r="J31" s="163">
        <v>3.0</v>
      </c>
      <c r="K31" s="164" t="s">
        <v>2032</v>
      </c>
      <c r="L31" s="44">
        <v>0.0</v>
      </c>
      <c r="M31" s="44">
        <v>0.0</v>
      </c>
      <c r="N31" s="166">
        <v>0.0</v>
      </c>
      <c r="O31" s="44">
        <v>0.0</v>
      </c>
      <c r="P31" s="44">
        <v>0.0</v>
      </c>
      <c r="Q31" s="44">
        <v>0.0</v>
      </c>
      <c r="R31" s="44">
        <v>1.0</v>
      </c>
      <c r="S31" s="175"/>
      <c r="T31" s="44">
        <v>0.0</v>
      </c>
      <c r="U31" s="44">
        <v>0.0</v>
      </c>
      <c r="V31" s="44">
        <v>1.0</v>
      </c>
      <c r="W31" s="45"/>
      <c r="X31" s="45"/>
      <c r="Y31" s="45"/>
      <c r="Z31" s="9"/>
      <c r="AA31" s="52"/>
      <c r="AB31" s="9"/>
      <c r="AC31" s="9"/>
      <c r="AD31" s="9"/>
      <c r="AE31" s="9"/>
      <c r="AF31" s="9"/>
    </row>
    <row r="32">
      <c r="A32" s="176">
        <v>1.0</v>
      </c>
      <c r="B32" s="177" t="s">
        <v>2033</v>
      </c>
      <c r="C32" s="178">
        <v>28.0</v>
      </c>
      <c r="D32" s="179">
        <v>9.0</v>
      </c>
      <c r="E32" s="179" t="s">
        <v>205</v>
      </c>
      <c r="F32" s="180" t="str">
        <f>HYPERLINK("https://nasional.republika.co.id/berita/nasional/news-analysis/pqjkrd415/muslim-sri-lanka-berjuang-tepis-tudingan","sumber")</f>
        <v>sumber</v>
      </c>
      <c r="G32" s="180" t="str">
        <f t="shared" si="1"/>
        <v>lokasi</v>
      </c>
      <c r="H32" s="177">
        <v>527.0</v>
      </c>
      <c r="I32" s="178">
        <v>1.0</v>
      </c>
      <c r="J32" s="179">
        <v>4.0</v>
      </c>
      <c r="K32" s="181" t="s">
        <v>2034</v>
      </c>
      <c r="L32" s="178">
        <v>0.0</v>
      </c>
      <c r="M32" s="178">
        <v>1.0</v>
      </c>
      <c r="N32" s="182">
        <v>0.0</v>
      </c>
      <c r="O32" s="178">
        <v>0.0</v>
      </c>
      <c r="P32" s="178">
        <v>0.0</v>
      </c>
      <c r="Q32" s="178" t="s">
        <v>2035</v>
      </c>
      <c r="R32" s="178" t="s">
        <v>775</v>
      </c>
      <c r="S32" s="183"/>
      <c r="T32" s="178">
        <v>0.0</v>
      </c>
      <c r="U32" s="178">
        <v>0.0</v>
      </c>
      <c r="V32" s="178">
        <v>1.0</v>
      </c>
      <c r="W32" s="184"/>
      <c r="X32" s="184"/>
      <c r="Y32" s="178"/>
      <c r="Z32" s="185"/>
      <c r="AA32" s="185"/>
      <c r="AB32" s="186"/>
      <c r="AC32" s="186"/>
      <c r="AD32" s="186"/>
      <c r="AE32" s="186"/>
      <c r="AF32" s="186"/>
    </row>
    <row r="33">
      <c r="A33" s="158">
        <v>1.0</v>
      </c>
      <c r="B33" s="159" t="s">
        <v>2036</v>
      </c>
      <c r="C33" s="44">
        <v>29.0</v>
      </c>
      <c r="D33" s="160">
        <v>3.0</v>
      </c>
      <c r="E33" s="161">
        <v>43620.0</v>
      </c>
      <c r="F33" s="162" t="str">
        <f>HYPERLINK("https://news.okezone.com/read/2019/04/06/510/2039797/sultan-hb-x-keluarkan-instruksi-soal-pencegahan-intoleransi-di-yogyakarta ","sumber")</f>
        <v>sumber</v>
      </c>
      <c r="G33" s="162" t="str">
        <f t="shared" si="1"/>
        <v>lokasi</v>
      </c>
      <c r="H33" s="159">
        <v>322.0</v>
      </c>
      <c r="I33" s="44">
        <v>4.0</v>
      </c>
      <c r="J33" s="160">
        <v>4.0</v>
      </c>
      <c r="K33" s="164" t="s">
        <v>2037</v>
      </c>
      <c r="L33" s="44">
        <v>0.0</v>
      </c>
      <c r="M33" s="44">
        <v>0.0</v>
      </c>
      <c r="N33" s="166">
        <v>0.0</v>
      </c>
      <c r="O33" s="44">
        <v>0.0</v>
      </c>
      <c r="P33" s="44">
        <v>0.0</v>
      </c>
      <c r="Q33" s="44">
        <v>0.0</v>
      </c>
      <c r="R33" s="44">
        <v>1.0</v>
      </c>
      <c r="S33" s="175"/>
      <c r="T33" s="44">
        <v>0.0</v>
      </c>
      <c r="U33" s="44">
        <v>0.0</v>
      </c>
      <c r="V33" s="44">
        <v>1.0</v>
      </c>
      <c r="W33" s="45"/>
      <c r="X33" s="45"/>
      <c r="Y33" s="45"/>
      <c r="Z33" s="9"/>
      <c r="AA33" s="52"/>
      <c r="AB33" s="9"/>
      <c r="AC33" s="9"/>
      <c r="AD33" s="9"/>
      <c r="AE33" s="9"/>
      <c r="AF33" s="9"/>
    </row>
    <row r="34">
      <c r="A34" s="152">
        <v>2.0</v>
      </c>
      <c r="B34" s="153" t="s">
        <v>2038</v>
      </c>
      <c r="C34" s="47">
        <v>30.0</v>
      </c>
      <c r="D34" s="154">
        <v>7.0</v>
      </c>
      <c r="E34" s="155">
        <v>43681.0</v>
      </c>
      <c r="F34" s="156" t="str">
        <f>HYPERLINK("http://www.tribunnews.com/internasional/2019/04/08/as-akan-masukkan-garda-revolusi-iran-dalam-daftar-hitam-kelompok-teroris ","sumber")</f>
        <v>sumber</v>
      </c>
      <c r="G34" s="156" t="str">
        <f t="shared" si="1"/>
        <v>lokasi</v>
      </c>
      <c r="H34" s="153">
        <v>348.0</v>
      </c>
      <c r="I34" s="48"/>
      <c r="J34" s="154">
        <v>4.0</v>
      </c>
      <c r="K34" s="165"/>
      <c r="L34" s="48"/>
      <c r="M34" s="48"/>
      <c r="N34" s="48"/>
      <c r="O34" s="48"/>
      <c r="P34" s="48"/>
      <c r="Q34" s="48"/>
      <c r="R34" s="48"/>
      <c r="S34" s="165"/>
      <c r="T34" s="48"/>
      <c r="U34" s="48"/>
      <c r="V34" s="48"/>
      <c r="W34" s="48"/>
      <c r="X34" s="48"/>
      <c r="Y34" s="47"/>
      <c r="Z34" s="43"/>
      <c r="AA34" s="51"/>
      <c r="AB34" s="51"/>
      <c r="AC34" s="51"/>
      <c r="AD34" s="51"/>
      <c r="AE34" s="51"/>
      <c r="AF34" s="51"/>
    </row>
    <row r="35">
      <c r="A35" s="158">
        <v>1.0</v>
      </c>
      <c r="B35" s="159" t="s">
        <v>2039</v>
      </c>
      <c r="C35" s="44">
        <v>31.0</v>
      </c>
      <c r="D35" s="160">
        <v>9.0</v>
      </c>
      <c r="E35" s="161">
        <v>43773.0</v>
      </c>
      <c r="F35" s="162" t="str">
        <f>HYPERLINK("https://nasional.republika.co.id/berita/nasional/news-analysis/ppr30a440/mengapa-debat-capres-terakhir-penting-disaksikan ","sumber")</f>
        <v>sumber</v>
      </c>
      <c r="G35" s="162" t="str">
        <f t="shared" si="1"/>
        <v>lokasi</v>
      </c>
      <c r="H35" s="159">
        <v>461.0</v>
      </c>
      <c r="I35" s="44">
        <v>3.0</v>
      </c>
      <c r="J35" s="160">
        <v>4.0</v>
      </c>
      <c r="K35" s="164" t="s">
        <v>2040</v>
      </c>
      <c r="L35" s="44">
        <v>0.0</v>
      </c>
      <c r="M35" s="44">
        <v>0.0</v>
      </c>
      <c r="N35" s="166">
        <v>0.0</v>
      </c>
      <c r="O35" s="44">
        <v>0.0</v>
      </c>
      <c r="P35" s="44">
        <v>0.0</v>
      </c>
      <c r="Q35" s="44" t="s">
        <v>887</v>
      </c>
      <c r="R35" s="187" t="s">
        <v>2041</v>
      </c>
      <c r="S35" s="175"/>
      <c r="T35" s="44">
        <v>0.0</v>
      </c>
      <c r="U35" s="44">
        <v>0.0</v>
      </c>
      <c r="V35" s="44">
        <v>0.0</v>
      </c>
      <c r="W35" s="45"/>
      <c r="X35" s="45"/>
      <c r="Y35" s="45"/>
      <c r="Z35" s="9"/>
      <c r="AA35" s="52"/>
      <c r="AB35" s="9"/>
      <c r="AC35" s="9"/>
      <c r="AD35" s="9"/>
      <c r="AE35" s="9"/>
      <c r="AF35" s="9"/>
    </row>
    <row r="36">
      <c r="A36" s="158">
        <v>1.0</v>
      </c>
      <c r="B36" s="159" t="s">
        <v>2042</v>
      </c>
      <c r="C36" s="44">
        <v>32.0</v>
      </c>
      <c r="D36" s="160">
        <v>6.0</v>
      </c>
      <c r="E36" s="161">
        <v>43803.0</v>
      </c>
      <c r="F36" s="162" t="str">
        <f>HYPERLINK("https://internasional.kompas.com/read/2019/04/12/19140231/pasar-buah-di-pakistan-diserang-bom-bunuh-diri-20-orang-tewas ","sumber")</f>
        <v>sumber</v>
      </c>
      <c r="G36" s="162" t="str">
        <f t="shared" si="1"/>
        <v>lokasi</v>
      </c>
      <c r="H36" s="159">
        <v>355.0</v>
      </c>
      <c r="I36" s="44">
        <v>1.0</v>
      </c>
      <c r="J36" s="160">
        <v>4.0</v>
      </c>
      <c r="K36" s="164" t="s">
        <v>2043</v>
      </c>
      <c r="L36" s="44">
        <v>0.0</v>
      </c>
      <c r="M36" s="188">
        <v>0.0</v>
      </c>
      <c r="N36" s="166">
        <v>0.0</v>
      </c>
      <c r="O36" s="44">
        <v>0.0</v>
      </c>
      <c r="P36" s="44">
        <v>0.0</v>
      </c>
      <c r="Q36" s="44" t="s">
        <v>202</v>
      </c>
      <c r="R36" s="44" t="s">
        <v>202</v>
      </c>
      <c r="S36" s="175"/>
      <c r="T36" s="44">
        <v>0.0</v>
      </c>
      <c r="U36" s="44">
        <v>0.0</v>
      </c>
      <c r="V36" s="44">
        <v>1.0</v>
      </c>
      <c r="W36" s="45"/>
      <c r="X36" s="45"/>
      <c r="Y36" s="45"/>
      <c r="Z36" s="9"/>
      <c r="AA36" s="52"/>
      <c r="AB36" s="9"/>
      <c r="AC36" s="9"/>
      <c r="AD36" s="9"/>
      <c r="AE36" s="9"/>
      <c r="AF36" s="9"/>
    </row>
    <row r="37">
      <c r="A37" s="158">
        <v>1.0</v>
      </c>
      <c r="B37" s="159" t="s">
        <v>2044</v>
      </c>
      <c r="C37" s="44">
        <v>33.0</v>
      </c>
      <c r="D37" s="160">
        <v>3.0</v>
      </c>
      <c r="E37" s="160" t="s">
        <v>548</v>
      </c>
      <c r="F37" s="162" t="str">
        <f>HYPERLINK("https://news.okezone.com/read/2019/04/14/18/2043309/inilah-sadaf-jaffer-muslimah-pertama-yang-menjabat-wali-kota-di-amerika-serikat ","sumber")</f>
        <v>sumber</v>
      </c>
      <c r="G37" s="162" t="str">
        <f t="shared" si="1"/>
        <v>lokasi</v>
      </c>
      <c r="H37" s="159">
        <v>729.0</v>
      </c>
      <c r="I37" s="44">
        <v>2.0</v>
      </c>
      <c r="J37" s="160">
        <v>4.0</v>
      </c>
      <c r="K37" s="164" t="s">
        <v>2045</v>
      </c>
      <c r="L37" s="44">
        <v>0.0</v>
      </c>
      <c r="M37" s="44">
        <v>0.0</v>
      </c>
      <c r="N37" s="166">
        <v>0.0</v>
      </c>
      <c r="O37" s="44">
        <v>0.0</v>
      </c>
      <c r="P37" s="44">
        <v>0.0</v>
      </c>
      <c r="Q37" s="44">
        <v>2.0</v>
      </c>
      <c r="R37" s="44">
        <v>1.0</v>
      </c>
      <c r="S37" s="175"/>
      <c r="T37" s="44">
        <v>0.0</v>
      </c>
      <c r="U37" s="44">
        <v>0.0</v>
      </c>
      <c r="V37" s="44">
        <v>0.0</v>
      </c>
      <c r="W37" s="45"/>
      <c r="X37" s="45"/>
      <c r="Y37" s="45"/>
      <c r="Z37" s="9"/>
      <c r="AA37" s="52"/>
      <c r="AB37" s="9"/>
      <c r="AC37" s="9"/>
      <c r="AD37" s="9"/>
      <c r="AE37" s="9"/>
      <c r="AF37" s="9"/>
    </row>
    <row r="38">
      <c r="A38" s="158">
        <v>1.0</v>
      </c>
      <c r="B38" s="159" t="s">
        <v>2046</v>
      </c>
      <c r="C38" s="44">
        <v>34.0</v>
      </c>
      <c r="D38" s="160">
        <v>6.0</v>
      </c>
      <c r="E38" s="160" t="s">
        <v>2047</v>
      </c>
      <c r="F38" s="162" t="str">
        <f>HYPERLINK("https://regional.kompas.com/read/2019/04/17/14244271/ahmadiyah-pastikan-puluhan-ribu-jamaahnya-ikuti-pemilu-2019 ","sumber")</f>
        <v>sumber</v>
      </c>
      <c r="G38" s="162" t="str">
        <f t="shared" si="1"/>
        <v>lokasi</v>
      </c>
      <c r="H38" s="159">
        <v>25.0</v>
      </c>
      <c r="I38" s="44">
        <v>3.0</v>
      </c>
      <c r="J38" s="160">
        <v>4.0</v>
      </c>
      <c r="K38" s="164" t="s">
        <v>2048</v>
      </c>
      <c r="L38" s="44">
        <v>0.0</v>
      </c>
      <c r="M38" s="44">
        <v>0.0</v>
      </c>
      <c r="N38" s="166">
        <v>0.0</v>
      </c>
      <c r="O38" s="44">
        <v>0.0</v>
      </c>
      <c r="P38" s="44">
        <v>0.0</v>
      </c>
      <c r="Q38" s="44" t="s">
        <v>1904</v>
      </c>
      <c r="R38" s="44" t="s">
        <v>192</v>
      </c>
      <c r="S38" s="175"/>
      <c r="T38" s="44">
        <v>0.0</v>
      </c>
      <c r="U38" s="44">
        <v>0.0</v>
      </c>
      <c r="V38" s="44">
        <v>0.0</v>
      </c>
      <c r="W38" s="45"/>
      <c r="X38" s="45"/>
      <c r="Y38" s="45"/>
      <c r="Z38" s="9"/>
      <c r="AA38" s="52"/>
      <c r="AB38" s="9"/>
      <c r="AC38" s="9"/>
      <c r="AD38" s="9"/>
      <c r="AE38" s="9"/>
      <c r="AF38" s="9"/>
    </row>
    <row r="39">
      <c r="A39" s="158">
        <v>1.0</v>
      </c>
      <c r="B39" s="159" t="s">
        <v>2049</v>
      </c>
      <c r="C39" s="44">
        <v>35.0</v>
      </c>
      <c r="D39" s="160">
        <v>4.0</v>
      </c>
      <c r="E39" s="160" t="s">
        <v>197</v>
      </c>
      <c r="F39" s="162" t="str">
        <f>HYPERLINK("https://www.liputan6.com/global/read/3949226/terbesar-kedua-dalam-sejarah-saudi-37-orang-terkait-teroris-dipenggal-sehari ","sumber")</f>
        <v>sumber</v>
      </c>
      <c r="G39" s="162" t="str">
        <f t="shared" si="1"/>
        <v>lokasi</v>
      </c>
      <c r="H39" s="159">
        <v>476.0</v>
      </c>
      <c r="I39" s="44">
        <v>1.0</v>
      </c>
      <c r="J39" s="160">
        <v>4.0</v>
      </c>
      <c r="K39" s="164" t="s">
        <v>2050</v>
      </c>
      <c r="L39" s="44">
        <v>0.0</v>
      </c>
      <c r="M39" s="44">
        <v>1.0</v>
      </c>
      <c r="N39" s="166">
        <v>0.0</v>
      </c>
      <c r="O39" s="44">
        <v>0.0</v>
      </c>
      <c r="P39" s="44">
        <v>0.0</v>
      </c>
      <c r="Q39" s="44" t="s">
        <v>53</v>
      </c>
      <c r="R39" s="44" t="s">
        <v>869</v>
      </c>
      <c r="S39" s="164" t="s">
        <v>2051</v>
      </c>
      <c r="T39" s="44">
        <v>1.0</v>
      </c>
      <c r="U39" s="44">
        <v>0.0</v>
      </c>
      <c r="V39" s="44">
        <v>1.0</v>
      </c>
      <c r="W39" s="45"/>
      <c r="X39" s="45"/>
      <c r="Y39" s="45"/>
      <c r="Z39" s="9"/>
      <c r="AA39" s="52"/>
      <c r="AB39" s="9"/>
      <c r="AC39" s="9"/>
      <c r="AD39" s="9"/>
      <c r="AE39" s="9"/>
      <c r="AF39" s="9"/>
    </row>
    <row r="40">
      <c r="A40" s="158">
        <v>1.0</v>
      </c>
      <c r="B40" s="159" t="s">
        <v>2052</v>
      </c>
      <c r="C40" s="44">
        <v>36.0</v>
      </c>
      <c r="D40" s="160">
        <v>1.0</v>
      </c>
      <c r="E40" s="160" t="s">
        <v>2053</v>
      </c>
      <c r="F40" s="162" t="str">
        <f>HYPERLINK("https://news.detik.com/berita/d-4527790/mk-effect-penghayat-kini-bisa-gelar-pernikahan-sesuai-keyakinannya ","sumber")</f>
        <v>sumber</v>
      </c>
      <c r="G40" s="162" t="str">
        <f t="shared" si="1"/>
        <v>lokasi</v>
      </c>
      <c r="H40" s="159">
        <v>614.0</v>
      </c>
      <c r="I40" s="44">
        <v>3.0</v>
      </c>
      <c r="J40" s="160">
        <v>4.0</v>
      </c>
      <c r="K40" s="164" t="s">
        <v>2054</v>
      </c>
      <c r="L40" s="44">
        <v>0.0</v>
      </c>
      <c r="M40" s="44">
        <v>0.0</v>
      </c>
      <c r="N40" s="166">
        <v>0.0</v>
      </c>
      <c r="O40" s="44">
        <v>0.0</v>
      </c>
      <c r="P40" s="44">
        <v>0.0</v>
      </c>
      <c r="Q40" s="44" t="s">
        <v>2055</v>
      </c>
      <c r="R40" s="44" t="s">
        <v>700</v>
      </c>
      <c r="S40" s="175"/>
      <c r="T40" s="44">
        <v>0.0</v>
      </c>
      <c r="U40" s="44">
        <v>0.0</v>
      </c>
      <c r="V40" s="44">
        <v>0.0</v>
      </c>
      <c r="W40" s="45"/>
      <c r="X40" s="45"/>
      <c r="Y40" s="45"/>
      <c r="Z40" s="9"/>
      <c r="AA40" s="52"/>
      <c r="AB40" s="9"/>
      <c r="AC40" s="9"/>
      <c r="AD40" s="9"/>
      <c r="AE40" s="9"/>
      <c r="AF40" s="9"/>
    </row>
    <row r="41">
      <c r="A41" s="158">
        <v>1.0</v>
      </c>
      <c r="B41" s="159" t="s">
        <v>2056</v>
      </c>
      <c r="C41" s="44">
        <v>37.0</v>
      </c>
      <c r="D41" s="160">
        <v>4.0</v>
      </c>
      <c r="E41" s="160" t="s">
        <v>2053</v>
      </c>
      <c r="F41" s="162" t="str">
        <f>HYPERLINK("https://www.liputan6.com/global/read/3952307/warga-saudi-yang-dieksekusi-gantung-bantah-terlibat-aksi-terorisme ","sumber")</f>
        <v>sumber</v>
      </c>
      <c r="G41" s="162" t="str">
        <f t="shared" si="1"/>
        <v>lokasi</v>
      </c>
      <c r="H41" s="159">
        <v>563.0</v>
      </c>
      <c r="I41" s="44">
        <v>1.0</v>
      </c>
      <c r="J41" s="160">
        <v>4.0</v>
      </c>
      <c r="K41" s="164" t="s">
        <v>2057</v>
      </c>
      <c r="L41" s="44">
        <v>0.0</v>
      </c>
      <c r="M41" s="44">
        <v>-1.0</v>
      </c>
      <c r="N41" s="166">
        <v>0.0</v>
      </c>
      <c r="O41" s="44">
        <v>0.0</v>
      </c>
      <c r="P41" s="44">
        <v>0.0</v>
      </c>
      <c r="Q41" s="44" t="s">
        <v>89</v>
      </c>
      <c r="R41" s="44" t="s">
        <v>1058</v>
      </c>
      <c r="S41" s="175"/>
      <c r="T41" s="44">
        <v>0.0</v>
      </c>
      <c r="U41" s="44">
        <v>0.0</v>
      </c>
      <c r="V41" s="44">
        <v>1.0</v>
      </c>
      <c r="W41" s="45"/>
      <c r="X41" s="45"/>
      <c r="Y41" s="45"/>
      <c r="Z41" s="9"/>
      <c r="AA41" s="52"/>
      <c r="AB41" s="9"/>
      <c r="AC41" s="9"/>
      <c r="AD41" s="9"/>
      <c r="AE41" s="9"/>
      <c r="AF41" s="9"/>
    </row>
    <row r="42">
      <c r="A42" s="152">
        <v>2.0</v>
      </c>
      <c r="B42" s="153" t="s">
        <v>2058</v>
      </c>
      <c r="C42" s="47">
        <v>38.0</v>
      </c>
      <c r="D42" s="154">
        <v>9.0</v>
      </c>
      <c r="E42" s="155">
        <v>43682.0</v>
      </c>
      <c r="F42" s="156" t="str">
        <f>HYPERLINK("https://internasional.republika.co.id/berita/internasional/asia/pr6svx320/bom-meledak-di-zawiyah-sufi-lahore-bidik-anggota-polisi ","sumber")</f>
        <v>sumber</v>
      </c>
      <c r="G42" s="156" t="str">
        <f t="shared" si="1"/>
        <v>lokasi</v>
      </c>
      <c r="H42" s="153">
        <v>260.0</v>
      </c>
      <c r="I42" s="48"/>
      <c r="J42" s="154">
        <v>4.0</v>
      </c>
      <c r="K42" s="165"/>
      <c r="L42" s="48"/>
      <c r="M42" s="48"/>
      <c r="N42" s="48"/>
      <c r="O42" s="48"/>
      <c r="P42" s="48"/>
      <c r="Q42" s="48"/>
      <c r="R42" s="48"/>
      <c r="S42" s="165"/>
      <c r="T42" s="48"/>
      <c r="U42" s="48"/>
      <c r="V42" s="48"/>
      <c r="W42" s="48"/>
      <c r="X42" s="48"/>
      <c r="Y42" s="47"/>
      <c r="Z42" s="43"/>
      <c r="AA42" s="51"/>
      <c r="AB42" s="51"/>
      <c r="AC42" s="51"/>
      <c r="AD42" s="51"/>
      <c r="AE42" s="51"/>
      <c r="AF42" s="51"/>
    </row>
    <row r="43">
      <c r="A43" s="152">
        <v>2.0</v>
      </c>
      <c r="B43" s="153" t="s">
        <v>2059</v>
      </c>
      <c r="C43" s="47">
        <v>39.0</v>
      </c>
      <c r="D43" s="154">
        <v>10.0</v>
      </c>
      <c r="E43" s="154" t="s">
        <v>390</v>
      </c>
      <c r="F43" s="156" t="str">
        <f>HYPERLINK("https://dunia.tempo.co/read/1206885/iran-as-memanas-exxonmobil-evakuasi-staf-asing-dari-irak ","sumber")</f>
        <v>sumber</v>
      </c>
      <c r="G43" s="156" t="str">
        <f t="shared" si="1"/>
        <v>lokasi</v>
      </c>
      <c r="H43" s="153">
        <v>359.0</v>
      </c>
      <c r="I43" s="48"/>
      <c r="J43" s="154">
        <v>4.0</v>
      </c>
      <c r="K43" s="165"/>
      <c r="L43" s="48"/>
      <c r="M43" s="48"/>
      <c r="N43" s="48"/>
      <c r="O43" s="48"/>
      <c r="P43" s="48"/>
      <c r="Q43" s="48"/>
      <c r="R43" s="48"/>
      <c r="S43" s="165"/>
      <c r="T43" s="48"/>
      <c r="U43" s="48"/>
      <c r="V43" s="48"/>
      <c r="W43" s="48"/>
      <c r="X43" s="48"/>
      <c r="Y43" s="47"/>
      <c r="Z43" s="43"/>
      <c r="AA43" s="51"/>
      <c r="AB43" s="51"/>
      <c r="AC43" s="51"/>
      <c r="AD43" s="51"/>
      <c r="AE43" s="51"/>
      <c r="AF43" s="51"/>
    </row>
    <row r="44">
      <c r="A44" s="152">
        <v>2.0</v>
      </c>
      <c r="B44" s="153" t="s">
        <v>2060</v>
      </c>
      <c r="C44" s="47">
        <v>40.0</v>
      </c>
      <c r="D44" s="154">
        <v>6.0</v>
      </c>
      <c r="E44" s="154" t="s">
        <v>244</v>
      </c>
      <c r="F44" s="156" t="str">
        <f>HYPERLINK("https://internasional.kompas.com/read/2019/05/20/15574531/meski-militer-as-lebih-dominan-faktor-ini-jadi-keunggulan-iran ","sumber")</f>
        <v>sumber</v>
      </c>
      <c r="G44" s="156" t="str">
        <f t="shared" si="1"/>
        <v>lokasi</v>
      </c>
      <c r="H44" s="153">
        <v>337.0</v>
      </c>
      <c r="I44" s="48"/>
      <c r="J44" s="154">
        <v>4.0</v>
      </c>
      <c r="K44" s="165"/>
      <c r="L44" s="48"/>
      <c r="M44" s="48"/>
      <c r="N44" s="48"/>
      <c r="O44" s="48"/>
      <c r="P44" s="48"/>
      <c r="Q44" s="48"/>
      <c r="R44" s="48"/>
      <c r="S44" s="165"/>
      <c r="T44" s="48"/>
      <c r="U44" s="48"/>
      <c r="V44" s="48"/>
      <c r="W44" s="48"/>
      <c r="X44" s="48"/>
      <c r="Y44" s="47"/>
      <c r="Z44" s="43"/>
      <c r="AA44" s="51"/>
      <c r="AB44" s="51"/>
      <c r="AC44" s="51"/>
      <c r="AD44" s="51"/>
      <c r="AE44" s="51"/>
      <c r="AF44" s="51"/>
    </row>
    <row r="45">
      <c r="A45" s="158">
        <v>1.0</v>
      </c>
      <c r="B45" s="159" t="s">
        <v>2061</v>
      </c>
      <c r="C45" s="44">
        <v>41.0</v>
      </c>
      <c r="D45" s="160">
        <v>8.0</v>
      </c>
      <c r="E45" s="160" t="s">
        <v>2062</v>
      </c>
      <c r="F45" s="162" t="str">
        <f>HYPERLINK("https://www.suara.com/news/2019/05/25/051350/bom-meledak-di-masjid-2-warga-pakistan-tewas-dan-14-luka ","sumber")</f>
        <v>sumber</v>
      </c>
      <c r="G45" s="162" t="str">
        <f t="shared" si="1"/>
        <v>lokasi</v>
      </c>
      <c r="H45" s="159">
        <v>126.0</v>
      </c>
      <c r="I45" s="44">
        <v>1.0</v>
      </c>
      <c r="J45" s="160">
        <v>4.0</v>
      </c>
      <c r="K45" s="164" t="s">
        <v>2063</v>
      </c>
      <c r="L45" s="44">
        <v>0.0</v>
      </c>
      <c r="M45" s="44">
        <v>-1.0</v>
      </c>
      <c r="N45" s="166">
        <v>0.0</v>
      </c>
      <c r="O45" s="44">
        <v>0.0</v>
      </c>
      <c r="P45" s="44">
        <v>0.0</v>
      </c>
      <c r="Q45" s="44">
        <v>0.0</v>
      </c>
      <c r="R45" s="44">
        <v>0.0</v>
      </c>
      <c r="S45" s="175"/>
      <c r="T45" s="44">
        <v>0.0</v>
      </c>
      <c r="U45" s="44">
        <v>0.0</v>
      </c>
      <c r="V45" s="44">
        <v>1.0</v>
      </c>
      <c r="W45" s="45"/>
      <c r="X45" s="45"/>
      <c r="Y45" s="45"/>
      <c r="Z45" s="9"/>
      <c r="AA45" s="52"/>
      <c r="AB45" s="9"/>
      <c r="AC45" s="9"/>
      <c r="AD45" s="9"/>
      <c r="AE45" s="9"/>
      <c r="AF45" s="9"/>
    </row>
    <row r="46">
      <c r="A46" s="158">
        <v>1.0</v>
      </c>
      <c r="B46" s="159" t="s">
        <v>2064</v>
      </c>
      <c r="C46" s="44">
        <v>42.0</v>
      </c>
      <c r="D46" s="160">
        <v>2.0</v>
      </c>
      <c r="E46" s="160" t="s">
        <v>2065</v>
      </c>
      <c r="F46" s="162" t="str">
        <f>HYPERLINK("https://www.cnnindonesia.com/internasional/20190527190116-120-398853/irak-usul-jadi-penengah-perseteruan-as-dan-iran ","sumber")</f>
        <v>sumber</v>
      </c>
      <c r="G46" s="162" t="str">
        <f t="shared" si="1"/>
        <v>lokasi</v>
      </c>
      <c r="H46" s="159">
        <v>372.0</v>
      </c>
      <c r="I46" s="44">
        <v>1.0</v>
      </c>
      <c r="J46" s="160">
        <v>4.0</v>
      </c>
      <c r="K46" s="164" t="s">
        <v>2066</v>
      </c>
      <c r="L46" s="44">
        <v>0.0</v>
      </c>
      <c r="M46" s="44">
        <v>1.0</v>
      </c>
      <c r="N46" s="166">
        <v>0.0</v>
      </c>
      <c r="O46" s="44">
        <v>0.0</v>
      </c>
      <c r="P46" s="44">
        <v>0.0</v>
      </c>
      <c r="Q46" s="44">
        <v>0.0</v>
      </c>
      <c r="R46" s="44">
        <v>1.0</v>
      </c>
      <c r="S46" s="175"/>
      <c r="T46" s="44">
        <v>0.0</v>
      </c>
      <c r="U46" s="44">
        <v>0.0</v>
      </c>
      <c r="V46" s="44">
        <v>1.0</v>
      </c>
      <c r="W46" s="45"/>
      <c r="X46" s="45"/>
      <c r="Y46" s="45"/>
      <c r="Z46" s="9"/>
      <c r="AA46" s="52"/>
      <c r="AB46" s="9"/>
      <c r="AC46" s="9"/>
      <c r="AD46" s="9"/>
      <c r="AE46" s="9"/>
      <c r="AF46" s="9"/>
    </row>
    <row r="47">
      <c r="A47" s="152">
        <v>2.0</v>
      </c>
      <c r="B47" s="153" t="s">
        <v>2067</v>
      </c>
      <c r="C47" s="47">
        <v>43.0</v>
      </c>
      <c r="D47" s="154">
        <v>4.0</v>
      </c>
      <c r="E47" s="154" t="s">
        <v>259</v>
      </c>
      <c r="F47" s="156" t="str">
        <f>HYPERLINK("https://www.liputan6.com/global/read/3990423/balas-rudal-houthi-saudi-hantam-ibu-kota-yaman-yang-dikuasai-pemberontak ","sumber")</f>
        <v>sumber</v>
      </c>
      <c r="G47" s="156" t="str">
        <f t="shared" si="1"/>
        <v>lokasi</v>
      </c>
      <c r="H47" s="153">
        <v>437.0</v>
      </c>
      <c r="I47" s="48"/>
      <c r="J47" s="154">
        <v>4.0</v>
      </c>
      <c r="K47" s="165"/>
      <c r="L47" s="48"/>
      <c r="M47" s="48"/>
      <c r="N47" s="48"/>
      <c r="O47" s="48"/>
      <c r="P47" s="48"/>
      <c r="Q47" s="48"/>
      <c r="R47" s="48"/>
      <c r="S47" s="165"/>
      <c r="T47" s="48"/>
      <c r="U47" s="48"/>
      <c r="V47" s="48"/>
      <c r="W47" s="48"/>
      <c r="X47" s="48"/>
      <c r="Y47" s="47"/>
      <c r="Z47" s="43"/>
      <c r="AA47" s="51"/>
      <c r="AB47" s="51"/>
      <c r="AC47" s="51"/>
      <c r="AD47" s="51"/>
      <c r="AE47" s="51"/>
      <c r="AF47" s="51"/>
    </row>
    <row r="48">
      <c r="A48" s="152">
        <v>2.0</v>
      </c>
      <c r="B48" s="153" t="s">
        <v>1178</v>
      </c>
      <c r="C48" s="47">
        <v>44.0</v>
      </c>
      <c r="D48" s="154">
        <v>1.0</v>
      </c>
      <c r="E48" s="154" t="s">
        <v>414</v>
      </c>
      <c r="F48" s="156" t="str">
        <f>HYPERLINK("https://news.detik.com/kolom/d-4590828/menolak-mantan-isis ","sumber")</f>
        <v>sumber</v>
      </c>
      <c r="G48" s="156" t="str">
        <f t="shared" si="1"/>
        <v>lokasi</v>
      </c>
      <c r="H48" s="153">
        <v>1401.0</v>
      </c>
      <c r="I48" s="48"/>
      <c r="J48" s="154">
        <v>4.0</v>
      </c>
      <c r="K48" s="165"/>
      <c r="L48" s="48"/>
      <c r="M48" s="48"/>
      <c r="N48" s="48"/>
      <c r="O48" s="48"/>
      <c r="P48" s="48"/>
      <c r="Q48" s="48"/>
      <c r="R48" s="48"/>
      <c r="S48" s="165"/>
      <c r="T48" s="48"/>
      <c r="U48" s="48"/>
      <c r="V48" s="48"/>
      <c r="W48" s="48"/>
      <c r="X48" s="48"/>
      <c r="Y48" s="47"/>
      <c r="Z48" s="43"/>
      <c r="AA48" s="51"/>
      <c r="AB48" s="51"/>
      <c r="AC48" s="51"/>
      <c r="AD48" s="51"/>
      <c r="AE48" s="51"/>
      <c r="AF48" s="51"/>
    </row>
    <row r="49">
      <c r="A49" s="152">
        <v>2.0</v>
      </c>
      <c r="B49" s="153" t="s">
        <v>2068</v>
      </c>
      <c r="C49" s="47">
        <v>45.0</v>
      </c>
      <c r="D49" s="154">
        <v>5.0</v>
      </c>
      <c r="E49" s="154" t="s">
        <v>414</v>
      </c>
      <c r="F49" s="156" t="str">
        <f>HYPERLINK("https://tirto.id/obituari-muhammad-mursi-kuasa-singkat-tokoh-ikhwanul-muslimin-ecB2 ","sumber")</f>
        <v>sumber</v>
      </c>
      <c r="G49" s="156" t="str">
        <f t="shared" si="1"/>
        <v>lokasi</v>
      </c>
      <c r="H49" s="153">
        <v>1222.0</v>
      </c>
      <c r="I49" s="48"/>
      <c r="J49" s="154">
        <v>4.0</v>
      </c>
      <c r="K49" s="165"/>
      <c r="L49" s="48"/>
      <c r="M49" s="48"/>
      <c r="N49" s="48"/>
      <c r="O49" s="48"/>
      <c r="P49" s="48"/>
      <c r="Q49" s="48"/>
      <c r="R49" s="48"/>
      <c r="S49" s="165"/>
      <c r="T49" s="48"/>
      <c r="U49" s="48"/>
      <c r="V49" s="48"/>
      <c r="W49" s="48"/>
      <c r="X49" s="48"/>
      <c r="Y49" s="47"/>
      <c r="Z49" s="43"/>
      <c r="AA49" s="51"/>
      <c r="AB49" s="51"/>
      <c r="AC49" s="51"/>
      <c r="AD49" s="51"/>
      <c r="AE49" s="51"/>
      <c r="AF49" s="51"/>
    </row>
    <row r="50">
      <c r="A50" s="152">
        <v>2.0</v>
      </c>
      <c r="B50" s="153" t="s">
        <v>2069</v>
      </c>
      <c r="C50" s="47">
        <v>46.0</v>
      </c>
      <c r="D50" s="154">
        <v>7.0</v>
      </c>
      <c r="E50" s="154" t="s">
        <v>2070</v>
      </c>
      <c r="F50" s="156" t="str">
        <f>HYPERLINK("http://www.tribunnews.com/regional/2019/06/24/badai-terjang-8-wilayah-di-aceh-seorang-meninggal-belasan-bangunan-rusak ","sumber")</f>
        <v>sumber</v>
      </c>
      <c r="G50" s="156" t="str">
        <f t="shared" si="1"/>
        <v>lokasi</v>
      </c>
      <c r="H50" s="153">
        <v>202.0</v>
      </c>
      <c r="I50" s="48"/>
      <c r="J50" s="154">
        <v>4.0</v>
      </c>
      <c r="K50" s="165"/>
      <c r="L50" s="48"/>
      <c r="M50" s="48"/>
      <c r="N50" s="48"/>
      <c r="O50" s="48"/>
      <c r="P50" s="48"/>
      <c r="Q50" s="48"/>
      <c r="R50" s="48"/>
      <c r="S50" s="165"/>
      <c r="T50" s="48"/>
      <c r="U50" s="48"/>
      <c r="V50" s="48"/>
      <c r="W50" s="48"/>
      <c r="X50" s="48"/>
      <c r="Y50" s="47"/>
      <c r="Z50" s="43"/>
      <c r="AA50" s="51"/>
      <c r="AB50" s="51"/>
      <c r="AC50" s="51"/>
      <c r="AD50" s="51"/>
      <c r="AE50" s="51"/>
      <c r="AF50" s="51"/>
    </row>
    <row r="51">
      <c r="A51" s="152">
        <v>2.0</v>
      </c>
      <c r="B51" s="153" t="s">
        <v>2071</v>
      </c>
      <c r="C51" s="47">
        <v>47.0</v>
      </c>
      <c r="D51" s="154">
        <v>10.0</v>
      </c>
      <c r="E51" s="154" t="s">
        <v>616</v>
      </c>
      <c r="F51" s="156" t="str">
        <f>HYPERLINK("https://dunia.tempo.co/read/1218624/lebanon-tolak-tawaran-rp-85-triliun-dari-as-demi-bela-palestina ","sumber")</f>
        <v>sumber</v>
      </c>
      <c r="G51" s="156" t="str">
        <f t="shared" si="1"/>
        <v>lokasi</v>
      </c>
      <c r="H51" s="153">
        <v>267.0</v>
      </c>
      <c r="I51" s="48"/>
      <c r="J51" s="154">
        <v>4.0</v>
      </c>
      <c r="K51" s="165"/>
      <c r="L51" s="48"/>
      <c r="M51" s="48"/>
      <c r="N51" s="48"/>
      <c r="O51" s="48"/>
      <c r="P51" s="48"/>
      <c r="Q51" s="48"/>
      <c r="R51" s="48"/>
      <c r="S51" s="165"/>
      <c r="T51" s="48"/>
      <c r="U51" s="48"/>
      <c r="V51" s="48"/>
      <c r="W51" s="48"/>
      <c r="X51" s="48"/>
      <c r="Y51" s="47"/>
      <c r="Z51" s="43"/>
      <c r="AA51" s="51"/>
      <c r="AB51" s="51"/>
      <c r="AC51" s="51"/>
      <c r="AD51" s="51"/>
      <c r="AE51" s="51"/>
      <c r="AF51" s="51"/>
    </row>
    <row r="52">
      <c r="A52" s="152">
        <v>2.0</v>
      </c>
      <c r="B52" s="153" t="s">
        <v>2072</v>
      </c>
      <c r="C52" s="47">
        <v>48.0</v>
      </c>
      <c r="D52" s="154">
        <v>9.0</v>
      </c>
      <c r="E52" s="154" t="s">
        <v>273</v>
      </c>
      <c r="F52" s="156" t="str">
        <f>HYPERLINK("https://khazanah.republika.co.id/berita/dunia-islam/islam-digest/ptswji313/mengenal-tiga-masjid-bersejarah-di-jepang ","sumber")</f>
        <v>sumber</v>
      </c>
      <c r="G52" s="156" t="str">
        <f t="shared" si="1"/>
        <v>lokasi</v>
      </c>
      <c r="H52" s="153">
        <v>397.0</v>
      </c>
      <c r="I52" s="48"/>
      <c r="J52" s="154">
        <v>4.0</v>
      </c>
      <c r="K52" s="165"/>
      <c r="L52" s="48"/>
      <c r="M52" s="48"/>
      <c r="N52" s="48"/>
      <c r="O52" s="48"/>
      <c r="P52" s="48"/>
      <c r="Q52" s="48"/>
      <c r="R52" s="48"/>
      <c r="S52" s="165"/>
      <c r="T52" s="48"/>
      <c r="U52" s="48"/>
      <c r="V52" s="48"/>
      <c r="W52" s="48"/>
      <c r="X52" s="48"/>
      <c r="Y52" s="47"/>
      <c r="Z52" s="43"/>
      <c r="AA52" s="51"/>
      <c r="AB52" s="51"/>
      <c r="AC52" s="51"/>
      <c r="AD52" s="51"/>
      <c r="AE52" s="51"/>
      <c r="AF52" s="51"/>
    </row>
    <row r="53">
      <c r="A53" s="152">
        <v>2.0</v>
      </c>
      <c r="B53" s="153" t="s">
        <v>2073</v>
      </c>
      <c r="C53" s="47">
        <v>49.0</v>
      </c>
      <c r="D53" s="154">
        <v>5.0</v>
      </c>
      <c r="E53" s="155">
        <v>43472.0</v>
      </c>
      <c r="F53" s="156" t="str">
        <f>HYPERLINK("https://tirto.id/amerika-serikat-iran-terus-memanas-perang-hampir-pecah-ec7i ","sumber")</f>
        <v>sumber</v>
      </c>
      <c r="G53" s="156" t="str">
        <f t="shared" si="1"/>
        <v>lokasi</v>
      </c>
      <c r="H53" s="153">
        <v>1417.0</v>
      </c>
      <c r="I53" s="48"/>
      <c r="J53" s="154">
        <v>4.0</v>
      </c>
      <c r="K53" s="165"/>
      <c r="L53" s="48"/>
      <c r="M53" s="48"/>
      <c r="N53" s="48"/>
      <c r="O53" s="48"/>
      <c r="P53" s="48"/>
      <c r="Q53" s="48"/>
      <c r="R53" s="48"/>
      <c r="S53" s="165"/>
      <c r="T53" s="48"/>
      <c r="U53" s="48"/>
      <c r="V53" s="48"/>
      <c r="W53" s="48"/>
      <c r="X53" s="48"/>
      <c r="Y53" s="47"/>
      <c r="Z53" s="43"/>
      <c r="AA53" s="51"/>
      <c r="AB53" s="51"/>
      <c r="AC53" s="51"/>
      <c r="AD53" s="51"/>
      <c r="AE53" s="51"/>
      <c r="AF53" s="51"/>
    </row>
    <row r="54">
      <c r="A54" s="152">
        <v>2.0</v>
      </c>
      <c r="B54" s="153" t="s">
        <v>2074</v>
      </c>
      <c r="C54" s="47">
        <v>50.0</v>
      </c>
      <c r="D54" s="154">
        <v>3.0</v>
      </c>
      <c r="E54" s="155">
        <v>43623.0</v>
      </c>
      <c r="F54" s="156" t="str">
        <f>HYPERLINK("https://news.okezone.com/read/2019/07/06/65/2075543/dewan-riset-nasional-2019-2022-resmi-dikukuhkan-ini-susunannya ","sumber")</f>
        <v>sumber</v>
      </c>
      <c r="G54" s="156" t="str">
        <f t="shared" si="1"/>
        <v>lokasi</v>
      </c>
      <c r="H54" s="153">
        <v>868.0</v>
      </c>
      <c r="I54" s="48"/>
      <c r="J54" s="154">
        <v>4.0</v>
      </c>
      <c r="K54" s="165"/>
      <c r="L54" s="48"/>
      <c r="M54" s="48"/>
      <c r="N54" s="48"/>
      <c r="O54" s="48"/>
      <c r="P54" s="48"/>
      <c r="Q54" s="48"/>
      <c r="R54" s="48"/>
      <c r="S54" s="165"/>
      <c r="T54" s="48"/>
      <c r="U54" s="48"/>
      <c r="V54" s="48"/>
      <c r="W54" s="48"/>
      <c r="X54" s="48"/>
      <c r="Y54" s="47"/>
      <c r="Z54" s="43"/>
      <c r="AA54" s="51"/>
      <c r="AB54" s="51"/>
      <c r="AC54" s="51"/>
      <c r="AD54" s="51"/>
      <c r="AE54" s="51"/>
      <c r="AF54" s="51"/>
    </row>
    <row r="55">
      <c r="A55" s="152">
        <v>2.0</v>
      </c>
      <c r="B55" s="153" t="s">
        <v>2075</v>
      </c>
      <c r="C55" s="47">
        <v>51.0</v>
      </c>
      <c r="D55" s="154">
        <v>6.0</v>
      </c>
      <c r="E55" s="155">
        <v>43776.0</v>
      </c>
      <c r="F55" s="156" t="str">
        <f>HYPERLINK("https://internasional.kompas.com/read/2019/07/11/20110971/pemerintah-eswatini-larang-gelaran-kompetisi-sihir-dan-dukun ","sumber")</f>
        <v>sumber</v>
      </c>
      <c r="G55" s="156" t="str">
        <f t="shared" si="1"/>
        <v>lokasi</v>
      </c>
      <c r="H55" s="153">
        <v>298.0</v>
      </c>
      <c r="I55" s="48"/>
      <c r="J55" s="154">
        <v>4.0</v>
      </c>
      <c r="K55" s="165"/>
      <c r="L55" s="48"/>
      <c r="M55" s="48"/>
      <c r="N55" s="48"/>
      <c r="O55" s="48"/>
      <c r="P55" s="48"/>
      <c r="Q55" s="48"/>
      <c r="R55" s="48"/>
      <c r="S55" s="165"/>
      <c r="T55" s="48"/>
      <c r="U55" s="48"/>
      <c r="V55" s="48"/>
      <c r="W55" s="48"/>
      <c r="X55" s="48"/>
      <c r="Y55" s="47"/>
      <c r="Z55" s="43"/>
      <c r="AA55" s="51"/>
      <c r="AB55" s="51"/>
      <c r="AC55" s="51"/>
      <c r="AD55" s="51"/>
      <c r="AE55" s="51"/>
      <c r="AF55" s="51"/>
    </row>
    <row r="56">
      <c r="A56" s="158">
        <v>1.0</v>
      </c>
      <c r="B56" s="159" t="s">
        <v>2076</v>
      </c>
      <c r="C56" s="44">
        <v>52.0</v>
      </c>
      <c r="D56" s="160">
        <v>1.0</v>
      </c>
      <c r="E56" s="160" t="s">
        <v>295</v>
      </c>
      <c r="F56" s="162" t="str">
        <f>HYPERLINK("https://news.detik.com/internasional/d-4637918/bakar-masjid-di-melbourne-2-pendukung-isis-divonis-22-tahun-penjara ","sumber")</f>
        <v>sumber</v>
      </c>
      <c r="G56" s="162" t="str">
        <f t="shared" si="1"/>
        <v>lokasi</v>
      </c>
      <c r="H56" s="159">
        <v>308.0</v>
      </c>
      <c r="I56" s="44">
        <v>1.0</v>
      </c>
      <c r="J56" s="160">
        <v>4.0</v>
      </c>
      <c r="K56" s="164" t="s">
        <v>2077</v>
      </c>
      <c r="L56" s="44">
        <v>0.0</v>
      </c>
      <c r="M56" s="44">
        <v>-1.0</v>
      </c>
      <c r="N56" s="166">
        <v>0.0</v>
      </c>
      <c r="O56" s="44">
        <v>0.0</v>
      </c>
      <c r="P56" s="44">
        <v>0.0</v>
      </c>
      <c r="Q56" s="44">
        <v>0.0</v>
      </c>
      <c r="R56" s="44">
        <v>0.0</v>
      </c>
      <c r="S56" s="164"/>
      <c r="T56" s="44">
        <v>0.0</v>
      </c>
      <c r="U56" s="44">
        <v>0.0</v>
      </c>
      <c r="V56" s="44">
        <v>0.0</v>
      </c>
      <c r="W56" s="45"/>
      <c r="X56" s="45"/>
      <c r="Y56" s="45"/>
      <c r="Z56" s="9"/>
      <c r="AA56" s="52"/>
      <c r="AB56" s="9"/>
      <c r="AC56" s="9"/>
      <c r="AD56" s="9"/>
      <c r="AE56" s="9"/>
      <c r="AF56" s="9"/>
    </row>
    <row r="57">
      <c r="A57" s="158">
        <v>1.0</v>
      </c>
      <c r="B57" s="159" t="s">
        <v>2078</v>
      </c>
      <c r="C57" s="44">
        <v>53.0</v>
      </c>
      <c r="D57" s="160">
        <v>1.0</v>
      </c>
      <c r="E57" s="160" t="s">
        <v>871</v>
      </c>
      <c r="F57" s="162" t="str">
        <f>HYPERLINK("https://news.detik.com/berita/d-4638616/psi-apresiasi-jokowi-yang-terbitkan-aturan-pernikahan-penghayat-kepercayaan ","sumber")</f>
        <v>sumber</v>
      </c>
      <c r="G57" s="162" t="str">
        <f t="shared" si="1"/>
        <v>lokasi</v>
      </c>
      <c r="H57" s="159">
        <v>388.0</v>
      </c>
      <c r="I57" s="44">
        <v>3.0</v>
      </c>
      <c r="J57" s="160">
        <v>4.0</v>
      </c>
      <c r="K57" s="164" t="s">
        <v>2079</v>
      </c>
      <c r="L57" s="44">
        <v>0.0</v>
      </c>
      <c r="M57" s="44">
        <v>0.0</v>
      </c>
      <c r="N57" s="166">
        <v>0.0</v>
      </c>
      <c r="O57" s="44">
        <v>0.0</v>
      </c>
      <c r="P57" s="44">
        <v>0.0</v>
      </c>
      <c r="Q57" s="44">
        <v>0.0</v>
      </c>
      <c r="R57" s="44">
        <v>1.0</v>
      </c>
      <c r="S57" s="175"/>
      <c r="T57" s="44">
        <v>0.0</v>
      </c>
      <c r="U57" s="44">
        <v>0.0</v>
      </c>
      <c r="V57" s="44">
        <v>0.0</v>
      </c>
      <c r="W57" s="45"/>
      <c r="X57" s="45"/>
      <c r="Y57" s="45"/>
      <c r="Z57" s="9"/>
      <c r="AA57" s="52"/>
      <c r="AB57" s="9"/>
      <c r="AC57" s="9"/>
      <c r="AD57" s="9"/>
      <c r="AE57" s="9"/>
      <c r="AF57" s="9"/>
    </row>
    <row r="58">
      <c r="A58" s="158">
        <v>1.0</v>
      </c>
      <c r="B58" s="159" t="s">
        <v>2080</v>
      </c>
      <c r="C58" s="44">
        <v>54.0</v>
      </c>
      <c r="D58" s="160">
        <v>5.0</v>
      </c>
      <c r="E58" s="160" t="s">
        <v>871</v>
      </c>
      <c r="F58" s="162" t="str">
        <f>HYPERLINK("https://tirto.id/polri-pastikan-penghayat-kepercayaan-bisa-daftar-jadi-polisi-ee4c ","sumber")</f>
        <v>sumber</v>
      </c>
      <c r="G58" s="162" t="str">
        <f t="shared" si="1"/>
        <v>lokasi</v>
      </c>
      <c r="H58" s="159">
        <v>294.0</v>
      </c>
      <c r="I58" s="44">
        <v>4.0</v>
      </c>
      <c r="J58" s="160">
        <v>4.0</v>
      </c>
      <c r="K58" s="164" t="s">
        <v>2081</v>
      </c>
      <c r="L58" s="44">
        <v>0.0</v>
      </c>
      <c r="M58" s="44">
        <v>0.0</v>
      </c>
      <c r="N58" s="166">
        <v>0.0</v>
      </c>
      <c r="O58" s="44">
        <v>0.0</v>
      </c>
      <c r="P58" s="44">
        <v>0.0</v>
      </c>
      <c r="Q58" s="44">
        <v>0.0</v>
      </c>
      <c r="R58" s="44">
        <v>0.0</v>
      </c>
      <c r="S58" s="175"/>
      <c r="T58" s="44">
        <v>0.0</v>
      </c>
      <c r="U58" s="44">
        <v>0.0</v>
      </c>
      <c r="V58" s="44">
        <v>0.0</v>
      </c>
      <c r="W58" s="45"/>
      <c r="X58" s="45"/>
      <c r="Y58" s="45"/>
      <c r="Z58" s="9"/>
      <c r="AA58" s="52"/>
      <c r="AB58" s="9"/>
      <c r="AC58" s="9"/>
      <c r="AD58" s="9"/>
      <c r="AE58" s="9"/>
      <c r="AF58" s="9"/>
    </row>
    <row r="59">
      <c r="A59" s="158">
        <v>1.0</v>
      </c>
      <c r="B59" s="159" t="s">
        <v>1192</v>
      </c>
      <c r="C59" s="44">
        <v>55.0</v>
      </c>
      <c r="D59" s="160">
        <v>6.0</v>
      </c>
      <c r="E59" s="160" t="s">
        <v>2082</v>
      </c>
      <c r="F59" s="162" t="str">
        <f>HYPERLINK("https://regional.kompas.com/read/2019/07/26/16030541/saat-perbedaan-keyakinan-tak-halangi-warga-blitar-bantu-bangun-pura-yang ","sumber")</f>
        <v>sumber</v>
      </c>
      <c r="G59" s="162" t="str">
        <f t="shared" si="1"/>
        <v>lokasi</v>
      </c>
      <c r="H59" s="159">
        <v>349.0</v>
      </c>
      <c r="I59" s="44">
        <v>2.0</v>
      </c>
      <c r="J59" s="160">
        <v>4.0</v>
      </c>
      <c r="K59" s="164" t="s">
        <v>2083</v>
      </c>
      <c r="L59" s="44">
        <v>0.0</v>
      </c>
      <c r="M59" s="44">
        <v>0.0</v>
      </c>
      <c r="N59" s="166">
        <v>0.0</v>
      </c>
      <c r="O59" s="44">
        <v>0.0</v>
      </c>
      <c r="P59" s="44">
        <v>0.0</v>
      </c>
      <c r="Q59" s="44">
        <v>0.0</v>
      </c>
      <c r="R59" s="44">
        <v>1.0</v>
      </c>
      <c r="S59" s="175"/>
      <c r="T59" s="44">
        <v>0.0</v>
      </c>
      <c r="U59" s="44">
        <v>0.0</v>
      </c>
      <c r="V59" s="44">
        <v>0.0</v>
      </c>
      <c r="W59" s="45"/>
      <c r="X59" s="45"/>
      <c r="Y59" s="45"/>
      <c r="Z59" s="9"/>
      <c r="AA59" s="52"/>
      <c r="AB59" s="9"/>
      <c r="AC59" s="9"/>
      <c r="AD59" s="9"/>
      <c r="AE59" s="9"/>
      <c r="AF59" s="9"/>
    </row>
    <row r="60">
      <c r="A60" s="152">
        <v>2.0</v>
      </c>
      <c r="B60" s="153" t="s">
        <v>2084</v>
      </c>
      <c r="C60" s="47">
        <v>56.0</v>
      </c>
      <c r="D60" s="154">
        <v>10.0</v>
      </c>
      <c r="E60" s="154" t="s">
        <v>2082</v>
      </c>
      <c r="F60" s="156" t="str">
        <f>HYPERLINK("https://kolom.tempo.co/read/1228687/jokowimaruf-dan-faktor-ekonomi ","sumber")</f>
        <v>sumber</v>
      </c>
      <c r="G60" s="156" t="str">
        <f t="shared" si="1"/>
        <v>lokasi</v>
      </c>
      <c r="H60" s="153">
        <v>679.0</v>
      </c>
      <c r="I60" s="48"/>
      <c r="J60" s="154">
        <v>4.0</v>
      </c>
      <c r="K60" s="165"/>
      <c r="L60" s="48"/>
      <c r="M60" s="48"/>
      <c r="N60" s="48"/>
      <c r="O60" s="48"/>
      <c r="P60" s="48"/>
      <c r="Q60" s="48"/>
      <c r="R60" s="48"/>
      <c r="S60" s="165"/>
      <c r="T60" s="48"/>
      <c r="U60" s="48"/>
      <c r="V60" s="48"/>
      <c r="W60" s="48"/>
      <c r="X60" s="48"/>
      <c r="Y60" s="47"/>
      <c r="Z60" s="43"/>
      <c r="AA60" s="51"/>
      <c r="AB60" s="51"/>
      <c r="AC60" s="51"/>
      <c r="AD60" s="51"/>
      <c r="AE60" s="51"/>
      <c r="AF60" s="51"/>
    </row>
    <row r="61">
      <c r="A61" s="152">
        <v>2.0</v>
      </c>
      <c r="B61" s="153" t="s">
        <v>2085</v>
      </c>
      <c r="C61" s="47">
        <v>57.0</v>
      </c>
      <c r="D61" s="154">
        <v>1.0</v>
      </c>
      <c r="E61" s="155">
        <v>43654.0</v>
      </c>
      <c r="F61" s="156" t="str">
        <f>HYPERLINK("https://news.detik.com/berita/d-4655731/kepala-bnpb-kunjungi-gua-jejak-tsunami-aceh-7400-tahun-lalu ","sumber")</f>
        <v>sumber</v>
      </c>
      <c r="G61" s="156" t="str">
        <f t="shared" si="1"/>
        <v>lokasi</v>
      </c>
      <c r="H61" s="153">
        <v>404.0</v>
      </c>
      <c r="I61" s="48"/>
      <c r="J61" s="154">
        <v>4.0</v>
      </c>
      <c r="K61" s="165"/>
      <c r="L61" s="48"/>
      <c r="M61" s="48"/>
      <c r="N61" s="48"/>
      <c r="O61" s="48"/>
      <c r="P61" s="48"/>
      <c r="Q61" s="48"/>
      <c r="R61" s="48"/>
      <c r="S61" s="165"/>
      <c r="T61" s="48"/>
      <c r="U61" s="48"/>
      <c r="V61" s="48"/>
      <c r="W61" s="48"/>
      <c r="X61" s="48"/>
      <c r="Y61" s="47"/>
      <c r="Z61" s="43"/>
      <c r="AA61" s="51"/>
      <c r="AB61" s="51"/>
      <c r="AC61" s="51"/>
      <c r="AD61" s="51"/>
      <c r="AE61" s="51"/>
      <c r="AF61" s="51"/>
    </row>
    <row r="62">
      <c r="A62" s="158">
        <v>1.0</v>
      </c>
      <c r="B62" s="159" t="s">
        <v>2086</v>
      </c>
      <c r="C62" s="44">
        <v>58.0</v>
      </c>
      <c r="D62" s="160">
        <v>10.0</v>
      </c>
      <c r="E62" s="161">
        <v>43746.0</v>
      </c>
      <c r="F62" s="162" t="str">
        <f>HYPERLINK("https://sport.tempo.co/read/1234428/tinju-dunia-amnesty-internasional-kritisi-joshua-vs-ruiz-di-arab ","sumber")</f>
        <v>sumber</v>
      </c>
      <c r="G62" s="162" t="str">
        <f t="shared" si="1"/>
        <v>lokasi</v>
      </c>
      <c r="H62" s="159">
        <v>257.0</v>
      </c>
      <c r="I62" s="44">
        <v>1.0</v>
      </c>
      <c r="J62" s="160">
        <v>4.0</v>
      </c>
      <c r="K62" s="164" t="s">
        <v>2087</v>
      </c>
      <c r="L62" s="44">
        <v>0.0</v>
      </c>
      <c r="M62" s="44">
        <v>-1.0</v>
      </c>
      <c r="N62" s="166">
        <v>0.0</v>
      </c>
      <c r="O62" s="44">
        <v>0.0</v>
      </c>
      <c r="P62" s="44">
        <v>0.0</v>
      </c>
      <c r="Q62" s="44">
        <v>0.0</v>
      </c>
      <c r="R62" s="44">
        <v>1.0</v>
      </c>
      <c r="S62" s="175"/>
      <c r="T62" s="44">
        <v>0.0</v>
      </c>
      <c r="U62" s="44">
        <v>0.0</v>
      </c>
      <c r="V62" s="44">
        <v>1.0</v>
      </c>
      <c r="W62" s="45"/>
      <c r="X62" s="45"/>
      <c r="Y62" s="45"/>
      <c r="Z62" s="9"/>
      <c r="AA62" s="52"/>
      <c r="AB62" s="9"/>
      <c r="AC62" s="9"/>
      <c r="AD62" s="9"/>
      <c r="AE62" s="9"/>
      <c r="AF62" s="9"/>
    </row>
    <row r="63">
      <c r="A63" s="152">
        <v>2.0</v>
      </c>
      <c r="B63" s="153" t="s">
        <v>2088</v>
      </c>
      <c r="C63" s="47">
        <v>59.0</v>
      </c>
      <c r="D63" s="154">
        <v>5.0</v>
      </c>
      <c r="E63" s="155">
        <v>43777.0</v>
      </c>
      <c r="F63" s="156" t="str">
        <f>HYPERLINK("https://tirto.id/ke-mana-anak-anak-sisingamangaraja-xii-efWD ","sumber")</f>
        <v>sumber</v>
      </c>
      <c r="G63" s="156" t="str">
        <f t="shared" si="1"/>
        <v>lokasi</v>
      </c>
      <c r="H63" s="153">
        <v>959.0</v>
      </c>
      <c r="I63" s="48"/>
      <c r="J63" s="154">
        <v>4.0</v>
      </c>
      <c r="K63" s="165"/>
      <c r="L63" s="48"/>
      <c r="M63" s="48"/>
      <c r="N63" s="48"/>
      <c r="O63" s="48"/>
      <c r="P63" s="48"/>
      <c r="Q63" s="48"/>
      <c r="R63" s="48"/>
      <c r="S63" s="165"/>
      <c r="T63" s="48"/>
      <c r="U63" s="48"/>
      <c r="V63" s="48"/>
      <c r="W63" s="48"/>
      <c r="X63" s="48"/>
      <c r="Y63" s="47"/>
      <c r="Z63" s="43"/>
      <c r="AA63" s="51"/>
      <c r="AB63" s="51"/>
      <c r="AC63" s="51"/>
      <c r="AD63" s="51"/>
      <c r="AE63" s="51"/>
      <c r="AF63" s="51"/>
    </row>
    <row r="64">
      <c r="A64" s="158">
        <v>1.0</v>
      </c>
      <c r="B64" s="159" t="s">
        <v>2089</v>
      </c>
      <c r="C64" s="44">
        <v>60.0</v>
      </c>
      <c r="D64" s="160">
        <v>1.0</v>
      </c>
      <c r="E64" s="160" t="s">
        <v>2090</v>
      </c>
      <c r="F64" s="162" t="str">
        <f>HYPERLINK("https://news.detik.com/berita/d-4664028/setara-institute-temukan-produk-hukum-diskriminatif-di-jabar-diy ","sumber")</f>
        <v>sumber</v>
      </c>
      <c r="G64" s="162" t="str">
        <f t="shared" si="1"/>
        <v>lokasi</v>
      </c>
      <c r="H64" s="159">
        <v>410.0</v>
      </c>
      <c r="I64" s="44">
        <v>4.0</v>
      </c>
      <c r="J64" s="160">
        <v>4.0</v>
      </c>
      <c r="K64" s="164" t="s">
        <v>2091</v>
      </c>
      <c r="L64" s="44">
        <v>0.0</v>
      </c>
      <c r="M64" s="44">
        <v>0.0</v>
      </c>
      <c r="N64" s="166">
        <v>0.0</v>
      </c>
      <c r="O64" s="44">
        <v>0.0</v>
      </c>
      <c r="P64" s="44">
        <v>0.0</v>
      </c>
      <c r="Q64" s="44">
        <v>0.0</v>
      </c>
      <c r="R64" s="44">
        <v>1.0</v>
      </c>
      <c r="S64" s="175"/>
      <c r="T64" s="44">
        <v>0.0</v>
      </c>
      <c r="U64" s="44">
        <v>0.0</v>
      </c>
      <c r="V64" s="44">
        <v>1.0</v>
      </c>
      <c r="W64" s="45"/>
      <c r="X64" s="45"/>
      <c r="Y64" s="45"/>
      <c r="Z64" s="9"/>
      <c r="AA64" s="52"/>
      <c r="AB64" s="9"/>
      <c r="AC64" s="9"/>
      <c r="AD64" s="9"/>
      <c r="AE64" s="9"/>
      <c r="AF64" s="9"/>
    </row>
    <row r="65">
      <c r="A65" s="152">
        <v>2.0</v>
      </c>
      <c r="B65" s="153" t="s">
        <v>2092</v>
      </c>
      <c r="C65" s="47">
        <v>61.0</v>
      </c>
      <c r="D65" s="154">
        <v>1.0</v>
      </c>
      <c r="E65" s="154" t="s">
        <v>300</v>
      </c>
      <c r="F65" s="156" t="str">
        <f>HYPERLINK("https://news.detik.com/berita/d-4670951/kemenristek-dikti-bikin-klaster-perguruan-tinggi-itb-peringkat-pertama ","sumber")</f>
        <v>sumber</v>
      </c>
      <c r="G65" s="156" t="str">
        <f t="shared" si="1"/>
        <v>lokasi</v>
      </c>
      <c r="H65" s="153">
        <v>796.0</v>
      </c>
      <c r="I65" s="48"/>
      <c r="J65" s="154">
        <v>4.0</v>
      </c>
      <c r="K65" s="165"/>
      <c r="L65" s="48"/>
      <c r="M65" s="48"/>
      <c r="N65" s="48"/>
      <c r="O65" s="48"/>
      <c r="P65" s="48"/>
      <c r="Q65" s="48"/>
      <c r="R65" s="48"/>
      <c r="S65" s="165"/>
      <c r="T65" s="48"/>
      <c r="U65" s="48"/>
      <c r="V65" s="48"/>
      <c r="W65" s="48"/>
      <c r="X65" s="48"/>
      <c r="Y65" s="47"/>
      <c r="Z65" s="43"/>
      <c r="AA65" s="51"/>
      <c r="AB65" s="51"/>
      <c r="AC65" s="51"/>
      <c r="AD65" s="51"/>
      <c r="AE65" s="51"/>
      <c r="AF65" s="51"/>
    </row>
    <row r="66">
      <c r="A66" s="152">
        <v>2.0</v>
      </c>
      <c r="B66" s="153" t="s">
        <v>2093</v>
      </c>
      <c r="C66" s="47">
        <v>62.0</v>
      </c>
      <c r="D66" s="154">
        <v>3.0</v>
      </c>
      <c r="E66" s="154" t="s">
        <v>310</v>
      </c>
      <c r="F66" s="156" t="str">
        <f>HYPERLINK("https://news.okezone.com/read/2019/08/26/18/2096554/israel-klaim-gagalkan-serangan-drone-iran ","sumber")</f>
        <v>sumber</v>
      </c>
      <c r="G66" s="156" t="str">
        <f t="shared" si="1"/>
        <v>lokasi</v>
      </c>
      <c r="H66" s="153">
        <v>410.0</v>
      </c>
      <c r="I66" s="48"/>
      <c r="J66" s="154">
        <v>4.0</v>
      </c>
      <c r="K66" s="165"/>
      <c r="L66" s="48"/>
      <c r="M66" s="48"/>
      <c r="N66" s="48"/>
      <c r="O66" s="48"/>
      <c r="P66" s="48"/>
      <c r="Q66" s="48"/>
      <c r="R66" s="48"/>
      <c r="S66" s="165"/>
      <c r="T66" s="48"/>
      <c r="U66" s="48"/>
      <c r="V66" s="48"/>
      <c r="W66" s="48"/>
      <c r="X66" s="48"/>
      <c r="Y66" s="47"/>
      <c r="Z66" s="43"/>
      <c r="AA66" s="51"/>
      <c r="AB66" s="51"/>
      <c r="AC66" s="51"/>
      <c r="AD66" s="51"/>
      <c r="AE66" s="51"/>
      <c r="AF66" s="51"/>
    </row>
    <row r="67">
      <c r="A67" s="152">
        <v>2.0</v>
      </c>
      <c r="B67" s="153" t="s">
        <v>2094</v>
      </c>
      <c r="C67" s="47">
        <v>63.0</v>
      </c>
      <c r="D67" s="154">
        <v>3.0</v>
      </c>
      <c r="E67" s="154" t="s">
        <v>2095</v>
      </c>
      <c r="F67" s="156" t="str">
        <f>HYPERLINK("https://index.okezone.com/read/2019/08/31/618/2098986/doa-akhir-dan-awal-tahun-hijriah-baca-setelah-salat-ashar-dan-maghrib ","sumber")</f>
        <v>sumber</v>
      </c>
      <c r="G67" s="156" t="str">
        <f t="shared" si="1"/>
        <v>lokasi</v>
      </c>
      <c r="H67" s="153">
        <v>492.0</v>
      </c>
      <c r="I67" s="48"/>
      <c r="J67" s="154">
        <v>4.0</v>
      </c>
      <c r="K67" s="165"/>
      <c r="L67" s="48"/>
      <c r="M67" s="48"/>
      <c r="N67" s="48"/>
      <c r="O67" s="48"/>
      <c r="P67" s="48"/>
      <c r="Q67" s="48"/>
      <c r="R67" s="48"/>
      <c r="S67" s="165"/>
      <c r="T67" s="48"/>
      <c r="U67" s="48"/>
      <c r="V67" s="48"/>
      <c r="W67" s="48"/>
      <c r="X67" s="48"/>
      <c r="Y67" s="47"/>
      <c r="Z67" s="43"/>
      <c r="AA67" s="51"/>
      <c r="AB67" s="51"/>
      <c r="AC67" s="51"/>
      <c r="AD67" s="51"/>
      <c r="AE67" s="51"/>
      <c r="AF67" s="51"/>
    </row>
    <row r="68">
      <c r="A68" s="152">
        <v>2.0</v>
      </c>
      <c r="B68" s="153" t="s">
        <v>2096</v>
      </c>
      <c r="C68" s="47">
        <v>64.0</v>
      </c>
      <c r="D68" s="154">
        <v>1.0</v>
      </c>
      <c r="E68" s="155">
        <v>43474.0</v>
      </c>
      <c r="F68" s="156" t="str">
        <f>HYPERLINK("https://news.detik.com/berita/d-4689238/dosen-unsyiah-yang-dipolisikan-dekan-tak-pernah-mangkir-dari-pemeriksaan ","sumber")</f>
        <v>sumber</v>
      </c>
      <c r="G68" s="156" t="str">
        <f t="shared" si="1"/>
        <v>lokasi</v>
      </c>
      <c r="H68" s="153">
        <v>212.0</v>
      </c>
      <c r="I68" s="48"/>
      <c r="J68" s="154">
        <v>4.0</v>
      </c>
      <c r="K68" s="165"/>
      <c r="L68" s="48"/>
      <c r="M68" s="48"/>
      <c r="N68" s="48"/>
      <c r="O68" s="48"/>
      <c r="P68" s="48"/>
      <c r="Q68" s="48"/>
      <c r="R68" s="48"/>
      <c r="S68" s="165"/>
      <c r="T68" s="48"/>
      <c r="U68" s="48"/>
      <c r="V68" s="48"/>
      <c r="W68" s="48"/>
      <c r="X68" s="48"/>
      <c r="Y68" s="47"/>
      <c r="Z68" s="43"/>
      <c r="AA68" s="51"/>
      <c r="AB68" s="51"/>
      <c r="AC68" s="51"/>
      <c r="AD68" s="51"/>
      <c r="AE68" s="51"/>
      <c r="AF68" s="51"/>
    </row>
    <row r="69">
      <c r="A69" s="152">
        <v>2.0</v>
      </c>
      <c r="B69" s="153" t="s">
        <v>1207</v>
      </c>
      <c r="C69" s="47">
        <v>65.0</v>
      </c>
      <c r="D69" s="154">
        <v>7.0</v>
      </c>
      <c r="E69" s="155">
        <v>43474.0</v>
      </c>
      <c r="F69" s="156" t="str">
        <f>HYPERLINK("https://www.tribunnews.com/nasional/2019/09/01/pengamat-politik-dosen-universitas-syiah-kuala-jadi-tersangka-kasus-dugaan-pencemaran-nama-baik ","sumber")</f>
        <v>sumber</v>
      </c>
      <c r="G69" s="156" t="str">
        <f t="shared" si="1"/>
        <v>lokasi</v>
      </c>
      <c r="H69" s="153">
        <v>243.0</v>
      </c>
      <c r="I69" s="48"/>
      <c r="J69" s="154">
        <v>4.0</v>
      </c>
      <c r="K69" s="165"/>
      <c r="L69" s="48"/>
      <c r="M69" s="48"/>
      <c r="N69" s="48"/>
      <c r="O69" s="48"/>
      <c r="P69" s="48"/>
      <c r="Q69" s="48"/>
      <c r="R69" s="48"/>
      <c r="S69" s="165"/>
      <c r="T69" s="48"/>
      <c r="U69" s="48"/>
      <c r="V69" s="48"/>
      <c r="W69" s="48"/>
      <c r="X69" s="48"/>
      <c r="Y69" s="47"/>
      <c r="Z69" s="43"/>
      <c r="AA69" s="51"/>
      <c r="AB69" s="51"/>
      <c r="AC69" s="51"/>
      <c r="AD69" s="51"/>
      <c r="AE69" s="51"/>
      <c r="AF69" s="51"/>
    </row>
    <row r="70">
      <c r="A70" s="152">
        <v>2.0</v>
      </c>
      <c r="B70" s="153" t="s">
        <v>2097</v>
      </c>
      <c r="C70" s="47">
        <v>66.0</v>
      </c>
      <c r="D70" s="154">
        <v>6.0</v>
      </c>
      <c r="E70" s="155">
        <v>43505.0</v>
      </c>
      <c r="F70" s="156" t="str">
        <f>HYPERLINK("https://regional.kompas.com/read/2019/09/02/12011741/kritisi-penerimaan-dosen-seorang-pengajar-di-unsyiah-dilaporkan-ke-polisi ","sumber")</f>
        <v>sumber</v>
      </c>
      <c r="G70" s="156" t="str">
        <f t="shared" si="1"/>
        <v>lokasi</v>
      </c>
      <c r="H70" s="153">
        <v>221.0</v>
      </c>
      <c r="I70" s="48"/>
      <c r="J70" s="154">
        <v>4.0</v>
      </c>
      <c r="K70" s="165"/>
      <c r="L70" s="48"/>
      <c r="M70" s="48"/>
      <c r="N70" s="48"/>
      <c r="O70" s="48"/>
      <c r="P70" s="48"/>
      <c r="Q70" s="48"/>
      <c r="R70" s="48"/>
      <c r="S70" s="165"/>
      <c r="T70" s="48"/>
      <c r="U70" s="48"/>
      <c r="V70" s="48"/>
      <c r="W70" s="48"/>
      <c r="X70" s="48"/>
      <c r="Y70" s="47"/>
      <c r="Z70" s="43"/>
      <c r="AA70" s="51"/>
      <c r="AB70" s="51"/>
      <c r="AC70" s="51"/>
      <c r="AD70" s="51"/>
      <c r="AE70" s="51"/>
      <c r="AF70" s="51"/>
    </row>
    <row r="71">
      <c r="A71" s="152">
        <v>2.0</v>
      </c>
      <c r="B71" s="153" t="s">
        <v>2098</v>
      </c>
      <c r="C71" s="47">
        <v>67.0</v>
      </c>
      <c r="D71" s="154">
        <v>6.0</v>
      </c>
      <c r="E71" s="155">
        <v>43533.0</v>
      </c>
      <c r="F71" s="156" t="str">
        <f>HYPERLINK("https://regional.kompas.com/read/2019/09/03/14041831/fakta-dosen-jadi-tersangka-karena-kritisi-dekan-di-grup-whatsapp ","sumber")</f>
        <v>sumber</v>
      </c>
      <c r="G71" s="156" t="str">
        <f t="shared" si="1"/>
        <v>lokasi</v>
      </c>
      <c r="H71" s="153">
        <v>173.0</v>
      </c>
      <c r="I71" s="48"/>
      <c r="J71" s="154">
        <v>4.0</v>
      </c>
      <c r="K71" s="165"/>
      <c r="L71" s="48"/>
      <c r="M71" s="48"/>
      <c r="N71" s="48"/>
      <c r="O71" s="48"/>
      <c r="P71" s="48"/>
      <c r="Q71" s="48"/>
      <c r="R71" s="48"/>
      <c r="S71" s="165"/>
      <c r="T71" s="48"/>
      <c r="U71" s="48"/>
      <c r="V71" s="48"/>
      <c r="W71" s="48"/>
      <c r="X71" s="48"/>
      <c r="Y71" s="47"/>
      <c r="Z71" s="43"/>
      <c r="AA71" s="51"/>
      <c r="AB71" s="51"/>
      <c r="AC71" s="51"/>
      <c r="AD71" s="51"/>
      <c r="AE71" s="51"/>
      <c r="AF71" s="51"/>
    </row>
    <row r="72">
      <c r="A72" s="152">
        <v>2.0</v>
      </c>
      <c r="B72" s="153" t="s">
        <v>2099</v>
      </c>
      <c r="C72" s="47">
        <v>68.0</v>
      </c>
      <c r="D72" s="154">
        <v>8.0</v>
      </c>
      <c r="E72" s="155">
        <v>43564.0</v>
      </c>
      <c r="F72" s="156" t="str">
        <f>HYPERLINK("https://www.suara.com/news/2019/09/04/112953/fakta-al-quran-tertua-indonesia-tersimpan-di-ahmadiyah-islamiyah-thailand ","sumber")</f>
        <v>sumber</v>
      </c>
      <c r="G72" s="156" t="str">
        <f t="shared" si="1"/>
        <v>lokasi</v>
      </c>
      <c r="H72" s="153">
        <v>303.0</v>
      </c>
      <c r="I72" s="48"/>
      <c r="J72" s="154">
        <v>4.0</v>
      </c>
      <c r="K72" s="165"/>
      <c r="L72" s="48"/>
      <c r="M72" s="48"/>
      <c r="N72" s="48"/>
      <c r="O72" s="48"/>
      <c r="P72" s="48"/>
      <c r="Q72" s="48"/>
      <c r="R72" s="48"/>
      <c r="S72" s="165"/>
      <c r="T72" s="48"/>
      <c r="U72" s="48"/>
      <c r="V72" s="48"/>
      <c r="W72" s="48"/>
      <c r="X72" s="48"/>
      <c r="Y72" s="47"/>
      <c r="Z72" s="43"/>
      <c r="AA72" s="51"/>
      <c r="AB72" s="51"/>
      <c r="AC72" s="51"/>
      <c r="AD72" s="51"/>
      <c r="AE72" s="51"/>
      <c r="AF72" s="51"/>
    </row>
    <row r="73">
      <c r="A73" s="152">
        <v>2.0</v>
      </c>
      <c r="B73" s="153" t="s">
        <v>2100</v>
      </c>
      <c r="C73" s="47">
        <v>69.0</v>
      </c>
      <c r="D73" s="154">
        <v>3.0</v>
      </c>
      <c r="E73" s="155">
        <v>43497.0</v>
      </c>
      <c r="F73" s="156" t="str">
        <f>HYPERLINK("https://news.okezone.com/read/2019/01/02/512/1999168/pria-misterius-ditemukan-tewas-berlumuran-darah-dalam-mobil-di-sukoharjo ","sumber")</f>
        <v>sumber</v>
      </c>
      <c r="G73" s="156" t="str">
        <f t="shared" si="1"/>
        <v>lokasi</v>
      </c>
      <c r="H73" s="153">
        <v>219.0</v>
      </c>
      <c r="I73" s="48"/>
      <c r="J73" s="154">
        <v>2.0</v>
      </c>
      <c r="K73" s="165"/>
      <c r="L73" s="48"/>
      <c r="M73" s="48"/>
      <c r="N73" s="48"/>
      <c r="O73" s="48"/>
      <c r="P73" s="48"/>
      <c r="Q73" s="48"/>
      <c r="R73" s="48"/>
      <c r="S73" s="165"/>
      <c r="T73" s="48"/>
      <c r="U73" s="48"/>
      <c r="V73" s="48"/>
      <c r="W73" s="48"/>
      <c r="X73" s="48"/>
      <c r="Y73" s="47"/>
      <c r="Z73" s="43"/>
      <c r="AA73" s="51"/>
      <c r="AB73" s="51"/>
      <c r="AC73" s="51"/>
      <c r="AD73" s="51"/>
      <c r="AE73" s="51"/>
      <c r="AF73" s="51"/>
    </row>
    <row r="74">
      <c r="A74" s="158">
        <v>1.0</v>
      </c>
      <c r="B74" s="159" t="s">
        <v>2101</v>
      </c>
      <c r="C74" s="44">
        <v>70.0</v>
      </c>
      <c r="D74" s="160">
        <v>8.0</v>
      </c>
      <c r="E74" s="161">
        <v>43556.0</v>
      </c>
      <c r="F74" s="162" t="str">
        <f>HYPERLINK("https://www.suara.com/news/2019/01/04/142934/wanita-disabilitas-lemas-tanpa-busana-di-semak-semak-diperkosa-pak-guru ","sumber")</f>
        <v>sumber</v>
      </c>
      <c r="G74" s="162" t="str">
        <f t="shared" si="1"/>
        <v>lokasi</v>
      </c>
      <c r="H74" s="159">
        <v>168.0</v>
      </c>
      <c r="I74" s="44">
        <v>1.0</v>
      </c>
      <c r="J74" s="163">
        <v>1.0</v>
      </c>
      <c r="K74" s="164" t="s">
        <v>2102</v>
      </c>
      <c r="L74" s="44">
        <v>0.0</v>
      </c>
      <c r="M74" s="44">
        <v>-1.0</v>
      </c>
      <c r="N74" s="166">
        <v>0.0</v>
      </c>
      <c r="O74" s="44">
        <v>-1.0</v>
      </c>
      <c r="P74" s="44">
        <v>-1.0</v>
      </c>
      <c r="Q74" s="44">
        <v>0.0</v>
      </c>
      <c r="R74" s="44">
        <v>0.0</v>
      </c>
      <c r="S74" s="164" t="s">
        <v>2103</v>
      </c>
      <c r="T74" s="44">
        <v>3.0</v>
      </c>
      <c r="U74" s="44">
        <v>-1.0</v>
      </c>
      <c r="V74" s="44">
        <v>0.0</v>
      </c>
      <c r="W74" s="45"/>
      <c r="X74" s="45"/>
      <c r="Y74" s="45"/>
      <c r="Z74" s="9"/>
      <c r="AA74" s="52"/>
      <c r="AB74" s="9"/>
      <c r="AC74" s="9"/>
      <c r="AD74" s="9"/>
      <c r="AE74" s="9"/>
      <c r="AF74" s="9"/>
    </row>
    <row r="75">
      <c r="A75" s="158">
        <v>1.0</v>
      </c>
      <c r="B75" s="159" t="s">
        <v>2104</v>
      </c>
      <c r="C75" s="44">
        <v>71.0</v>
      </c>
      <c r="D75" s="160">
        <v>6.0</v>
      </c>
      <c r="E75" s="161">
        <v>43617.0</v>
      </c>
      <c r="F75" s="162" t="str">
        <f>HYPERLINK("https://regional.kompas.com/read/2019/01/06/18090241/wanita-penganiaya-bayi-yang-ditemukan-di-tempat-sampah-diduga-alami-gangguan ","sumber")</f>
        <v>sumber</v>
      </c>
      <c r="G75" s="162" t="str">
        <f t="shared" si="1"/>
        <v>lokasi</v>
      </c>
      <c r="H75" s="159">
        <v>230.0</v>
      </c>
      <c r="I75" s="44">
        <v>1.0</v>
      </c>
      <c r="J75" s="160">
        <v>2.0</v>
      </c>
      <c r="K75" s="164" t="s">
        <v>2105</v>
      </c>
      <c r="L75" s="44">
        <v>0.0</v>
      </c>
      <c r="M75" s="44">
        <v>-1.0</v>
      </c>
      <c r="N75" s="166">
        <v>0.0</v>
      </c>
      <c r="O75" s="44">
        <v>0.0</v>
      </c>
      <c r="P75" s="44">
        <v>0.0</v>
      </c>
      <c r="Q75" s="44">
        <v>0.0</v>
      </c>
      <c r="R75" s="44">
        <v>0.0</v>
      </c>
      <c r="S75" s="164" t="s">
        <v>2106</v>
      </c>
      <c r="T75" s="44">
        <v>1.0</v>
      </c>
      <c r="U75" s="44">
        <v>0.0</v>
      </c>
      <c r="V75" s="44">
        <v>0.0</v>
      </c>
      <c r="W75" s="45"/>
      <c r="X75" s="45"/>
      <c r="Y75" s="45"/>
      <c r="Z75" s="9"/>
      <c r="AA75" s="52"/>
      <c r="AB75" s="9"/>
      <c r="AC75" s="9"/>
      <c r="AD75" s="9"/>
      <c r="AE75" s="9"/>
      <c r="AF75" s="9"/>
    </row>
    <row r="76">
      <c r="A76" s="176">
        <v>1.0</v>
      </c>
      <c r="B76" s="177" t="s">
        <v>2107</v>
      </c>
      <c r="C76" s="178">
        <v>72.0</v>
      </c>
      <c r="D76" s="179">
        <v>8.0</v>
      </c>
      <c r="E76" s="179" t="s">
        <v>708</v>
      </c>
      <c r="F76" s="180" t="str">
        <f>HYPERLINK("https://www.suara.com/news/2019/01/27/153338/perkosa-perempuan-difabel-guru-honerer-ini-berakhir-dibui","sumber")</f>
        <v>sumber</v>
      </c>
      <c r="G76" s="180" t="str">
        <f t="shared" si="1"/>
        <v>lokasi</v>
      </c>
      <c r="H76" s="177">
        <v>218.0</v>
      </c>
      <c r="I76" s="178">
        <v>1.0</v>
      </c>
      <c r="J76" s="179">
        <v>2.0</v>
      </c>
      <c r="K76" s="181" t="s">
        <v>2108</v>
      </c>
      <c r="L76" s="178">
        <v>0.0</v>
      </c>
      <c r="M76" s="178">
        <v>-1.0</v>
      </c>
      <c r="N76" s="182">
        <v>0.0</v>
      </c>
      <c r="O76" s="178">
        <v>1.0</v>
      </c>
      <c r="P76" s="178">
        <v>-1.0</v>
      </c>
      <c r="Q76" s="178">
        <v>0.0</v>
      </c>
      <c r="R76" s="178">
        <v>0.0</v>
      </c>
      <c r="S76" s="183"/>
      <c r="T76" s="178">
        <v>0.0</v>
      </c>
      <c r="U76" s="178">
        <v>-1.0</v>
      </c>
      <c r="V76" s="178">
        <v>0.0</v>
      </c>
      <c r="W76" s="184"/>
      <c r="X76" s="184"/>
      <c r="Y76" s="178"/>
      <c r="Z76" s="185"/>
      <c r="AA76" s="185"/>
      <c r="AB76" s="186"/>
      <c r="AC76" s="186"/>
      <c r="AD76" s="186"/>
      <c r="AE76" s="186"/>
      <c r="AF76" s="186"/>
    </row>
    <row r="77">
      <c r="A77" s="152">
        <v>2.0</v>
      </c>
      <c r="B77" s="153" t="s">
        <v>2109</v>
      </c>
      <c r="C77" s="47">
        <v>73.0</v>
      </c>
      <c r="D77" s="154">
        <v>2.0</v>
      </c>
      <c r="E77" s="155">
        <v>43678.0</v>
      </c>
      <c r="F77" s="156" t="str">
        <f>HYPERLINK("https://www.cnnindonesia.com/nasional/20190108143646-32-359288/timses-jokowi-visi-misi-prabowo-sandi-seperti-tong-kosong ","sumber")</f>
        <v>sumber</v>
      </c>
      <c r="G77" s="156" t="str">
        <f t="shared" si="1"/>
        <v>lokasi</v>
      </c>
      <c r="H77" s="153">
        <v>539.0</v>
      </c>
      <c r="I77" s="48"/>
      <c r="J77" s="154">
        <v>2.0</v>
      </c>
      <c r="K77" s="165"/>
      <c r="L77" s="48"/>
      <c r="M77" s="48"/>
      <c r="N77" s="48"/>
      <c r="O77" s="48"/>
      <c r="P77" s="48"/>
      <c r="Q77" s="48"/>
      <c r="R77" s="48"/>
      <c r="S77" s="165"/>
      <c r="T77" s="48"/>
      <c r="U77" s="48"/>
      <c r="V77" s="48"/>
      <c r="W77" s="48"/>
      <c r="X77" s="48"/>
      <c r="Y77" s="47"/>
      <c r="Z77" s="43"/>
      <c r="AA77" s="51"/>
      <c r="AB77" s="51"/>
      <c r="AC77" s="51"/>
      <c r="AD77" s="51"/>
      <c r="AE77" s="51"/>
      <c r="AF77" s="51"/>
    </row>
    <row r="78">
      <c r="A78" s="176">
        <v>1.0</v>
      </c>
      <c r="B78" s="177" t="s">
        <v>2110</v>
      </c>
      <c r="C78" s="178">
        <v>74.0</v>
      </c>
      <c r="D78" s="179">
        <v>1.0</v>
      </c>
      <c r="E78" s="179" t="s">
        <v>2111</v>
      </c>
      <c r="F78" s="180" t="str">
        <f>HYPERLINK("https://news.detik.com/berita/d-4395568/balita-di-aceh-tinggal-serumah-dengan-ayah-yang-gangguan-jiwa","sumber")</f>
        <v>sumber</v>
      </c>
      <c r="G78" s="180" t="str">
        <f t="shared" si="1"/>
        <v>lokasi</v>
      </c>
      <c r="H78" s="177">
        <v>350.0</v>
      </c>
      <c r="I78" s="178">
        <v>1.0</v>
      </c>
      <c r="J78" s="179">
        <v>2.0</v>
      </c>
      <c r="K78" s="181" t="s">
        <v>2112</v>
      </c>
      <c r="L78" s="178">
        <v>0.0</v>
      </c>
      <c r="M78" s="178">
        <v>1.0</v>
      </c>
      <c r="N78" s="182">
        <v>0.0</v>
      </c>
      <c r="O78" s="178">
        <v>0.0</v>
      </c>
      <c r="P78" s="178">
        <v>-1.0</v>
      </c>
      <c r="Q78" s="178" t="s">
        <v>61</v>
      </c>
      <c r="R78" s="178" t="s">
        <v>61</v>
      </c>
      <c r="S78" s="183"/>
      <c r="T78" s="178">
        <v>0.0</v>
      </c>
      <c r="U78" s="178">
        <v>-1.0</v>
      </c>
      <c r="V78" s="178">
        <v>0.0</v>
      </c>
      <c r="W78" s="184"/>
      <c r="X78" s="184"/>
      <c r="Y78" s="178"/>
      <c r="Z78" s="185"/>
      <c r="AA78" s="185"/>
      <c r="AB78" s="186"/>
      <c r="AC78" s="186"/>
      <c r="AD78" s="186"/>
      <c r="AE78" s="186"/>
      <c r="AF78" s="186"/>
    </row>
    <row r="79">
      <c r="A79" s="158">
        <v>1.0</v>
      </c>
      <c r="B79" s="159" t="s">
        <v>2113</v>
      </c>
      <c r="C79" s="44">
        <v>75.0</v>
      </c>
      <c r="D79" s="160">
        <v>3.0</v>
      </c>
      <c r="E79" s="161">
        <v>43800.0</v>
      </c>
      <c r="F79" s="162" t="str">
        <f>HYPERLINK("https://lifestyle.okezone.com/read/2019/01/12/196/2003514/5-artis-ini-pernah-alami-dipaksa-bekerja-di-dunia-hiburan-bintang-atau-pekerja-cilik ","sumber")</f>
        <v>sumber</v>
      </c>
      <c r="G79" s="162" t="str">
        <f t="shared" si="1"/>
        <v>lokasi</v>
      </c>
      <c r="H79" s="159">
        <v>357.0</v>
      </c>
      <c r="I79" s="44">
        <v>2.0</v>
      </c>
      <c r="J79" s="163">
        <v>1.0</v>
      </c>
      <c r="K79" s="164"/>
      <c r="L79" s="44">
        <v>-1.0</v>
      </c>
      <c r="M79" s="44">
        <v>0.0</v>
      </c>
      <c r="N79" s="166">
        <v>0.0</v>
      </c>
      <c r="O79" s="44">
        <v>0.0</v>
      </c>
      <c r="P79" s="44">
        <v>0.0</v>
      </c>
      <c r="Q79" s="44"/>
      <c r="R79" s="44"/>
      <c r="S79" s="175"/>
      <c r="T79" s="44">
        <v>0.0</v>
      </c>
      <c r="U79" s="44">
        <v>0.0</v>
      </c>
      <c r="V79" s="44">
        <v>0.0</v>
      </c>
      <c r="W79" s="45"/>
      <c r="X79" s="45"/>
      <c r="Y79" s="45"/>
      <c r="Z79" s="9"/>
      <c r="AA79" s="52"/>
      <c r="AB79" s="9"/>
      <c r="AC79" s="9"/>
      <c r="AD79" s="9"/>
      <c r="AE79" s="9"/>
      <c r="AF79" s="9"/>
    </row>
    <row r="80">
      <c r="A80" s="158">
        <v>1.0</v>
      </c>
      <c r="B80" s="159" t="s">
        <v>2114</v>
      </c>
      <c r="C80" s="44">
        <v>76.0</v>
      </c>
      <c r="D80" s="160">
        <v>7.0</v>
      </c>
      <c r="E80" s="161">
        <v>43800.0</v>
      </c>
      <c r="F80" s="162" t="str">
        <f>HYPERLINK("http://www.tribunnews.com/sport/2019/01/12/sri-sugiyanti-gagal-raih-emas-lantaran-kurang-berlatih ","sumber")</f>
        <v>sumber</v>
      </c>
      <c r="G80" s="162" t="str">
        <f t="shared" si="1"/>
        <v>lokasi</v>
      </c>
      <c r="H80" s="159">
        <v>260.0</v>
      </c>
      <c r="I80" s="44">
        <v>3.0</v>
      </c>
      <c r="J80" s="160">
        <v>2.0</v>
      </c>
      <c r="K80" s="164" t="s">
        <v>2115</v>
      </c>
      <c r="L80" s="44">
        <v>0.0</v>
      </c>
      <c r="M80" s="44">
        <v>0.0</v>
      </c>
      <c r="N80" s="166">
        <v>0.0</v>
      </c>
      <c r="O80" s="44">
        <v>0.0</v>
      </c>
      <c r="P80" s="44">
        <v>0.0</v>
      </c>
      <c r="Q80" s="44" t="s">
        <v>191</v>
      </c>
      <c r="R80" s="44" t="s">
        <v>192</v>
      </c>
      <c r="S80" s="175"/>
      <c r="T80" s="44">
        <v>0.0</v>
      </c>
      <c r="U80" s="44">
        <v>0.0</v>
      </c>
      <c r="V80" s="44">
        <v>0.0</v>
      </c>
      <c r="W80" s="45"/>
      <c r="X80" s="45"/>
      <c r="Y80" s="45"/>
      <c r="Z80" s="9"/>
      <c r="AA80" s="52"/>
      <c r="AB80" s="9"/>
      <c r="AC80" s="9"/>
      <c r="AD80" s="9"/>
      <c r="AE80" s="9"/>
      <c r="AF80" s="9"/>
    </row>
    <row r="81">
      <c r="A81" s="158">
        <v>1.0</v>
      </c>
      <c r="B81" s="159" t="s">
        <v>2116</v>
      </c>
      <c r="C81" s="44">
        <v>77.0</v>
      </c>
      <c r="D81" s="160">
        <v>8.0</v>
      </c>
      <c r="E81" s="160" t="s">
        <v>689</v>
      </c>
      <c r="F81" s="162" t="str">
        <f>HYPERLINK("https://www.suara.com/news/2019/01/14/184627/prabowo-ancam-mundur-dari-pilpres-2019-kpu-itu-pernyataan-politik ","sumber")</f>
        <v>sumber</v>
      </c>
      <c r="G81" s="162" t="str">
        <f t="shared" si="1"/>
        <v>lokasi</v>
      </c>
      <c r="H81" s="159">
        <v>348.0</v>
      </c>
      <c r="I81" s="44">
        <v>1.0</v>
      </c>
      <c r="J81" s="160">
        <v>2.0</v>
      </c>
      <c r="K81" s="164" t="s">
        <v>2117</v>
      </c>
      <c r="L81" s="44">
        <v>0.0</v>
      </c>
      <c r="M81" s="44">
        <v>1.0</v>
      </c>
      <c r="N81" s="166">
        <v>0.0</v>
      </c>
      <c r="O81" s="44">
        <v>0.0</v>
      </c>
      <c r="P81" s="44">
        <v>0.0</v>
      </c>
      <c r="Q81" s="44">
        <v>0.0</v>
      </c>
      <c r="R81" s="44">
        <v>-1.0</v>
      </c>
      <c r="S81" s="175"/>
      <c r="T81" s="44">
        <v>0.0</v>
      </c>
      <c r="U81" s="44">
        <v>0.0</v>
      </c>
      <c r="V81" s="44">
        <v>0.0</v>
      </c>
      <c r="W81" s="45"/>
      <c r="X81" s="45"/>
      <c r="Y81" s="45"/>
      <c r="Z81" s="9"/>
      <c r="AA81" s="52"/>
      <c r="AB81" s="9"/>
      <c r="AC81" s="9"/>
      <c r="AD81" s="9"/>
      <c r="AE81" s="9"/>
      <c r="AF81" s="9"/>
    </row>
    <row r="82">
      <c r="A82" s="152">
        <v>2.0</v>
      </c>
      <c r="B82" s="153" t="s">
        <v>2118</v>
      </c>
      <c r="C82" s="47">
        <v>78.0</v>
      </c>
      <c r="D82" s="154">
        <v>10.0</v>
      </c>
      <c r="E82" s="154" t="s">
        <v>702</v>
      </c>
      <c r="F82" s="156" t="str">
        <f>HYPERLINK("https://bisnis.tempo.co/read/1166666/sandiaga-saya-terenyuh-melihat-petani-demak-buang-cabai-ke-jalan ","sumber")</f>
        <v>sumber</v>
      </c>
      <c r="G82" s="156" t="str">
        <f t="shared" si="1"/>
        <v>lokasi</v>
      </c>
      <c r="H82" s="153">
        <v>249.0</v>
      </c>
      <c r="I82" s="48"/>
      <c r="J82" s="154">
        <v>2.0</v>
      </c>
      <c r="K82" s="165"/>
      <c r="L82" s="48"/>
      <c r="M82" s="48"/>
      <c r="N82" s="48"/>
      <c r="O82" s="48"/>
      <c r="P82" s="48"/>
      <c r="Q82" s="48"/>
      <c r="R82" s="48"/>
      <c r="S82" s="165"/>
      <c r="T82" s="48"/>
      <c r="U82" s="48"/>
      <c r="V82" s="48"/>
      <c r="W82" s="48"/>
      <c r="X82" s="48"/>
      <c r="Y82" s="47"/>
      <c r="Z82" s="43"/>
      <c r="AA82" s="43"/>
      <c r="AB82" s="51"/>
      <c r="AC82" s="51"/>
      <c r="AD82" s="51"/>
      <c r="AE82" s="51"/>
      <c r="AF82" s="51"/>
    </row>
    <row r="83">
      <c r="A83" s="167">
        <v>1.0</v>
      </c>
      <c r="B83" s="168" t="s">
        <v>2119</v>
      </c>
      <c r="C83" s="55">
        <v>79.0</v>
      </c>
      <c r="D83" s="169">
        <v>2.0</v>
      </c>
      <c r="E83" s="169" t="s">
        <v>449</v>
      </c>
      <c r="F83" s="171" t="str">
        <f>HYPERLINK("https://www.cnnindonesia.com/nasional/20190113162842-32-360472/gk-pengusaha-deklarasi-dukungan-untuk-jokowi-maruf","sumber")</f>
        <v>sumber</v>
      </c>
      <c r="G83" s="171" t="str">
        <f t="shared" si="1"/>
        <v>lokasi</v>
      </c>
      <c r="H83" s="168">
        <v>519.0</v>
      </c>
      <c r="I83" s="55">
        <v>4.0</v>
      </c>
      <c r="J83" s="169">
        <v>2.0</v>
      </c>
      <c r="K83" s="172" t="s">
        <v>2120</v>
      </c>
      <c r="L83" s="55">
        <v>0.0</v>
      </c>
      <c r="M83" s="55">
        <v>0.0</v>
      </c>
      <c r="N83" s="173">
        <v>0.0</v>
      </c>
      <c r="O83" s="55">
        <v>0.0</v>
      </c>
      <c r="P83" s="55">
        <v>0.0</v>
      </c>
      <c r="Q83" s="55" t="s">
        <v>1689</v>
      </c>
      <c r="R83" s="55" t="s">
        <v>138</v>
      </c>
      <c r="S83" s="174"/>
      <c r="T83" s="55">
        <v>0.0</v>
      </c>
      <c r="U83" s="55">
        <v>0.0</v>
      </c>
      <c r="V83" s="55">
        <v>1.0</v>
      </c>
      <c r="W83" s="46"/>
      <c r="X83" s="46"/>
      <c r="Y83" s="55"/>
      <c r="Z83" s="30"/>
      <c r="AA83" s="30"/>
      <c r="AB83" s="31"/>
      <c r="AC83" s="31"/>
      <c r="AD83" s="31"/>
      <c r="AE83" s="31"/>
      <c r="AF83" s="31"/>
    </row>
    <row r="84">
      <c r="A84" s="167">
        <v>1.0</v>
      </c>
      <c r="B84" s="168" t="s">
        <v>2121</v>
      </c>
      <c r="C84" s="55">
        <v>80.0</v>
      </c>
      <c r="D84" s="169">
        <v>6.0</v>
      </c>
      <c r="E84" s="169" t="s">
        <v>702</v>
      </c>
      <c r="F84" s="171" t="str">
        <f>HYPERLINK("https://regional.kompas.com/read/2019/01/19/11183911/harapan-terwujud-bocah-dinda-yang-lumpuh-layu-sejak-kecil-bisa-sekolah","sumber")</f>
        <v>sumber</v>
      </c>
      <c r="G84" s="171" t="str">
        <f t="shared" si="1"/>
        <v>lokasi</v>
      </c>
      <c r="H84" s="168">
        <v>294.0</v>
      </c>
      <c r="I84" s="55">
        <v>2.0</v>
      </c>
      <c r="J84" s="169">
        <v>2.0</v>
      </c>
      <c r="K84" s="172" t="s">
        <v>2122</v>
      </c>
      <c r="L84" s="55">
        <v>0.0</v>
      </c>
      <c r="M84" s="55">
        <v>0.0</v>
      </c>
      <c r="N84" s="173">
        <v>0.0</v>
      </c>
      <c r="O84" s="55">
        <v>0.0</v>
      </c>
      <c r="P84" s="55">
        <v>0.0</v>
      </c>
      <c r="Q84" s="55" t="s">
        <v>61</v>
      </c>
      <c r="R84" s="55" t="s">
        <v>100</v>
      </c>
      <c r="S84" s="174"/>
      <c r="T84" s="55">
        <v>0.0</v>
      </c>
      <c r="U84" s="55">
        <v>0.0</v>
      </c>
      <c r="V84" s="55">
        <v>0.0</v>
      </c>
      <c r="W84" s="46"/>
      <c r="X84" s="46"/>
      <c r="Y84" s="55"/>
      <c r="Z84" s="30"/>
      <c r="AA84" s="30"/>
      <c r="AB84" s="31"/>
      <c r="AC84" s="31"/>
      <c r="AD84" s="31"/>
      <c r="AE84" s="31"/>
      <c r="AF84" s="31"/>
    </row>
    <row r="85">
      <c r="A85" s="152">
        <v>2.0</v>
      </c>
      <c r="B85" s="153" t="s">
        <v>2123</v>
      </c>
      <c r="C85" s="47">
        <v>81.0</v>
      </c>
      <c r="D85" s="154">
        <v>8.0</v>
      </c>
      <c r="E85" s="154" t="s">
        <v>87</v>
      </c>
      <c r="F85" s="156" t="str">
        <f>HYPERLINK("https://www.suara.com/news/2019/01/26/183000/sudirman-said-tabloid-indonesia-barokah-disebar-sistematis ","sumber")</f>
        <v>sumber</v>
      </c>
      <c r="G85" s="156" t="str">
        <f t="shared" si="1"/>
        <v>lokasi</v>
      </c>
      <c r="H85" s="153">
        <v>209.0</v>
      </c>
      <c r="I85" s="48"/>
      <c r="J85" s="154">
        <v>2.0</v>
      </c>
      <c r="K85" s="165"/>
      <c r="L85" s="48"/>
      <c r="M85" s="48"/>
      <c r="N85" s="48"/>
      <c r="O85" s="48"/>
      <c r="P85" s="48"/>
      <c r="Q85" s="48"/>
      <c r="R85" s="48"/>
      <c r="S85" s="165"/>
      <c r="T85" s="48"/>
      <c r="U85" s="48"/>
      <c r="V85" s="48"/>
      <c r="W85" s="48"/>
      <c r="X85" s="48"/>
      <c r="Y85" s="47"/>
      <c r="Z85" s="43"/>
      <c r="AA85" s="43"/>
      <c r="AB85" s="51"/>
      <c r="AC85" s="51"/>
      <c r="AD85" s="51"/>
      <c r="AE85" s="51"/>
      <c r="AF85" s="51"/>
    </row>
    <row r="86">
      <c r="A86" s="158">
        <v>1.0</v>
      </c>
      <c r="B86" s="159" t="s">
        <v>2124</v>
      </c>
      <c r="C86" s="44">
        <v>82.0</v>
      </c>
      <c r="D86" s="160">
        <v>1.0</v>
      </c>
      <c r="E86" s="160" t="s">
        <v>98</v>
      </c>
      <c r="F86" s="162" t="str">
        <f>HYPERLINK("https://news.detik.com/berita/d-4409540/kepada-mahasiswa-hnw-tegaskan-rakyat-perlu-diingatkan-pemilu ","sumber")</f>
        <v>sumber</v>
      </c>
      <c r="G86" s="162" t="str">
        <f t="shared" si="1"/>
        <v>lokasi</v>
      </c>
      <c r="H86" s="159">
        <v>376.0</v>
      </c>
      <c r="I86" s="44">
        <v>3.0</v>
      </c>
      <c r="J86" s="160">
        <v>2.0</v>
      </c>
      <c r="K86" s="164" t="s">
        <v>2125</v>
      </c>
      <c r="L86" s="44">
        <v>0.0</v>
      </c>
      <c r="M86" s="44">
        <v>0.0</v>
      </c>
      <c r="N86" s="166">
        <v>0.0</v>
      </c>
      <c r="O86" s="44">
        <v>0.0</v>
      </c>
      <c r="P86" s="44">
        <v>0.0</v>
      </c>
      <c r="Q86" s="44" t="s">
        <v>61</v>
      </c>
      <c r="R86" s="44" t="s">
        <v>61</v>
      </c>
      <c r="S86" s="164" t="s">
        <v>2126</v>
      </c>
      <c r="T86" s="44">
        <v>1.0</v>
      </c>
      <c r="U86" s="44">
        <v>0.0</v>
      </c>
      <c r="V86" s="44">
        <v>0.0</v>
      </c>
      <c r="W86" s="45"/>
      <c r="X86" s="45"/>
      <c r="Y86" s="45"/>
      <c r="Z86" s="9"/>
      <c r="AA86" s="52"/>
      <c r="AB86" s="9"/>
      <c r="AC86" s="9"/>
      <c r="AD86" s="9"/>
      <c r="AE86" s="9"/>
      <c r="AF86" s="9"/>
    </row>
    <row r="87">
      <c r="A87" s="176">
        <v>1.0</v>
      </c>
      <c r="B87" s="177" t="s">
        <v>2127</v>
      </c>
      <c r="C87" s="178">
        <v>83.0</v>
      </c>
      <c r="D87" s="179">
        <v>6.0</v>
      </c>
      <c r="E87" s="179" t="s">
        <v>683</v>
      </c>
      <c r="F87" s="180" t="str">
        <f>HYPERLINK("https://internasional.kompas.com/read/2019/01/24/14365571/perawat-di-as-yang-hamili-pasien-vegetatif-ditangkap","sumber")</f>
        <v>sumber</v>
      </c>
      <c r="G87" s="180" t="str">
        <f t="shared" si="1"/>
        <v>lokasi</v>
      </c>
      <c r="H87" s="177">
        <v>311.0</v>
      </c>
      <c r="I87" s="178">
        <v>1.0</v>
      </c>
      <c r="J87" s="179">
        <v>2.0</v>
      </c>
      <c r="K87" s="181" t="s">
        <v>2128</v>
      </c>
      <c r="L87" s="178">
        <v>0.0</v>
      </c>
      <c r="M87" s="178">
        <v>1.0</v>
      </c>
      <c r="N87" s="178">
        <v>-1.0</v>
      </c>
      <c r="O87" s="178">
        <v>1.0</v>
      </c>
      <c r="P87" s="178">
        <v>0.0</v>
      </c>
      <c r="Q87" s="178" t="s">
        <v>53</v>
      </c>
      <c r="R87" s="178" t="s">
        <v>138</v>
      </c>
      <c r="S87" s="183"/>
      <c r="T87" s="178">
        <v>0.0</v>
      </c>
      <c r="U87" s="178">
        <v>0.0</v>
      </c>
      <c r="V87" s="178">
        <v>0.0</v>
      </c>
      <c r="W87" s="184"/>
      <c r="X87" s="184"/>
      <c r="Y87" s="178"/>
      <c r="Z87" s="185"/>
      <c r="AA87" s="185"/>
      <c r="AB87" s="186"/>
      <c r="AC87" s="186"/>
      <c r="AD87" s="186"/>
      <c r="AE87" s="186"/>
      <c r="AF87" s="186"/>
    </row>
    <row r="88">
      <c r="A88" s="189">
        <v>1.0</v>
      </c>
      <c r="B88" s="190" t="s">
        <v>2129</v>
      </c>
      <c r="C88" s="55">
        <v>84.0</v>
      </c>
      <c r="D88" s="169">
        <v>6.0</v>
      </c>
      <c r="E88" s="170">
        <v>43710.0</v>
      </c>
      <c r="F88" s="171" t="str">
        <f>HYPERLINK("https://megapolitan.kompas.com/read/2019/02/09/15080101/pemprov-dki-wajibkan-pengembang-sertakan-desain-fasilitas-khusus ","sumber")</f>
        <v>sumber</v>
      </c>
      <c r="G88" s="171" t="str">
        <f t="shared" si="1"/>
        <v>lokasi</v>
      </c>
      <c r="H88" s="168">
        <v>320.0</v>
      </c>
      <c r="I88" s="55">
        <v>4.0</v>
      </c>
      <c r="J88" s="169">
        <v>2.0</v>
      </c>
      <c r="K88" s="172" t="s">
        <v>2130</v>
      </c>
      <c r="L88" s="55">
        <v>0.0</v>
      </c>
      <c r="M88" s="55">
        <v>0.0</v>
      </c>
      <c r="N88" s="173">
        <v>0.0</v>
      </c>
      <c r="O88" s="55">
        <v>0.0</v>
      </c>
      <c r="P88" s="55">
        <v>0.0</v>
      </c>
      <c r="Q88" s="55">
        <v>0.0</v>
      </c>
      <c r="R88" s="55">
        <v>1.0</v>
      </c>
      <c r="S88" s="174"/>
      <c r="T88" s="55">
        <v>0.0</v>
      </c>
      <c r="U88" s="55">
        <v>0.0</v>
      </c>
      <c r="V88" s="55">
        <v>1.0</v>
      </c>
      <c r="W88" s="46"/>
      <c r="X88" s="46"/>
      <c r="Y88" s="55"/>
      <c r="Z88" s="30"/>
      <c r="AA88" s="30"/>
      <c r="AB88" s="31"/>
      <c r="AC88" s="31"/>
      <c r="AD88" s="31"/>
      <c r="AE88" s="31"/>
      <c r="AF88" s="31"/>
    </row>
    <row r="89">
      <c r="A89" s="158">
        <v>1.0</v>
      </c>
      <c r="B89" s="159" t="s">
        <v>2131</v>
      </c>
      <c r="C89" s="44">
        <v>85.0</v>
      </c>
      <c r="D89" s="160">
        <v>1.0</v>
      </c>
      <c r="E89" s="161">
        <v>43771.0</v>
      </c>
      <c r="F89" s="162" t="str">
        <f>HYPERLINK("https://health.detik.com/true-story/d-4423217/remaja-ini-buat-sendiri-tangan-bioniknya-pakai-mainan-lego ","sumber")</f>
        <v>sumber</v>
      </c>
      <c r="G89" s="162" t="str">
        <f t="shared" si="1"/>
        <v>lokasi</v>
      </c>
      <c r="H89" s="159">
        <v>211.0</v>
      </c>
      <c r="I89" s="44">
        <v>2.0</v>
      </c>
      <c r="J89" s="160">
        <v>2.0</v>
      </c>
      <c r="K89" s="164" t="s">
        <v>2132</v>
      </c>
      <c r="L89" s="44">
        <v>0.0</v>
      </c>
      <c r="M89" s="44">
        <v>0.0</v>
      </c>
      <c r="N89" s="166">
        <v>0.0</v>
      </c>
      <c r="O89" s="44">
        <v>0.0</v>
      </c>
      <c r="P89" s="44">
        <v>0.0</v>
      </c>
      <c r="Q89" s="44">
        <v>2.0</v>
      </c>
      <c r="R89" s="44">
        <v>1.0</v>
      </c>
      <c r="S89" s="175"/>
      <c r="T89" s="44">
        <v>0.0</v>
      </c>
      <c r="U89" s="44">
        <v>0.0</v>
      </c>
      <c r="V89" s="44">
        <v>0.0</v>
      </c>
      <c r="W89" s="45"/>
      <c r="X89" s="45"/>
      <c r="Y89" s="45"/>
      <c r="Z89" s="9"/>
      <c r="AA89" s="52"/>
      <c r="AB89" s="9"/>
      <c r="AC89" s="9"/>
      <c r="AD89" s="9"/>
      <c r="AE89" s="9"/>
      <c r="AF89" s="9"/>
    </row>
    <row r="90">
      <c r="A90" s="158">
        <v>1.0</v>
      </c>
      <c r="B90" s="159" t="s">
        <v>2133</v>
      </c>
      <c r="C90" s="44">
        <v>86.0</v>
      </c>
      <c r="D90" s="160">
        <v>1.0</v>
      </c>
      <c r="E90" s="161">
        <v>43801.0</v>
      </c>
      <c r="F90" s="162" t="str">
        <f>HYPERLINK("https://news.detik.com/berita-jawa-barat/d-4425345/ridwan-kamil-sangkal-niat-busuk-kubu-sebelah-sejak-2014 ","sumber")</f>
        <v>sumber</v>
      </c>
      <c r="G90" s="162" t="str">
        <f t="shared" si="1"/>
        <v>lokasi</v>
      </c>
      <c r="H90" s="159">
        <v>252.0</v>
      </c>
      <c r="I90" s="44">
        <v>5.0</v>
      </c>
      <c r="J90" s="160">
        <v>4.0</v>
      </c>
      <c r="K90" s="164" t="s">
        <v>2134</v>
      </c>
      <c r="L90" s="44">
        <v>0.0</v>
      </c>
      <c r="M90" s="44">
        <v>0.0</v>
      </c>
      <c r="N90" s="166">
        <v>0.0</v>
      </c>
      <c r="O90" s="44">
        <v>0.0</v>
      </c>
      <c r="P90" s="44">
        <v>0.0</v>
      </c>
      <c r="Q90" s="44">
        <v>0.0</v>
      </c>
      <c r="R90" s="44">
        <v>0.0</v>
      </c>
      <c r="S90" s="175"/>
      <c r="T90" s="44">
        <v>0.0</v>
      </c>
      <c r="U90" s="44">
        <v>0.0</v>
      </c>
      <c r="V90" s="44">
        <v>0.0</v>
      </c>
      <c r="W90" s="45"/>
      <c r="X90" s="45"/>
      <c r="Y90" s="45"/>
      <c r="Z90" s="9"/>
      <c r="AA90" s="52"/>
      <c r="AB90" s="9"/>
      <c r="AC90" s="9"/>
      <c r="AD90" s="9"/>
      <c r="AE90" s="9"/>
      <c r="AF90" s="9"/>
    </row>
    <row r="91">
      <c r="A91" s="158">
        <v>1.0</v>
      </c>
      <c r="B91" s="159" t="s">
        <v>2135</v>
      </c>
      <c r="C91" s="44">
        <v>87.0</v>
      </c>
      <c r="D91" s="160">
        <v>10.0</v>
      </c>
      <c r="E91" s="161">
        <v>43801.0</v>
      </c>
      <c r="F91" s="162" t="str">
        <f>HYPERLINK("https://dunia.tempo.co/read/1174885/perbudakan-seks-jepang-protes-kaisar-akihito-disuruh-minta-maaf ","sumber")</f>
        <v>sumber</v>
      </c>
      <c r="G91" s="162" t="str">
        <f t="shared" si="1"/>
        <v>lokasi</v>
      </c>
      <c r="H91" s="159">
        <v>417.0</v>
      </c>
      <c r="I91" s="44">
        <v>1.0</v>
      </c>
      <c r="J91" s="160">
        <v>1.0</v>
      </c>
      <c r="K91" s="164" t="s">
        <v>2136</v>
      </c>
      <c r="L91" s="44">
        <v>0.0</v>
      </c>
      <c r="M91" s="44">
        <v>1.0</v>
      </c>
      <c r="N91" s="166">
        <v>0.0</v>
      </c>
      <c r="O91" s="44">
        <v>0.0</v>
      </c>
      <c r="P91" s="44">
        <v>0.0</v>
      </c>
      <c r="Q91" s="44" t="s">
        <v>53</v>
      </c>
      <c r="R91" s="44" t="s">
        <v>53</v>
      </c>
      <c r="S91" s="175"/>
      <c r="T91" s="44">
        <v>0.0</v>
      </c>
      <c r="U91" s="44">
        <v>0.0</v>
      </c>
      <c r="V91" s="44">
        <v>1.0</v>
      </c>
      <c r="W91" s="45"/>
      <c r="X91" s="45"/>
      <c r="Y91" s="45"/>
      <c r="Z91" s="9"/>
      <c r="AA91" s="52"/>
      <c r="AB91" s="9"/>
      <c r="AC91" s="9"/>
      <c r="AD91" s="9"/>
      <c r="AE91" s="9"/>
      <c r="AF91" s="9"/>
    </row>
    <row r="92">
      <c r="A92" s="158">
        <v>1.0</v>
      </c>
      <c r="B92" s="159" t="s">
        <v>2137</v>
      </c>
      <c r="C92" s="44">
        <v>88.0</v>
      </c>
      <c r="D92" s="160">
        <v>1.0</v>
      </c>
      <c r="E92" s="160" t="s">
        <v>1998</v>
      </c>
      <c r="F92" s="162" t="str">
        <f>HYPERLINK("https://news.detik.com/berita-jawa-barat/d-4430327/pembunuh-pria-yang-salat-di-masjid-alami-gangguan-jiwa ","sumber")</f>
        <v>sumber</v>
      </c>
      <c r="G92" s="162" t="str">
        <f t="shared" si="1"/>
        <v>lokasi</v>
      </c>
      <c r="H92" s="159">
        <v>216.0</v>
      </c>
      <c r="I92" s="44">
        <v>1.0</v>
      </c>
      <c r="J92" s="160">
        <v>2.0</v>
      </c>
      <c r="K92" s="164" t="s">
        <v>2138</v>
      </c>
      <c r="L92" s="44">
        <v>0.0</v>
      </c>
      <c r="M92" s="44">
        <v>-1.0</v>
      </c>
      <c r="N92" s="166">
        <v>0.0</v>
      </c>
      <c r="O92" s="44">
        <v>0.0</v>
      </c>
      <c r="P92" s="44">
        <v>0.0</v>
      </c>
      <c r="Q92" s="44">
        <v>0.0</v>
      </c>
      <c r="R92" s="44">
        <v>0.0</v>
      </c>
      <c r="S92" s="164" t="s">
        <v>2106</v>
      </c>
      <c r="T92" s="44">
        <v>1.0</v>
      </c>
      <c r="U92" s="44">
        <v>0.0</v>
      </c>
      <c r="V92" s="44">
        <v>0.0</v>
      </c>
      <c r="W92" s="45"/>
      <c r="X92" s="45"/>
      <c r="Y92" s="45"/>
      <c r="Z92" s="9"/>
      <c r="AA92" s="52"/>
      <c r="AB92" s="9"/>
      <c r="AC92" s="9"/>
      <c r="AD92" s="9"/>
      <c r="AE92" s="9"/>
      <c r="AF92" s="9"/>
    </row>
    <row r="93">
      <c r="A93" s="158">
        <v>1.0</v>
      </c>
      <c r="B93" s="159" t="s">
        <v>2139</v>
      </c>
      <c r="C93" s="44">
        <v>89.0</v>
      </c>
      <c r="D93" s="160">
        <v>10.0</v>
      </c>
      <c r="E93" s="160" t="s">
        <v>721</v>
      </c>
      <c r="F93" s="162" t="str">
        <f>HYPERLINK("https://pemilu.tempo.co/read/1176803/relawan-demokrasi-sosialisasi-pemilu-ke-pasar-pasar-tradisional ","sumber")</f>
        <v>sumber</v>
      </c>
      <c r="G93" s="162" t="str">
        <f t="shared" si="1"/>
        <v>lokasi</v>
      </c>
      <c r="H93" s="159">
        <v>333.0</v>
      </c>
      <c r="I93" s="44">
        <v>3.0</v>
      </c>
      <c r="J93" s="160">
        <v>2.0</v>
      </c>
      <c r="K93" s="164" t="s">
        <v>2140</v>
      </c>
      <c r="L93" s="44">
        <v>0.0</v>
      </c>
      <c r="M93" s="44">
        <v>0.0</v>
      </c>
      <c r="N93" s="166">
        <v>0.0</v>
      </c>
      <c r="O93" s="44">
        <v>0.0</v>
      </c>
      <c r="P93" s="44">
        <v>0.0</v>
      </c>
      <c r="Q93" s="44">
        <v>0.0</v>
      </c>
      <c r="R93" s="44">
        <v>1.0</v>
      </c>
      <c r="S93" s="175"/>
      <c r="T93" s="44">
        <v>0.0</v>
      </c>
      <c r="U93" s="44">
        <v>0.0</v>
      </c>
      <c r="V93" s="44">
        <v>1.0</v>
      </c>
      <c r="W93" s="45"/>
      <c r="X93" s="45"/>
      <c r="Y93" s="45"/>
      <c r="Z93" s="9"/>
      <c r="AA93" s="52"/>
      <c r="AB93" s="9"/>
      <c r="AC93" s="9"/>
      <c r="AD93" s="9"/>
      <c r="AE93" s="9"/>
      <c r="AF93" s="9"/>
    </row>
    <row r="94">
      <c r="A94" s="167">
        <v>1.0</v>
      </c>
      <c r="B94" s="168" t="s">
        <v>2141</v>
      </c>
      <c r="C94" s="55">
        <v>90.0</v>
      </c>
      <c r="D94" s="169">
        <v>8.0</v>
      </c>
      <c r="E94" s="169" t="s">
        <v>108</v>
      </c>
      <c r="F94" s="171" t="str">
        <f>HYPERLINK("https://www.suara.com/health/2019/02/13/154332/idap-sindrom-tetra-amelia-bayi-ini-lahir-tanpa-tangan-dan-kaki ","sumber")</f>
        <v>sumber</v>
      </c>
      <c r="G94" s="171" t="str">
        <f t="shared" si="1"/>
        <v>lokasi</v>
      </c>
      <c r="H94" s="168">
        <v>259.0</v>
      </c>
      <c r="I94" s="55">
        <v>2.0</v>
      </c>
      <c r="J94" s="169">
        <v>2.0</v>
      </c>
      <c r="K94" s="172" t="s">
        <v>2142</v>
      </c>
      <c r="L94" s="55">
        <v>0.0</v>
      </c>
      <c r="M94" s="55">
        <v>0.0</v>
      </c>
      <c r="N94" s="173">
        <v>0.0</v>
      </c>
      <c r="O94" s="55">
        <v>0.0</v>
      </c>
      <c r="P94" s="55">
        <v>0.0</v>
      </c>
      <c r="Q94" s="55">
        <v>0.0</v>
      </c>
      <c r="R94" s="55">
        <v>1.0</v>
      </c>
      <c r="S94" s="174"/>
      <c r="T94" s="55">
        <v>0.0</v>
      </c>
      <c r="U94" s="55">
        <v>0.0</v>
      </c>
      <c r="V94" s="55">
        <v>0.0</v>
      </c>
      <c r="W94" s="46"/>
      <c r="X94" s="46"/>
      <c r="Y94" s="55"/>
      <c r="Z94" s="30"/>
      <c r="AA94" s="30"/>
      <c r="AB94" s="31"/>
      <c r="AC94" s="31"/>
      <c r="AD94" s="31"/>
      <c r="AE94" s="31"/>
      <c r="AF94" s="31"/>
    </row>
    <row r="95">
      <c r="A95" s="152">
        <v>2.0</v>
      </c>
      <c r="B95" s="153" t="s">
        <v>1249</v>
      </c>
      <c r="C95" s="47">
        <v>91.0</v>
      </c>
      <c r="D95" s="154">
        <v>7.0</v>
      </c>
      <c r="E95" s="154" t="s">
        <v>489</v>
      </c>
      <c r="F95" s="156" t="str">
        <f>HYPERLINK("http://www.tribunnews.com/superskor/2019/02/20/liverpool-vs-bayern-muenchen-leg-pertama-berakhir-0-0 ","sumber")</f>
        <v>sumber</v>
      </c>
      <c r="G95" s="156" t="str">
        <f t="shared" si="1"/>
        <v>lokasi</v>
      </c>
      <c r="H95" s="153">
        <v>154.0</v>
      </c>
      <c r="I95" s="48"/>
      <c r="J95" s="154">
        <v>2.0</v>
      </c>
      <c r="K95" s="165"/>
      <c r="L95" s="48"/>
      <c r="M95" s="48"/>
      <c r="N95" s="48"/>
      <c r="O95" s="48"/>
      <c r="P95" s="48"/>
      <c r="Q95" s="48"/>
      <c r="R95" s="48"/>
      <c r="S95" s="165"/>
      <c r="T95" s="48"/>
      <c r="U95" s="48"/>
      <c r="V95" s="48"/>
      <c r="W95" s="48"/>
      <c r="X95" s="48"/>
      <c r="Y95" s="47"/>
      <c r="Z95" s="43"/>
      <c r="AA95" s="51"/>
      <c r="AB95" s="51"/>
      <c r="AC95" s="51"/>
      <c r="AD95" s="51"/>
      <c r="AE95" s="51"/>
      <c r="AF95" s="51"/>
    </row>
    <row r="96">
      <c r="A96" s="158">
        <v>1.0</v>
      </c>
      <c r="B96" s="159" t="s">
        <v>2143</v>
      </c>
      <c r="C96" s="44">
        <v>92.0</v>
      </c>
      <c r="D96" s="160">
        <v>8.0</v>
      </c>
      <c r="E96" s="160" t="s">
        <v>354</v>
      </c>
      <c r="F96" s="162" t="str">
        <f>HYPERLINK("https://www.suara.com/health/2019/02/21/143942/jika-cemas-lelaki-di-korea-ini-telan-batu-kerikil-sampai-koin ","sumber")</f>
        <v>sumber</v>
      </c>
      <c r="G96" s="162" t="str">
        <f t="shared" si="1"/>
        <v>lokasi</v>
      </c>
      <c r="H96" s="159">
        <v>265.0</v>
      </c>
      <c r="I96" s="44">
        <v>2.0</v>
      </c>
      <c r="J96" s="160">
        <v>2.0</v>
      </c>
      <c r="K96" s="164" t="s">
        <v>2144</v>
      </c>
      <c r="L96" s="44">
        <v>0.0</v>
      </c>
      <c r="M96" s="44">
        <v>0.0</v>
      </c>
      <c r="N96" s="166">
        <v>0.0</v>
      </c>
      <c r="O96" s="44">
        <v>0.0</v>
      </c>
      <c r="P96" s="44">
        <v>0.0</v>
      </c>
      <c r="Q96" s="44">
        <v>0.0</v>
      </c>
      <c r="R96" s="44">
        <v>0.0</v>
      </c>
      <c r="S96" s="164" t="s">
        <v>2145</v>
      </c>
      <c r="T96" s="44">
        <v>1.0</v>
      </c>
      <c r="U96" s="44">
        <v>0.0</v>
      </c>
      <c r="V96" s="44">
        <v>0.0</v>
      </c>
      <c r="W96" s="45"/>
      <c r="X96" s="45"/>
      <c r="Y96" s="45"/>
      <c r="Z96" s="9"/>
      <c r="AA96" s="52"/>
      <c r="AB96" s="9"/>
      <c r="AC96" s="9"/>
      <c r="AD96" s="9"/>
      <c r="AE96" s="9"/>
      <c r="AF96" s="9"/>
    </row>
    <row r="97">
      <c r="A97" s="158">
        <v>1.0</v>
      </c>
      <c r="B97" s="159" t="s">
        <v>2146</v>
      </c>
      <c r="C97" s="44">
        <v>93.0</v>
      </c>
      <c r="D97" s="160">
        <v>7.0</v>
      </c>
      <c r="E97" s="160" t="s">
        <v>354</v>
      </c>
      <c r="F97" s="162" t="str">
        <f>HYPERLINK("http://www.tribunnews.com/seleb/2019/02/21/tantang-raffi-ahmad-jadi-orang-gila-baim-wong-kerjai-badut-pengamen-sampai-bersimpuh-di-kakinya ","sumber")</f>
        <v>sumber</v>
      </c>
      <c r="G97" s="162" t="str">
        <f t="shared" si="1"/>
        <v>lokasi</v>
      </c>
      <c r="H97" s="159">
        <v>163.0</v>
      </c>
      <c r="I97" s="44">
        <v>2.0</v>
      </c>
      <c r="J97" s="160">
        <v>2.0</v>
      </c>
      <c r="K97" s="191" t="s">
        <v>2147</v>
      </c>
      <c r="L97" s="44">
        <v>0.0</v>
      </c>
      <c r="M97" s="44">
        <v>0.0</v>
      </c>
      <c r="N97" s="166">
        <v>0.0</v>
      </c>
      <c r="O97" s="44">
        <v>0.0</v>
      </c>
      <c r="P97" s="44">
        <v>0.0</v>
      </c>
      <c r="Q97" s="44">
        <v>0.0</v>
      </c>
      <c r="R97" s="44">
        <v>0.0</v>
      </c>
      <c r="S97" s="164" t="s">
        <v>2148</v>
      </c>
      <c r="T97" s="44">
        <v>1.0</v>
      </c>
      <c r="U97" s="44">
        <v>0.0</v>
      </c>
      <c r="V97" s="44">
        <v>0.0</v>
      </c>
      <c r="W97" s="45"/>
      <c r="X97" s="45"/>
      <c r="Y97" s="45"/>
      <c r="Z97" s="9"/>
      <c r="AA97" s="52"/>
      <c r="AB97" s="9"/>
      <c r="AC97" s="9"/>
      <c r="AD97" s="9"/>
      <c r="AE97" s="9"/>
      <c r="AF97" s="9"/>
    </row>
    <row r="98">
      <c r="A98" s="167">
        <v>1.0</v>
      </c>
      <c r="B98" s="168" t="s">
        <v>2149</v>
      </c>
      <c r="C98" s="55">
        <v>94.0</v>
      </c>
      <c r="D98" s="169">
        <v>10.0</v>
      </c>
      <c r="E98" s="170">
        <v>43710.0</v>
      </c>
      <c r="F98" s="171" t="str">
        <f>HYPERLINK("https://difabel.tempo.co/read/1173806/riset-penyandang-disabilitas-pria-lebih-rentan-bunuh-diri ","sumber")</f>
        <v>sumber</v>
      </c>
      <c r="G98" s="171" t="str">
        <f t="shared" si="1"/>
        <v>lokasi</v>
      </c>
      <c r="H98" s="168">
        <v>325.0</v>
      </c>
      <c r="I98" s="55">
        <v>2.0</v>
      </c>
      <c r="J98" s="169">
        <v>2.0</v>
      </c>
      <c r="K98" s="172" t="s">
        <v>2150</v>
      </c>
      <c r="L98" s="55">
        <v>0.0</v>
      </c>
      <c r="M98" s="55">
        <v>0.0</v>
      </c>
      <c r="N98" s="173">
        <v>0.0</v>
      </c>
      <c r="O98" s="55">
        <v>0.0</v>
      </c>
      <c r="P98" s="55">
        <v>0.0</v>
      </c>
      <c r="Q98" s="55">
        <v>0.0</v>
      </c>
      <c r="R98" s="55">
        <v>1.0</v>
      </c>
      <c r="S98" s="174"/>
      <c r="T98" s="55">
        <v>0.0</v>
      </c>
      <c r="U98" s="55">
        <v>0.0</v>
      </c>
      <c r="V98" s="55">
        <v>1.0</v>
      </c>
      <c r="W98" s="46"/>
      <c r="X98" s="46"/>
      <c r="Y98" s="55"/>
      <c r="Z98" s="30"/>
      <c r="AA98" s="30"/>
      <c r="AB98" s="31"/>
      <c r="AC98" s="31"/>
      <c r="AD98" s="31"/>
      <c r="AE98" s="31"/>
      <c r="AF98" s="31"/>
    </row>
    <row r="99">
      <c r="A99" s="152">
        <v>2.0</v>
      </c>
      <c r="B99" s="153" t="s">
        <v>2151</v>
      </c>
      <c r="C99" s="47">
        <v>95.0</v>
      </c>
      <c r="D99" s="154">
        <v>7.0</v>
      </c>
      <c r="E99" s="154" t="s">
        <v>2152</v>
      </c>
      <c r="F99" s="156" t="str">
        <f>HYPERLINK("http://www.tribunnews.com/section/2019/02/23/jimin-bts-jadi-perbincangan-saat-fotonya-muncul-dalam-sebuah-acara-beri-dukungan-pada-teman-lama ","sumber")</f>
        <v>sumber</v>
      </c>
      <c r="G99" s="156" t="str">
        <f t="shared" si="1"/>
        <v>lokasi</v>
      </c>
      <c r="H99" s="153">
        <v>197.0</v>
      </c>
      <c r="I99" s="47">
        <v>3.0</v>
      </c>
      <c r="J99" s="154">
        <v>2.0</v>
      </c>
      <c r="K99" s="157" t="s">
        <v>2153</v>
      </c>
      <c r="L99" s="47">
        <v>0.0</v>
      </c>
      <c r="M99" s="47">
        <v>0.0</v>
      </c>
      <c r="N99" s="192">
        <v>0.0</v>
      </c>
      <c r="O99" s="47">
        <v>0.0</v>
      </c>
      <c r="P99" s="47">
        <v>0.0</v>
      </c>
      <c r="Q99" s="47">
        <v>2.0</v>
      </c>
      <c r="R99" s="47">
        <v>0.0</v>
      </c>
      <c r="S99" s="165"/>
      <c r="T99" s="47">
        <v>0.0</v>
      </c>
      <c r="U99" s="47">
        <v>0.0</v>
      </c>
      <c r="V99" s="47">
        <v>0.0</v>
      </c>
      <c r="W99" s="48"/>
      <c r="X99" s="48"/>
      <c r="Y99" s="48"/>
      <c r="Z99" s="51"/>
      <c r="AA99" s="51"/>
      <c r="AB99" s="51"/>
      <c r="AC99" s="51"/>
      <c r="AD99" s="51"/>
      <c r="AE99" s="51"/>
      <c r="AF99" s="51"/>
    </row>
    <row r="100">
      <c r="A100" s="176">
        <v>1.0</v>
      </c>
      <c r="B100" s="177" t="s">
        <v>2154</v>
      </c>
      <c r="C100" s="178">
        <v>96.0</v>
      </c>
      <c r="D100" s="179">
        <v>6.0</v>
      </c>
      <c r="E100" s="179" t="s">
        <v>117</v>
      </c>
      <c r="F100" s="180" t="str">
        <f>HYPERLINK("https://regional.kompas.com/read/2019/02/17/08001341/mayat-tanpa-identitas-dan-sudah-membusuk-ditemukan-warga-di-area-persawahan ","sumber")</f>
        <v>sumber</v>
      </c>
      <c r="G100" s="180" t="str">
        <f t="shared" si="1"/>
        <v>lokasi</v>
      </c>
      <c r="H100" s="177">
        <v>259.0</v>
      </c>
      <c r="I100" s="178">
        <v>1.0</v>
      </c>
      <c r="J100" s="179">
        <v>2.0</v>
      </c>
      <c r="K100" s="181" t="s">
        <v>2155</v>
      </c>
      <c r="L100" s="178">
        <v>0.0</v>
      </c>
      <c r="M100" s="178">
        <v>1.0</v>
      </c>
      <c r="N100" s="182">
        <v>0.0</v>
      </c>
      <c r="O100" s="178">
        <v>0.0</v>
      </c>
      <c r="P100" s="178">
        <v>-1.0</v>
      </c>
      <c r="Q100" s="178" t="s">
        <v>61</v>
      </c>
      <c r="R100" s="178" t="s">
        <v>61</v>
      </c>
      <c r="S100" s="181" t="s">
        <v>2156</v>
      </c>
      <c r="T100" s="178">
        <v>1.0</v>
      </c>
      <c r="U100" s="178">
        <v>0.0</v>
      </c>
      <c r="V100" s="178">
        <v>0.0</v>
      </c>
      <c r="W100" s="184"/>
      <c r="X100" s="184"/>
      <c r="Y100" s="178"/>
      <c r="Z100" s="185"/>
      <c r="AA100" s="185"/>
      <c r="AB100" s="186"/>
      <c r="AC100" s="186"/>
      <c r="AD100" s="186"/>
      <c r="AE100" s="186"/>
      <c r="AF100" s="186"/>
    </row>
    <row r="101">
      <c r="A101" s="158">
        <v>1.0</v>
      </c>
      <c r="B101" s="159" t="s">
        <v>2157</v>
      </c>
      <c r="C101" s="44">
        <v>97.0</v>
      </c>
      <c r="D101" s="160">
        <v>9.0</v>
      </c>
      <c r="E101" s="161">
        <v>43468.0</v>
      </c>
      <c r="F101" s="162" t="str">
        <f>HYPERLINK("https://khazanah.republika.co.id/berita/dunia-islam/islam-nusantara/pnol8z313/asupan-literasi-keagamaan-untuk-disabilitas-sangat-penting ","sumber")</f>
        <v>sumber</v>
      </c>
      <c r="G101" s="162" t="str">
        <f t="shared" si="1"/>
        <v>lokasi</v>
      </c>
      <c r="H101" s="159">
        <v>316.0</v>
      </c>
      <c r="I101" s="44">
        <v>2.0</v>
      </c>
      <c r="J101" s="160">
        <v>2.0</v>
      </c>
      <c r="K101" s="164" t="s">
        <v>2158</v>
      </c>
      <c r="L101" s="44">
        <v>0.0</v>
      </c>
      <c r="M101" s="44">
        <v>0.0</v>
      </c>
      <c r="N101" s="166">
        <v>0.0</v>
      </c>
      <c r="O101" s="44">
        <v>0.0</v>
      </c>
      <c r="P101" s="44">
        <v>0.0</v>
      </c>
      <c r="Q101" s="44" t="s">
        <v>61</v>
      </c>
      <c r="R101" s="44" t="s">
        <v>192</v>
      </c>
      <c r="S101" s="164" t="s">
        <v>2159</v>
      </c>
      <c r="T101" s="44">
        <v>1.0</v>
      </c>
      <c r="U101" s="44">
        <v>0.0</v>
      </c>
      <c r="V101" s="44">
        <v>0.0</v>
      </c>
      <c r="W101" s="45"/>
      <c r="X101" s="45"/>
      <c r="Y101" s="45"/>
      <c r="Z101" s="9"/>
      <c r="AA101" s="52"/>
      <c r="AB101" s="9"/>
      <c r="AC101" s="9"/>
      <c r="AD101" s="9"/>
      <c r="AE101" s="9"/>
      <c r="AF101" s="9"/>
    </row>
    <row r="102">
      <c r="A102" s="152">
        <v>2.0</v>
      </c>
      <c r="B102" s="153" t="s">
        <v>2160</v>
      </c>
      <c r="C102" s="47">
        <v>98.0</v>
      </c>
      <c r="D102" s="154">
        <v>4.0</v>
      </c>
      <c r="E102" s="155">
        <v>43619.0</v>
      </c>
      <c r="F102" s="156" t="str">
        <f>HYPERLINK("https://www.liputan6.com/health/read/3910831/pemeran-utama-captain-marvel-alergi-kucing-ini-yang-terjadi-selama-syuting ","sumber")</f>
        <v>sumber</v>
      </c>
      <c r="G102" s="156" t="str">
        <f t="shared" si="1"/>
        <v>lokasi</v>
      </c>
      <c r="H102" s="153">
        <v>309.0</v>
      </c>
      <c r="I102" s="48"/>
      <c r="J102" s="154">
        <v>2.0</v>
      </c>
      <c r="K102" s="165"/>
      <c r="L102" s="48"/>
      <c r="M102" s="48"/>
      <c r="N102" s="48"/>
      <c r="O102" s="48"/>
      <c r="P102" s="48"/>
      <c r="Q102" s="48"/>
      <c r="R102" s="48"/>
      <c r="S102" s="165"/>
      <c r="T102" s="48"/>
      <c r="U102" s="48"/>
      <c r="V102" s="48"/>
      <c r="W102" s="48"/>
      <c r="X102" s="48"/>
      <c r="Y102" s="47"/>
      <c r="Z102" s="43"/>
      <c r="AA102" s="51"/>
      <c r="AB102" s="51"/>
      <c r="AC102" s="51"/>
      <c r="AD102" s="51"/>
      <c r="AE102" s="51"/>
      <c r="AF102" s="51"/>
    </row>
    <row r="103">
      <c r="A103" s="158">
        <v>1.0</v>
      </c>
      <c r="B103" s="159" t="s">
        <v>2161</v>
      </c>
      <c r="C103" s="44">
        <v>99.0</v>
      </c>
      <c r="D103" s="160">
        <v>3.0</v>
      </c>
      <c r="E103" s="161">
        <v>43711.0</v>
      </c>
      <c r="F103" s="162" t="str">
        <f>HYPERLINK("https://lifestyle.okezone.com/read/2019/03/09/196/2027822/sungguh-luar-biasa-bocah-buta-ini-mampu-melihat-segalanya ","sumber")</f>
        <v>sumber</v>
      </c>
      <c r="G103" s="162" t="str">
        <f t="shared" si="1"/>
        <v>lokasi</v>
      </c>
      <c r="H103" s="159">
        <v>361.0</v>
      </c>
      <c r="I103" s="44">
        <v>3.0</v>
      </c>
      <c r="J103" s="160">
        <v>2.0</v>
      </c>
      <c r="K103" s="164"/>
      <c r="L103" s="44">
        <v>-1.0</v>
      </c>
      <c r="M103" s="44">
        <v>0.0</v>
      </c>
      <c r="N103" s="166">
        <v>0.0</v>
      </c>
      <c r="O103" s="44">
        <v>0.0</v>
      </c>
      <c r="P103" s="44">
        <v>-1.0</v>
      </c>
      <c r="Q103" s="44"/>
      <c r="R103" s="44"/>
      <c r="S103" s="164" t="s">
        <v>2162</v>
      </c>
      <c r="T103" s="44">
        <v>5.0</v>
      </c>
      <c r="U103" s="44">
        <v>0.0</v>
      </c>
      <c r="V103" s="44">
        <v>0.0</v>
      </c>
      <c r="W103" s="45"/>
      <c r="X103" s="45"/>
      <c r="Y103" s="45"/>
      <c r="Z103" s="9"/>
      <c r="AA103" s="52"/>
      <c r="AB103" s="9"/>
      <c r="AC103" s="9"/>
      <c r="AD103" s="9"/>
      <c r="AE103" s="9"/>
      <c r="AF103" s="9"/>
    </row>
    <row r="104">
      <c r="A104" s="167">
        <v>1.0</v>
      </c>
      <c r="B104" s="168" t="s">
        <v>2163</v>
      </c>
      <c r="C104" s="55">
        <v>100.0</v>
      </c>
      <c r="D104" s="169">
        <v>8.0</v>
      </c>
      <c r="E104" s="170">
        <v>43711.0</v>
      </c>
      <c r="F104" s="171" t="str">
        <f>HYPERLINK("https://www.suara.com/bisnis/2019/03/09/205240/catat-ini-persyaratan-melamar-11000-lowongan-kerja-bumn ","sumber")</f>
        <v>sumber</v>
      </c>
      <c r="G104" s="171" t="str">
        <f t="shared" si="1"/>
        <v>lokasi</v>
      </c>
      <c r="H104" s="168">
        <v>359.0</v>
      </c>
      <c r="I104" s="55">
        <v>4.0</v>
      </c>
      <c r="J104" s="169">
        <v>2.0</v>
      </c>
      <c r="K104" s="172" t="s">
        <v>2164</v>
      </c>
      <c r="L104" s="55">
        <v>0.0</v>
      </c>
      <c r="M104" s="55">
        <v>0.0</v>
      </c>
      <c r="N104" s="173">
        <v>0.0</v>
      </c>
      <c r="O104" s="55">
        <v>0.0</v>
      </c>
      <c r="P104" s="55">
        <v>0.0</v>
      </c>
      <c r="Q104" s="55">
        <v>0.0</v>
      </c>
      <c r="R104" s="55">
        <v>0.0</v>
      </c>
      <c r="S104" s="174"/>
      <c r="T104" s="55">
        <v>0.0</v>
      </c>
      <c r="U104" s="55">
        <v>0.0</v>
      </c>
      <c r="V104" s="55">
        <v>1.0</v>
      </c>
      <c r="W104" s="46"/>
      <c r="X104" s="46"/>
      <c r="Y104" s="55"/>
      <c r="Z104" s="30"/>
      <c r="AA104" s="30"/>
      <c r="AB104" s="31"/>
      <c r="AC104" s="31"/>
      <c r="AD104" s="31"/>
      <c r="AE104" s="31"/>
      <c r="AF104" s="31"/>
    </row>
    <row r="105">
      <c r="A105" s="158">
        <v>1.0</v>
      </c>
      <c r="B105" s="159" t="s">
        <v>2165</v>
      </c>
      <c r="C105" s="44">
        <v>101.0</v>
      </c>
      <c r="D105" s="160">
        <v>6.0</v>
      </c>
      <c r="E105" s="161">
        <v>43772.0</v>
      </c>
      <c r="F105" s="162" t="str">
        <f>HYPERLINK("https://regional.kompas.com/read/2019/03/11/08262111/anak-pembunuh-ibu-kandung-di-gresik-diduga-alami-gangguan-jiwa ","sumber")</f>
        <v>sumber</v>
      </c>
      <c r="G105" s="162" t="str">
        <f t="shared" si="1"/>
        <v>lokasi</v>
      </c>
      <c r="H105" s="159">
        <v>366.0</v>
      </c>
      <c r="I105" s="44">
        <v>1.0</v>
      </c>
      <c r="J105" s="160">
        <v>2.0</v>
      </c>
      <c r="K105" s="164" t="s">
        <v>2166</v>
      </c>
      <c r="L105" s="44">
        <v>0.0</v>
      </c>
      <c r="M105" s="44">
        <v>1.0</v>
      </c>
      <c r="N105" s="166">
        <v>0.0</v>
      </c>
      <c r="O105" s="44">
        <v>0.0</v>
      </c>
      <c r="P105" s="44">
        <v>0.0</v>
      </c>
      <c r="Q105" s="44" t="s">
        <v>89</v>
      </c>
      <c r="R105" s="193" t="s">
        <v>89</v>
      </c>
      <c r="S105" s="175"/>
      <c r="T105" s="44">
        <v>0.0</v>
      </c>
      <c r="U105" s="44">
        <v>0.0</v>
      </c>
      <c r="V105" s="44">
        <v>0.0</v>
      </c>
      <c r="W105" s="45"/>
      <c r="X105" s="45"/>
      <c r="Y105" s="45"/>
      <c r="Z105" s="9"/>
      <c r="AA105" s="52"/>
      <c r="AB105" s="9"/>
      <c r="AC105" s="9"/>
      <c r="AD105" s="9"/>
      <c r="AE105" s="9"/>
      <c r="AF105" s="9"/>
    </row>
    <row r="106">
      <c r="A106" s="189">
        <v>1.0</v>
      </c>
      <c r="B106" s="190" t="s">
        <v>2167</v>
      </c>
      <c r="C106" s="55">
        <v>102.0</v>
      </c>
      <c r="D106" s="169">
        <v>10.0</v>
      </c>
      <c r="E106" s="169" t="s">
        <v>506</v>
      </c>
      <c r="F106" s="171" t="str">
        <f>HYPERLINK("https://metro.tempo.co/read/1188943/akses-integrasi-mrt-dan-transjakarta-tak-ramah-disabilitas ","sumber")</f>
        <v>sumber</v>
      </c>
      <c r="G106" s="171" t="str">
        <f t="shared" si="1"/>
        <v>lokasi</v>
      </c>
      <c r="H106" s="168">
        <v>6.0</v>
      </c>
      <c r="I106" s="55">
        <v>4.0</v>
      </c>
      <c r="J106" s="169">
        <v>2.0</v>
      </c>
      <c r="K106" s="172" t="s">
        <v>2168</v>
      </c>
      <c r="L106" s="55">
        <v>0.0</v>
      </c>
      <c r="M106" s="55">
        <v>0.0</v>
      </c>
      <c r="N106" s="173">
        <v>0.0</v>
      </c>
      <c r="O106" s="55">
        <v>0.0</v>
      </c>
      <c r="P106" s="55">
        <v>0.0</v>
      </c>
      <c r="Q106" s="55">
        <v>0.0</v>
      </c>
      <c r="R106" s="55">
        <v>0.0</v>
      </c>
      <c r="S106" s="174"/>
      <c r="T106" s="55">
        <v>0.0</v>
      </c>
      <c r="U106" s="55">
        <v>0.0</v>
      </c>
      <c r="V106" s="55">
        <v>1.0</v>
      </c>
      <c r="W106" s="46"/>
      <c r="X106" s="46"/>
      <c r="Y106" s="55"/>
      <c r="Z106" s="30"/>
      <c r="AA106" s="30"/>
      <c r="AB106" s="31"/>
      <c r="AC106" s="31"/>
      <c r="AD106" s="31"/>
      <c r="AE106" s="31"/>
      <c r="AF106" s="31"/>
    </row>
    <row r="107">
      <c r="A107" s="167">
        <v>1.0</v>
      </c>
      <c r="B107" s="168" t="s">
        <v>2169</v>
      </c>
      <c r="C107" s="55">
        <v>103.0</v>
      </c>
      <c r="D107" s="169">
        <v>9.0</v>
      </c>
      <c r="E107" s="170">
        <v>43802.0</v>
      </c>
      <c r="F107" s="171" t="str">
        <f>HYPERLINK("https://republika.co.id/berita/inpicture/nasional-inpicture/po99ek283/ujian-praktik-musik-disabilitas-netra ","sumber")</f>
        <v>sumber</v>
      </c>
      <c r="G107" s="171" t="str">
        <f t="shared" si="1"/>
        <v>lokasi</v>
      </c>
      <c r="H107" s="168">
        <v>6.0</v>
      </c>
      <c r="I107" s="55">
        <v>2.0</v>
      </c>
      <c r="J107" s="169">
        <v>2.0</v>
      </c>
      <c r="K107" s="172"/>
      <c r="L107" s="55">
        <v>0.0</v>
      </c>
      <c r="M107" s="55">
        <v>0.0</v>
      </c>
      <c r="N107" s="173">
        <v>0.0</v>
      </c>
      <c r="O107" s="55">
        <v>0.0</v>
      </c>
      <c r="P107" s="55">
        <v>0.0</v>
      </c>
      <c r="Q107" s="55"/>
      <c r="R107" s="55"/>
      <c r="S107" s="174"/>
      <c r="T107" s="55">
        <v>0.0</v>
      </c>
      <c r="U107" s="55">
        <v>0.0</v>
      </c>
      <c r="V107" s="55">
        <v>0.0</v>
      </c>
      <c r="W107" s="46"/>
      <c r="X107" s="46"/>
      <c r="Y107" s="55"/>
      <c r="Z107" s="30"/>
      <c r="AA107" s="30"/>
      <c r="AB107" s="31"/>
      <c r="AC107" s="31"/>
      <c r="AD107" s="31"/>
      <c r="AE107" s="31"/>
      <c r="AF107" s="31"/>
    </row>
    <row r="108">
      <c r="A108" s="158">
        <v>1.0</v>
      </c>
      <c r="B108" s="159" t="s">
        <v>2170</v>
      </c>
      <c r="C108" s="44">
        <v>104.0</v>
      </c>
      <c r="D108" s="160">
        <v>3.0</v>
      </c>
      <c r="E108" s="160" t="s">
        <v>156</v>
      </c>
      <c r="F108" s="162" t="str">
        <f>HYPERLINK("https://lifestyle.okezone.com/read/2019/03/21/196/2032934/hari-down-syndrome-sedunia-yuk-pahami-kemampuan-mereka ","sumber")</f>
        <v>sumber</v>
      </c>
      <c r="G108" s="162" t="str">
        <f t="shared" si="1"/>
        <v>lokasi</v>
      </c>
      <c r="H108" s="159">
        <v>483.0</v>
      </c>
      <c r="I108" s="44">
        <v>3.0</v>
      </c>
      <c r="J108" s="160">
        <v>2.0</v>
      </c>
      <c r="K108" s="164" t="s">
        <v>2171</v>
      </c>
      <c r="L108" s="44">
        <v>0.0</v>
      </c>
      <c r="M108" s="44">
        <v>0.0</v>
      </c>
      <c r="N108" s="166">
        <v>0.0</v>
      </c>
      <c r="O108" s="44">
        <v>0.0</v>
      </c>
      <c r="P108" s="44">
        <v>0.0</v>
      </c>
      <c r="Q108" s="44">
        <v>0.0</v>
      </c>
      <c r="R108" s="44">
        <v>1.0</v>
      </c>
      <c r="S108" s="175"/>
      <c r="T108" s="44">
        <v>0.0</v>
      </c>
      <c r="U108" s="44">
        <v>0.0</v>
      </c>
      <c r="V108" s="44">
        <v>0.0</v>
      </c>
      <c r="W108" s="45"/>
      <c r="X108" s="45"/>
      <c r="Y108" s="45"/>
      <c r="Z108" s="9"/>
      <c r="AA108" s="52"/>
      <c r="AB108" s="9"/>
      <c r="AC108" s="9"/>
      <c r="AD108" s="9"/>
      <c r="AE108" s="9"/>
      <c r="AF108" s="9"/>
    </row>
    <row r="109">
      <c r="A109" s="152">
        <v>2.0</v>
      </c>
      <c r="B109" s="153" t="s">
        <v>2172</v>
      </c>
      <c r="C109" s="47">
        <v>105.0</v>
      </c>
      <c r="D109" s="154">
        <v>3.0</v>
      </c>
      <c r="E109" s="154" t="s">
        <v>736</v>
      </c>
      <c r="F109" s="156" t="str">
        <f>HYPERLINK("https://lifestyle.okezone.com/read/2019/03/23/196/2034108/curhatan-perempuan-yang-pacarnya-lebih-sayang-game-online-kamu-senasib ","sumber")</f>
        <v>sumber</v>
      </c>
      <c r="G109" s="156" t="str">
        <f t="shared" si="1"/>
        <v>lokasi</v>
      </c>
      <c r="H109" s="153">
        <v>738.0</v>
      </c>
      <c r="I109" s="48"/>
      <c r="J109" s="154">
        <v>2.0</v>
      </c>
      <c r="K109" s="165"/>
      <c r="L109" s="48"/>
      <c r="M109" s="48"/>
      <c r="N109" s="48"/>
      <c r="O109" s="48"/>
      <c r="P109" s="48"/>
      <c r="Q109" s="48"/>
      <c r="R109" s="48"/>
      <c r="S109" s="165"/>
      <c r="T109" s="48"/>
      <c r="U109" s="48"/>
      <c r="V109" s="48"/>
      <c r="W109" s="48"/>
      <c r="X109" s="48"/>
      <c r="Y109" s="47"/>
      <c r="Z109" s="43"/>
      <c r="AA109" s="51"/>
      <c r="AB109" s="51"/>
      <c r="AC109" s="51"/>
      <c r="AD109" s="51"/>
      <c r="AE109" s="51"/>
      <c r="AF109" s="51"/>
    </row>
    <row r="110">
      <c r="A110" s="152">
        <v>2.0</v>
      </c>
      <c r="B110" s="153" t="s">
        <v>2173</v>
      </c>
      <c r="C110" s="47">
        <v>106.0</v>
      </c>
      <c r="D110" s="154">
        <v>1.0</v>
      </c>
      <c r="E110" s="154" t="s">
        <v>534</v>
      </c>
      <c r="F110" s="156" t="str">
        <f>HYPERLINK("https://news.detik.com/berita/d-4487074/wiranto-cerita-98-sby-tanya-kita-ambil-alih-saya-jawab-tidak ","sumber")</f>
        <v>sumber</v>
      </c>
      <c r="G110" s="156" t="str">
        <f t="shared" si="1"/>
        <v>lokasi</v>
      </c>
      <c r="H110" s="153">
        <v>689.0</v>
      </c>
      <c r="I110" s="48"/>
      <c r="J110" s="154">
        <v>2.0</v>
      </c>
      <c r="K110" s="165"/>
      <c r="L110" s="48"/>
      <c r="M110" s="48"/>
      <c r="N110" s="48"/>
      <c r="O110" s="48"/>
      <c r="P110" s="48"/>
      <c r="Q110" s="48"/>
      <c r="R110" s="48"/>
      <c r="S110" s="165"/>
      <c r="T110" s="48"/>
      <c r="U110" s="48"/>
      <c r="V110" s="48"/>
      <c r="W110" s="48"/>
      <c r="X110" s="48"/>
      <c r="Y110" s="47"/>
      <c r="Z110" s="43"/>
      <c r="AA110" s="51"/>
      <c r="AB110" s="51"/>
      <c r="AC110" s="51"/>
      <c r="AD110" s="51"/>
      <c r="AE110" s="51"/>
      <c r="AF110" s="51"/>
    </row>
    <row r="111">
      <c r="A111" s="158">
        <v>1.0</v>
      </c>
      <c r="B111" s="159" t="s">
        <v>2174</v>
      </c>
      <c r="C111" s="44">
        <v>107.0</v>
      </c>
      <c r="D111" s="160">
        <v>10.0</v>
      </c>
      <c r="E111" s="160" t="s">
        <v>534</v>
      </c>
      <c r="F111" s="162" t="str">
        <f>HYPERLINK("https://nasional.tempo.co/read/1189865/gelar-mimbar-politik-kelompok-sipil-desak-pengesahan-ruu-pks ","sumber")</f>
        <v>sumber</v>
      </c>
      <c r="G111" s="162" t="str">
        <f t="shared" si="1"/>
        <v>lokasi</v>
      </c>
      <c r="H111" s="159">
        <v>552.0</v>
      </c>
      <c r="I111" s="44">
        <v>4.0</v>
      </c>
      <c r="J111" s="160">
        <v>1.0</v>
      </c>
      <c r="K111" s="164" t="s">
        <v>2175</v>
      </c>
      <c r="L111" s="44">
        <v>0.0</v>
      </c>
      <c r="M111" s="44">
        <v>0.0</v>
      </c>
      <c r="N111" s="166">
        <v>0.0</v>
      </c>
      <c r="O111" s="44">
        <v>0.0</v>
      </c>
      <c r="P111" s="44">
        <v>0.0</v>
      </c>
      <c r="Q111" s="44" t="s">
        <v>138</v>
      </c>
      <c r="R111" s="44" t="s">
        <v>1586</v>
      </c>
      <c r="S111" s="175"/>
      <c r="T111" s="44">
        <v>0.0</v>
      </c>
      <c r="U111" s="44">
        <v>0.0</v>
      </c>
      <c r="V111" s="44">
        <v>1.0</v>
      </c>
      <c r="W111" s="45"/>
      <c r="X111" s="45"/>
      <c r="Y111" s="45"/>
      <c r="Z111" s="9"/>
      <c r="AA111" s="52"/>
      <c r="AB111" s="9"/>
      <c r="AC111" s="9"/>
      <c r="AD111" s="9"/>
      <c r="AE111" s="9"/>
      <c r="AF111" s="9"/>
    </row>
    <row r="112">
      <c r="A112" s="158">
        <v>1.0</v>
      </c>
      <c r="B112" s="159" t="s">
        <v>2176</v>
      </c>
      <c r="C112" s="44">
        <v>108.0</v>
      </c>
      <c r="D112" s="160">
        <v>9.0</v>
      </c>
      <c r="E112" s="160" t="s">
        <v>164</v>
      </c>
      <c r="F112" s="162" t="str">
        <f>HYPERLINK("https://nasional.republika.co.id/berita/nasional/jabodetabek-nasional/pp4xy5330/disabilitas-juga-mampu-bekerja ","sumber")</f>
        <v>sumber</v>
      </c>
      <c r="G112" s="162" t="str">
        <f t="shared" si="1"/>
        <v>lokasi</v>
      </c>
      <c r="H112" s="159">
        <v>702.0</v>
      </c>
      <c r="I112" s="44">
        <v>2.0</v>
      </c>
      <c r="J112" s="160">
        <v>2.0</v>
      </c>
      <c r="K112" s="164" t="s">
        <v>2177</v>
      </c>
      <c r="L112" s="44">
        <v>0.0</v>
      </c>
      <c r="M112" s="44">
        <v>0.0</v>
      </c>
      <c r="N112" s="166">
        <v>0.0</v>
      </c>
      <c r="O112" s="44">
        <v>0.0</v>
      </c>
      <c r="P112" s="44">
        <v>0.0</v>
      </c>
      <c r="Q112" s="44" t="s">
        <v>210</v>
      </c>
      <c r="R112" s="44" t="s">
        <v>192</v>
      </c>
      <c r="S112" s="175"/>
      <c r="T112" s="44">
        <v>0.0</v>
      </c>
      <c r="U112" s="44">
        <v>0.0</v>
      </c>
      <c r="V112" s="44">
        <v>0.0</v>
      </c>
      <c r="W112" s="45"/>
      <c r="X112" s="45"/>
      <c r="Y112" s="45"/>
      <c r="Z112" s="9"/>
      <c r="AA112" s="52"/>
      <c r="AB112" s="9"/>
      <c r="AC112" s="9"/>
      <c r="AD112" s="9"/>
      <c r="AE112" s="9"/>
      <c r="AF112" s="9"/>
    </row>
    <row r="113">
      <c r="A113" s="152">
        <v>2.0</v>
      </c>
      <c r="B113" s="153" t="s">
        <v>2178</v>
      </c>
      <c r="C113" s="47">
        <v>109.0</v>
      </c>
      <c r="D113" s="154">
        <v>2.0</v>
      </c>
      <c r="E113" s="154" t="s">
        <v>171</v>
      </c>
      <c r="F113" s="156" t="str">
        <f>HYPERLINK("https://www.cnnindonesia.com/teknologi/20190329170610-185-381836/facebook-larang-pengguna-dukung-separatis-kulit-putih ","sumber")</f>
        <v>sumber</v>
      </c>
      <c r="G113" s="156" t="str">
        <f t="shared" si="1"/>
        <v>lokasi</v>
      </c>
      <c r="H113" s="153">
        <v>304.0</v>
      </c>
      <c r="I113" s="48"/>
      <c r="J113" s="154">
        <v>2.0</v>
      </c>
      <c r="K113" s="165"/>
      <c r="L113" s="48"/>
      <c r="M113" s="48"/>
      <c r="N113" s="48"/>
      <c r="O113" s="48"/>
      <c r="P113" s="48"/>
      <c r="Q113" s="48"/>
      <c r="R113" s="48"/>
      <c r="S113" s="165"/>
      <c r="T113" s="48"/>
      <c r="U113" s="48"/>
      <c r="V113" s="48"/>
      <c r="W113" s="48"/>
      <c r="X113" s="48"/>
      <c r="Y113" s="47"/>
      <c r="Z113" s="43"/>
      <c r="AA113" s="51"/>
      <c r="AB113" s="51"/>
      <c r="AC113" s="51"/>
      <c r="AD113" s="51"/>
      <c r="AE113" s="51"/>
      <c r="AF113" s="51"/>
    </row>
    <row r="114">
      <c r="A114" s="158">
        <v>1.0</v>
      </c>
      <c r="B114" s="159" t="s">
        <v>2179</v>
      </c>
      <c r="C114" s="44">
        <v>110.0</v>
      </c>
      <c r="D114" s="160">
        <v>6.0</v>
      </c>
      <c r="E114" s="161">
        <v>43469.0</v>
      </c>
      <c r="F114" s="162" t="str">
        <f>HYPERLINK("https://regional.kompas.com/read/2019/04/01/14421591/pemilu-para-tunanetra-akan-memilih-secara-mandiri-dan-disertai-pendamping ","sumber")</f>
        <v>sumber</v>
      </c>
      <c r="G114" s="162" t="str">
        <f t="shared" si="1"/>
        <v>lokasi</v>
      </c>
      <c r="H114" s="159">
        <v>300.0</v>
      </c>
      <c r="I114" s="44">
        <v>4.0</v>
      </c>
      <c r="J114" s="160">
        <v>2.0</v>
      </c>
      <c r="K114" s="164" t="s">
        <v>2180</v>
      </c>
      <c r="L114" s="44">
        <v>0.0</v>
      </c>
      <c r="M114" s="44">
        <v>0.0</v>
      </c>
      <c r="N114" s="166">
        <v>0.0</v>
      </c>
      <c r="O114" s="44">
        <v>0.0</v>
      </c>
      <c r="P114" s="44">
        <v>0.0</v>
      </c>
      <c r="Q114" s="44">
        <v>0.0</v>
      </c>
      <c r="R114" s="44">
        <v>0.0</v>
      </c>
      <c r="S114" s="175"/>
      <c r="T114" s="44">
        <v>0.0</v>
      </c>
      <c r="U114" s="44">
        <v>0.0</v>
      </c>
      <c r="V114" s="44">
        <v>1.0</v>
      </c>
      <c r="W114" s="45"/>
      <c r="X114" s="45"/>
      <c r="Y114" s="45"/>
      <c r="Z114" s="9"/>
      <c r="AA114" s="52"/>
      <c r="AB114" s="9"/>
      <c r="AC114" s="9"/>
      <c r="AD114" s="9"/>
      <c r="AE114" s="9"/>
      <c r="AF114" s="9"/>
    </row>
    <row r="115">
      <c r="A115" s="158">
        <v>1.0</v>
      </c>
      <c r="B115" s="159" t="s">
        <v>2181</v>
      </c>
      <c r="C115" s="44">
        <v>111.0</v>
      </c>
      <c r="D115" s="160">
        <v>6.0</v>
      </c>
      <c r="E115" s="161">
        <v>43528.0</v>
      </c>
      <c r="F115" s="162" t="str">
        <f>HYPERLINK("https://regional.kompas.com/read/2019/04/03/18150471/penyandang-tunanetra-harap-ada-audiobook-untuk-kenali-kandidat-dalam-pemilu ","sumber")</f>
        <v>sumber</v>
      </c>
      <c r="G115" s="162" t="str">
        <f t="shared" si="1"/>
        <v>lokasi</v>
      </c>
      <c r="H115" s="159">
        <v>311.0</v>
      </c>
      <c r="I115" s="44">
        <v>4.0</v>
      </c>
      <c r="J115" s="160">
        <v>2.0</v>
      </c>
      <c r="K115" s="164" t="s">
        <v>2182</v>
      </c>
      <c r="L115" s="44">
        <v>0.0</v>
      </c>
      <c r="M115" s="44">
        <v>0.0</v>
      </c>
      <c r="N115" s="166">
        <v>0.0</v>
      </c>
      <c r="O115" s="44">
        <v>0.0</v>
      </c>
      <c r="P115" s="44">
        <v>0.0</v>
      </c>
      <c r="Q115" s="44">
        <v>2.0</v>
      </c>
      <c r="R115" s="44">
        <v>1.0</v>
      </c>
      <c r="S115" s="175"/>
      <c r="T115" s="44">
        <v>0.0</v>
      </c>
      <c r="U115" s="44">
        <v>0.0</v>
      </c>
      <c r="V115" s="44">
        <v>1.0</v>
      </c>
      <c r="W115" s="45"/>
      <c r="X115" s="45"/>
      <c r="Y115" s="45"/>
      <c r="Z115" s="9"/>
      <c r="AA115" s="52"/>
      <c r="AB115" s="9"/>
      <c r="AC115" s="9"/>
      <c r="AD115" s="9"/>
      <c r="AE115" s="9"/>
      <c r="AF115" s="9"/>
    </row>
    <row r="116">
      <c r="A116" s="167">
        <v>1.0</v>
      </c>
      <c r="B116" s="168" t="s">
        <v>2183</v>
      </c>
      <c r="C116" s="55">
        <v>112.0</v>
      </c>
      <c r="D116" s="169">
        <v>2.0</v>
      </c>
      <c r="E116" s="170">
        <v>43589.0</v>
      </c>
      <c r="F116" s="171" t="str">
        <f>HYPERLINK("https://www.cnnindonesia.com/hiburan/20190404204853-227-383537/vokalis-sugar-ray-akui-kini-kehilangan-pendengaran ","sumber")</f>
        <v>sumber</v>
      </c>
      <c r="G116" s="171" t="str">
        <f t="shared" si="1"/>
        <v>lokasi</v>
      </c>
      <c r="H116" s="168">
        <v>364.0</v>
      </c>
      <c r="I116" s="55">
        <v>2.0</v>
      </c>
      <c r="J116" s="169">
        <v>2.0</v>
      </c>
      <c r="K116" s="172" t="s">
        <v>2184</v>
      </c>
      <c r="L116" s="55">
        <v>0.0</v>
      </c>
      <c r="M116" s="55">
        <v>0.0</v>
      </c>
      <c r="N116" s="173">
        <v>0.0</v>
      </c>
      <c r="O116" s="55">
        <v>0.0</v>
      </c>
      <c r="P116" s="55">
        <v>0.0</v>
      </c>
      <c r="Q116" s="55">
        <v>2.0</v>
      </c>
      <c r="R116" s="55">
        <v>1.0</v>
      </c>
      <c r="S116" s="174"/>
      <c r="T116" s="55">
        <v>0.0</v>
      </c>
      <c r="U116" s="55">
        <v>0.0</v>
      </c>
      <c r="V116" s="55">
        <v>0.0</v>
      </c>
      <c r="W116" s="46"/>
      <c r="X116" s="46"/>
      <c r="Y116" s="55"/>
      <c r="Z116" s="30"/>
      <c r="AA116" s="30"/>
      <c r="AB116" s="31"/>
      <c r="AC116" s="31"/>
      <c r="AD116" s="31"/>
      <c r="AE116" s="31"/>
      <c r="AF116" s="31"/>
    </row>
    <row r="117">
      <c r="A117" s="158">
        <v>1.0</v>
      </c>
      <c r="B117" s="159" t="s">
        <v>2185</v>
      </c>
      <c r="C117" s="44">
        <v>113.0</v>
      </c>
      <c r="D117" s="160">
        <v>4.0</v>
      </c>
      <c r="E117" s="161">
        <v>43589.0</v>
      </c>
      <c r="F117" s="162" t="str">
        <f>HYPERLINK("https://www.liputan6.com/pilpres/read/3934156/komunitas-olahraga-hingga-penyandang-disabilitas-akan-deklarasi-dukung-jokowi ","sumber")</f>
        <v>sumber</v>
      </c>
      <c r="G117" s="162" t="str">
        <f t="shared" si="1"/>
        <v>lokasi</v>
      </c>
      <c r="H117" s="159">
        <v>426.0</v>
      </c>
      <c r="I117" s="44">
        <v>3.0</v>
      </c>
      <c r="J117" s="160">
        <v>2.0</v>
      </c>
      <c r="K117" s="164" t="s">
        <v>2186</v>
      </c>
      <c r="L117" s="44">
        <v>0.0</v>
      </c>
      <c r="M117" s="44">
        <v>0.0</v>
      </c>
      <c r="N117" s="166">
        <v>0.0</v>
      </c>
      <c r="O117" s="44">
        <v>0.0</v>
      </c>
      <c r="P117" s="44">
        <v>0.0</v>
      </c>
      <c r="Q117" s="44" t="s">
        <v>61</v>
      </c>
      <c r="R117" s="44" t="s">
        <v>192</v>
      </c>
      <c r="S117" s="175"/>
      <c r="T117" s="44">
        <v>0.0</v>
      </c>
      <c r="U117" s="44">
        <v>0.0</v>
      </c>
      <c r="V117" s="44">
        <v>1.0</v>
      </c>
      <c r="W117" s="45"/>
      <c r="X117" s="45"/>
      <c r="Y117" s="45"/>
      <c r="Z117" s="9"/>
      <c r="AA117" s="52"/>
      <c r="AB117" s="9"/>
      <c r="AC117" s="9"/>
      <c r="AD117" s="9"/>
      <c r="AE117" s="9"/>
      <c r="AF117" s="9"/>
    </row>
    <row r="118">
      <c r="A118" s="152">
        <v>2.0</v>
      </c>
      <c r="B118" s="153" t="s">
        <v>2187</v>
      </c>
      <c r="C118" s="47">
        <v>1.0</v>
      </c>
      <c r="D118" s="154">
        <v>2.0</v>
      </c>
      <c r="E118" s="154" t="s">
        <v>766</v>
      </c>
      <c r="F118" s="156" t="str">
        <f>HYPERLINK("https://www.cnnindonesia.com/gaya-hidup/20190409122425-255-384537/olahraga-satu-jam-tiap-minggu-bisa-cegah-cacat-saat-tua ","sumber")</f>
        <v>sumber</v>
      </c>
      <c r="G118" s="156" t="str">
        <f t="shared" si="1"/>
        <v>lokasi</v>
      </c>
      <c r="H118" s="153">
        <v>221.0</v>
      </c>
      <c r="I118" s="47">
        <v>5.0</v>
      </c>
      <c r="J118" s="154">
        <v>2.0</v>
      </c>
      <c r="K118" s="157"/>
      <c r="L118" s="47"/>
      <c r="M118" s="47"/>
      <c r="N118" s="47"/>
      <c r="O118" s="47"/>
      <c r="P118" s="47"/>
      <c r="Q118" s="47"/>
      <c r="R118" s="47"/>
      <c r="S118" s="165"/>
      <c r="T118" s="47"/>
      <c r="U118" s="47"/>
      <c r="V118" s="47"/>
      <c r="W118" s="48"/>
      <c r="X118" s="48"/>
      <c r="Y118" s="48"/>
      <c r="Z118" s="51"/>
      <c r="AA118" s="43"/>
      <c r="AB118" s="51"/>
      <c r="AC118" s="51"/>
      <c r="AD118" s="51"/>
      <c r="AE118" s="51"/>
      <c r="AF118" s="51"/>
    </row>
    <row r="119">
      <c r="A119" s="158">
        <v>1.0</v>
      </c>
      <c r="B119" s="159" t="s">
        <v>2188</v>
      </c>
      <c r="C119" s="44">
        <v>115.0</v>
      </c>
      <c r="D119" s="160">
        <v>9.0</v>
      </c>
      <c r="E119" s="160" t="s">
        <v>548</v>
      </c>
      <c r="F119" s="162" t="str">
        <f>HYPERLINK("https://nasional.republika.co.id/berita/nasional/politik/ppyigq428/penyelenggara-pemilu-diingatkan-perhatikan-akses-disabilitas ","sumber")</f>
        <v>sumber</v>
      </c>
      <c r="G119" s="162" t="str">
        <f t="shared" si="1"/>
        <v>lokasi</v>
      </c>
      <c r="H119" s="159">
        <v>231.0</v>
      </c>
      <c r="I119" s="44">
        <v>4.0</v>
      </c>
      <c r="J119" s="160">
        <v>2.0</v>
      </c>
      <c r="K119" s="164" t="s">
        <v>2189</v>
      </c>
      <c r="L119" s="44">
        <v>0.0</v>
      </c>
      <c r="M119" s="44">
        <v>0.0</v>
      </c>
      <c r="N119" s="166">
        <v>0.0</v>
      </c>
      <c r="O119" s="44">
        <v>0.0</v>
      </c>
      <c r="P119" s="44">
        <v>0.0</v>
      </c>
      <c r="Q119" s="44" t="s">
        <v>100</v>
      </c>
      <c r="R119" s="44" t="s">
        <v>192</v>
      </c>
      <c r="S119" s="175"/>
      <c r="T119" s="44">
        <v>0.0</v>
      </c>
      <c r="U119" s="44">
        <v>0.0</v>
      </c>
      <c r="V119" s="44">
        <v>1.0</v>
      </c>
      <c r="W119" s="45"/>
      <c r="X119" s="45"/>
      <c r="Y119" s="45"/>
      <c r="Z119" s="9"/>
      <c r="AA119" s="52"/>
      <c r="AB119" s="9"/>
      <c r="AC119" s="9"/>
      <c r="AD119" s="9"/>
      <c r="AE119" s="9"/>
      <c r="AF119" s="9"/>
    </row>
    <row r="120">
      <c r="A120" s="158">
        <v>1.0</v>
      </c>
      <c r="B120" s="159" t="s">
        <v>2190</v>
      </c>
      <c r="C120" s="44">
        <v>116.0</v>
      </c>
      <c r="D120" s="160">
        <v>10.0</v>
      </c>
      <c r="E120" s="160" t="s">
        <v>2047</v>
      </c>
      <c r="F120" s="162" t="str">
        <f>HYPERLINK("https://difabel.tempo.co/read/1196758/pemilu-2019-harapan-penyandang-disabilitas-dari-bilik-suara-tps ","sumber")</f>
        <v>sumber</v>
      </c>
      <c r="G120" s="162" t="str">
        <f t="shared" si="1"/>
        <v>lokasi</v>
      </c>
      <c r="H120" s="159">
        <v>526.0</v>
      </c>
      <c r="I120" s="44">
        <v>4.0</v>
      </c>
      <c r="J120" s="160">
        <v>2.0</v>
      </c>
      <c r="K120" s="164" t="s">
        <v>2191</v>
      </c>
      <c r="L120" s="44">
        <v>0.0</v>
      </c>
      <c r="M120" s="44">
        <v>0.0</v>
      </c>
      <c r="N120" s="166">
        <v>0.0</v>
      </c>
      <c r="O120" s="44">
        <v>0.0</v>
      </c>
      <c r="P120" s="44">
        <v>0.0</v>
      </c>
      <c r="Q120" s="44" t="s">
        <v>1904</v>
      </c>
      <c r="R120" s="44" t="s">
        <v>192</v>
      </c>
      <c r="S120" s="175"/>
      <c r="T120" s="44">
        <v>0.0</v>
      </c>
      <c r="U120" s="44">
        <v>0.0</v>
      </c>
      <c r="V120" s="44">
        <v>1.0</v>
      </c>
      <c r="W120" s="45"/>
      <c r="X120" s="45"/>
      <c r="Y120" s="45"/>
      <c r="Z120" s="9"/>
      <c r="AA120" s="52"/>
      <c r="AB120" s="9"/>
      <c r="AC120" s="9"/>
      <c r="AD120" s="9"/>
      <c r="AE120" s="9"/>
      <c r="AF120" s="9"/>
    </row>
    <row r="121">
      <c r="A121" s="158">
        <v>1.0</v>
      </c>
      <c r="B121" s="159" t="s">
        <v>2192</v>
      </c>
      <c r="C121" s="44">
        <v>117.0</v>
      </c>
      <c r="D121" s="160">
        <v>7.0</v>
      </c>
      <c r="E121" s="160" t="s">
        <v>2047</v>
      </c>
      <c r="F121" s="162" t="str">
        <f>HYPERLINK("http://www.tribunnews.com/regional/2019/04/17/sama-kuat-jokowi-dan-prabowo-di-tps-rsj-daerah-surakarta ","sumber")</f>
        <v>sumber</v>
      </c>
      <c r="G121" s="162" t="str">
        <f t="shared" si="1"/>
        <v>lokasi</v>
      </c>
      <c r="H121" s="159">
        <v>295.0</v>
      </c>
      <c r="I121" s="44">
        <v>4.0</v>
      </c>
      <c r="J121" s="160">
        <v>2.0</v>
      </c>
      <c r="K121" s="164" t="s">
        <v>2193</v>
      </c>
      <c r="L121" s="44">
        <v>0.0</v>
      </c>
      <c r="M121" s="44">
        <v>0.0</v>
      </c>
      <c r="N121" s="166">
        <v>0.0</v>
      </c>
      <c r="O121" s="44">
        <v>0.0</v>
      </c>
      <c r="P121" s="44">
        <v>0.0</v>
      </c>
      <c r="Q121" s="44">
        <v>0.0</v>
      </c>
      <c r="R121" s="44">
        <v>1.0</v>
      </c>
      <c r="S121" s="175"/>
      <c r="T121" s="44">
        <v>0.0</v>
      </c>
      <c r="U121" s="44">
        <v>0.0</v>
      </c>
      <c r="V121" s="44">
        <v>1.0</v>
      </c>
      <c r="W121" s="45"/>
      <c r="X121" s="45"/>
      <c r="Y121" s="45"/>
      <c r="Z121" s="9"/>
      <c r="AA121" s="52"/>
      <c r="AB121" s="9"/>
      <c r="AC121" s="9"/>
      <c r="AD121" s="9"/>
      <c r="AE121" s="9"/>
      <c r="AF121" s="9"/>
    </row>
    <row r="122">
      <c r="A122" s="158">
        <v>1.0</v>
      </c>
      <c r="B122" s="159" t="s">
        <v>2194</v>
      </c>
      <c r="C122" s="44">
        <v>118.0</v>
      </c>
      <c r="D122" s="160">
        <v>5.0</v>
      </c>
      <c r="E122" s="160" t="s">
        <v>569</v>
      </c>
      <c r="F122" s="162" t="str">
        <f>HYPERLINK("https://tirto.id/komnas-ham-imbau-masyarakat-jaga-kedamaian-setelah-pilpres-dmHr ","sumber")</f>
        <v>sumber</v>
      </c>
      <c r="G122" s="162" t="str">
        <f t="shared" si="1"/>
        <v>lokasi</v>
      </c>
      <c r="H122" s="159">
        <v>246.0</v>
      </c>
      <c r="I122" s="44">
        <v>4.0</v>
      </c>
      <c r="J122" s="160">
        <v>2.0</v>
      </c>
      <c r="K122" s="164" t="s">
        <v>2195</v>
      </c>
      <c r="L122" s="44">
        <v>0.0</v>
      </c>
      <c r="M122" s="44">
        <v>0.0</v>
      </c>
      <c r="N122" s="166">
        <v>0.0</v>
      </c>
      <c r="O122" s="44">
        <v>0.0</v>
      </c>
      <c r="P122" s="44">
        <v>0.0</v>
      </c>
      <c r="Q122" s="44">
        <v>0.0</v>
      </c>
      <c r="R122" s="44">
        <v>1.0</v>
      </c>
      <c r="S122" s="175"/>
      <c r="T122" s="44">
        <v>0.0</v>
      </c>
      <c r="U122" s="44">
        <v>0.0</v>
      </c>
      <c r="V122" s="44">
        <v>1.0</v>
      </c>
      <c r="W122" s="45"/>
      <c r="X122" s="45"/>
      <c r="Y122" s="45"/>
      <c r="Z122" s="9"/>
      <c r="AA122" s="52"/>
      <c r="AB122" s="9"/>
      <c r="AC122" s="9"/>
      <c r="AD122" s="9"/>
      <c r="AE122" s="9"/>
      <c r="AF122" s="9"/>
    </row>
    <row r="123">
      <c r="A123" s="152">
        <v>2.0</v>
      </c>
      <c r="B123" s="153" t="s">
        <v>2196</v>
      </c>
      <c r="C123" s="47">
        <v>119.0</v>
      </c>
      <c r="D123" s="154">
        <v>2.0</v>
      </c>
      <c r="E123" s="154" t="s">
        <v>194</v>
      </c>
      <c r="F123" s="156" t="str">
        <f>HYPERLINK("https://www.cnnindonesia.com/teknologi/20190423183928-384-388972/tesla-sering-terbakar-blue-bird-klaim-taksi-listrik-aman ","sumber")</f>
        <v>sumber</v>
      </c>
      <c r="G123" s="156" t="str">
        <f t="shared" si="1"/>
        <v>lokasi</v>
      </c>
      <c r="H123" s="153">
        <v>461.0</v>
      </c>
      <c r="I123" s="48"/>
      <c r="J123" s="154">
        <v>2.0</v>
      </c>
      <c r="K123" s="165"/>
      <c r="L123" s="48"/>
      <c r="M123" s="48"/>
      <c r="N123" s="48"/>
      <c r="O123" s="48"/>
      <c r="P123" s="48"/>
      <c r="Q123" s="48"/>
      <c r="R123" s="48"/>
      <c r="S123" s="165"/>
      <c r="T123" s="48"/>
      <c r="U123" s="48"/>
      <c r="V123" s="48"/>
      <c r="W123" s="48"/>
      <c r="X123" s="48"/>
      <c r="Y123" s="47"/>
      <c r="Z123" s="43"/>
      <c r="AA123" s="51"/>
      <c r="AB123" s="51"/>
      <c r="AC123" s="51"/>
      <c r="AD123" s="51"/>
      <c r="AE123" s="51"/>
      <c r="AF123" s="51"/>
    </row>
    <row r="124">
      <c r="A124" s="167">
        <v>1.0</v>
      </c>
      <c r="B124" s="168" t="s">
        <v>2197</v>
      </c>
      <c r="C124" s="55">
        <v>120.0</v>
      </c>
      <c r="D124" s="169">
        <v>5.0</v>
      </c>
      <c r="E124" s="169" t="s">
        <v>2047</v>
      </c>
      <c r="F124" s="194" t="s">
        <v>2198</v>
      </c>
      <c r="G124" s="171" t="str">
        <f t="shared" si="1"/>
        <v>lokasi</v>
      </c>
      <c r="H124" s="168">
        <v>256.0</v>
      </c>
      <c r="I124" s="55">
        <v>2.0</v>
      </c>
      <c r="J124" s="169">
        <v>2.0</v>
      </c>
      <c r="K124" s="172" t="s">
        <v>2199</v>
      </c>
      <c r="L124" s="55">
        <v>0.0</v>
      </c>
      <c r="M124" s="55">
        <v>0.0</v>
      </c>
      <c r="N124" s="55">
        <v>0.0</v>
      </c>
      <c r="O124" s="55">
        <v>0.0</v>
      </c>
      <c r="P124" s="55">
        <v>0.0</v>
      </c>
      <c r="Q124" s="55">
        <v>2.0</v>
      </c>
      <c r="R124" s="55">
        <v>2.0</v>
      </c>
      <c r="S124" s="174"/>
      <c r="T124" s="55">
        <v>0.0</v>
      </c>
      <c r="U124" s="55">
        <v>0.0</v>
      </c>
      <c r="V124" s="55">
        <v>0.0</v>
      </c>
      <c r="W124" s="46"/>
      <c r="X124" s="46"/>
      <c r="Y124" s="46"/>
      <c r="Z124" s="31"/>
      <c r="AA124" s="30"/>
      <c r="AB124" s="31"/>
      <c r="AC124" s="31"/>
      <c r="AD124" s="31"/>
      <c r="AE124" s="31"/>
      <c r="AF124" s="31"/>
    </row>
    <row r="125">
      <c r="A125" s="176">
        <v>1.0</v>
      </c>
      <c r="B125" s="177" t="s">
        <v>2200</v>
      </c>
      <c r="C125" s="178">
        <v>121.0</v>
      </c>
      <c r="D125" s="179">
        <v>7.0</v>
      </c>
      <c r="E125" s="195">
        <v>43682.0</v>
      </c>
      <c r="F125" s="180" t="str">
        <f>HYPERLINK("http://www.tribunnews.com/metropolitan/2019/05/08/seorang-pria-di-tangerang-nyaris-akhiri-hidupnya-dengan-melompat-dari-jpo-di-tangerang ","sumber")</f>
        <v>sumber</v>
      </c>
      <c r="G125" s="180" t="str">
        <f t="shared" si="1"/>
        <v>lokasi</v>
      </c>
      <c r="H125" s="177">
        <v>258.0</v>
      </c>
      <c r="I125" s="178">
        <v>1.0</v>
      </c>
      <c r="J125" s="179">
        <v>2.0</v>
      </c>
      <c r="K125" s="181" t="s">
        <v>2201</v>
      </c>
      <c r="L125" s="178">
        <v>0.0</v>
      </c>
      <c r="M125" s="178">
        <v>-1.0</v>
      </c>
      <c r="N125" s="178">
        <v>-1.0</v>
      </c>
      <c r="O125" s="178">
        <v>0.0</v>
      </c>
      <c r="P125" s="178">
        <v>0.0</v>
      </c>
      <c r="Q125" s="178">
        <v>0.0</v>
      </c>
      <c r="R125" s="178">
        <v>0.0</v>
      </c>
      <c r="S125" s="183"/>
      <c r="T125" s="178">
        <v>0.0</v>
      </c>
      <c r="U125" s="178">
        <v>0.0</v>
      </c>
      <c r="V125" s="178">
        <v>0.0</v>
      </c>
      <c r="W125" s="184"/>
      <c r="X125" s="184"/>
      <c r="Y125" s="178"/>
      <c r="Z125" s="185"/>
      <c r="AA125" s="185"/>
      <c r="AB125" s="186"/>
      <c r="AC125" s="186"/>
      <c r="AD125" s="186"/>
      <c r="AE125" s="186"/>
      <c r="AF125" s="186"/>
    </row>
    <row r="126">
      <c r="A126" s="158">
        <v>1.0</v>
      </c>
      <c r="B126" s="159" t="s">
        <v>2202</v>
      </c>
      <c r="C126" s="44">
        <v>122.0</v>
      </c>
      <c r="D126" s="160">
        <v>1.0</v>
      </c>
      <c r="E126" s="161">
        <v>43713.0</v>
      </c>
      <c r="F126" s="162" t="str">
        <f>HYPERLINK("https://health.detik.com/true-story/d-4542741/bayi-ini-alami-cacat-lahir-langka-otaknya-tumbuh-di-hidung ","sumber")</f>
        <v>sumber</v>
      </c>
      <c r="G126" s="162" t="str">
        <f t="shared" si="1"/>
        <v>lokasi</v>
      </c>
      <c r="H126" s="159">
        <v>274.0</v>
      </c>
      <c r="I126" s="44">
        <v>5.0</v>
      </c>
      <c r="J126" s="160">
        <v>2.0</v>
      </c>
      <c r="K126" s="164" t="s">
        <v>2203</v>
      </c>
      <c r="L126" s="44">
        <v>0.0</v>
      </c>
      <c r="M126" s="44">
        <v>0.0</v>
      </c>
      <c r="N126" s="166">
        <v>0.0</v>
      </c>
      <c r="O126" s="44">
        <v>0.0</v>
      </c>
      <c r="P126" s="44">
        <v>0.0</v>
      </c>
      <c r="Q126" s="44" t="s">
        <v>61</v>
      </c>
      <c r="R126" s="44" t="s">
        <v>61</v>
      </c>
      <c r="S126" s="175"/>
      <c r="T126" s="44">
        <v>0.0</v>
      </c>
      <c r="U126" s="44">
        <v>0.0</v>
      </c>
      <c r="V126" s="44">
        <v>0.0</v>
      </c>
      <c r="W126" s="45"/>
      <c r="X126" s="45"/>
      <c r="Y126" s="45"/>
      <c r="Z126" s="9"/>
      <c r="AA126" s="52"/>
      <c r="AB126" s="9"/>
      <c r="AC126" s="9"/>
      <c r="AD126" s="9"/>
      <c r="AE126" s="9"/>
      <c r="AF126" s="9"/>
    </row>
    <row r="127">
      <c r="A127" s="167">
        <v>1.0</v>
      </c>
      <c r="B127" s="168" t="s">
        <v>2204</v>
      </c>
      <c r="C127" s="55">
        <v>123.0</v>
      </c>
      <c r="D127" s="169">
        <v>8.0</v>
      </c>
      <c r="E127" s="169" t="s">
        <v>404</v>
      </c>
      <c r="F127" s="171" t="str">
        <f>HYPERLINK("https://www.suara.com/lifestyle/2019/05/30/103000/lahir-tanpa-lengan-desainer-ini-justru-raih-kesuksesan-dengan-kakinya ","sumber")</f>
        <v>sumber</v>
      </c>
      <c r="G127" s="171" t="str">
        <f t="shared" si="1"/>
        <v>lokasi</v>
      </c>
      <c r="H127" s="168">
        <v>256.0</v>
      </c>
      <c r="I127" s="55">
        <v>3.0</v>
      </c>
      <c r="J127" s="169">
        <v>2.0</v>
      </c>
      <c r="K127" s="172" t="s">
        <v>2205</v>
      </c>
      <c r="L127" s="55">
        <v>0.0</v>
      </c>
      <c r="M127" s="55">
        <v>0.0</v>
      </c>
      <c r="N127" s="173">
        <v>0.0</v>
      </c>
      <c r="O127" s="55">
        <v>0.0</v>
      </c>
      <c r="P127" s="55">
        <v>0.0</v>
      </c>
      <c r="Q127" s="55">
        <v>2.0</v>
      </c>
      <c r="R127" s="55">
        <v>1.0</v>
      </c>
      <c r="S127" s="174"/>
      <c r="T127" s="55">
        <v>0.0</v>
      </c>
      <c r="U127" s="55">
        <v>0.0</v>
      </c>
      <c r="V127" s="55">
        <v>0.0</v>
      </c>
      <c r="W127" s="46"/>
      <c r="X127" s="46"/>
      <c r="Y127" s="55"/>
      <c r="Z127" s="30"/>
      <c r="AA127" s="30"/>
      <c r="AB127" s="31"/>
      <c r="AC127" s="31"/>
      <c r="AD127" s="31"/>
      <c r="AE127" s="31"/>
      <c r="AF127" s="31"/>
    </row>
    <row r="128">
      <c r="A128" s="152">
        <v>2.0</v>
      </c>
      <c r="B128" s="153" t="s">
        <v>2206</v>
      </c>
      <c r="C128" s="47">
        <v>124.0</v>
      </c>
      <c r="D128" s="154">
        <v>5.0</v>
      </c>
      <c r="E128" s="155">
        <v>43774.0</v>
      </c>
      <c r="F128" s="156" t="str">
        <f>HYPERLINK("https://tirto.id/alasan-atalanta-menjadi-tim-paling-menarik-di-serie-a-musim-ini-dyEG ","sumber")</f>
        <v>sumber</v>
      </c>
      <c r="G128" s="156" t="str">
        <f t="shared" si="1"/>
        <v>lokasi</v>
      </c>
      <c r="H128" s="153">
        <v>1134.0</v>
      </c>
      <c r="I128" s="48"/>
      <c r="J128" s="154">
        <v>2.0</v>
      </c>
      <c r="K128" s="165"/>
      <c r="L128" s="48"/>
      <c r="M128" s="48"/>
      <c r="N128" s="48"/>
      <c r="O128" s="48"/>
      <c r="P128" s="48"/>
      <c r="Q128" s="48"/>
      <c r="R128" s="48"/>
      <c r="S128" s="165"/>
      <c r="T128" s="48"/>
      <c r="U128" s="48"/>
      <c r="V128" s="48"/>
      <c r="W128" s="48"/>
      <c r="X128" s="48"/>
      <c r="Y128" s="47"/>
      <c r="Z128" s="43"/>
      <c r="AA128" s="51"/>
      <c r="AB128" s="51"/>
      <c r="AC128" s="51"/>
      <c r="AD128" s="51"/>
      <c r="AE128" s="51"/>
      <c r="AF128" s="51"/>
    </row>
    <row r="129">
      <c r="A129" s="152">
        <v>2.0</v>
      </c>
      <c r="B129" s="153" t="s">
        <v>2207</v>
      </c>
      <c r="C129" s="47">
        <v>125.0</v>
      </c>
      <c r="D129" s="154">
        <v>2.0</v>
      </c>
      <c r="E129" s="154" t="s">
        <v>2208</v>
      </c>
      <c r="F129" s="156" t="str">
        <f>HYPERLINK("https://www.cnnindonesia.com/nasional/20190518010415-32-395940/moeldoko-sebut-tuntutan-kubu-prabowo-mirip-pilpres-2014 ","sumber")</f>
        <v>sumber</v>
      </c>
      <c r="G129" s="156" t="str">
        <f t="shared" si="1"/>
        <v>lokasi</v>
      </c>
      <c r="H129" s="153">
        <v>274.0</v>
      </c>
      <c r="I129" s="48"/>
      <c r="J129" s="154">
        <v>2.0</v>
      </c>
      <c r="K129" s="165"/>
      <c r="L129" s="48"/>
      <c r="M129" s="48"/>
      <c r="N129" s="48"/>
      <c r="O129" s="48"/>
      <c r="P129" s="48"/>
      <c r="Q129" s="48"/>
      <c r="R129" s="48"/>
      <c r="S129" s="165"/>
      <c r="T129" s="48"/>
      <c r="U129" s="48"/>
      <c r="V129" s="48"/>
      <c r="W129" s="48"/>
      <c r="X129" s="48"/>
      <c r="Y129" s="47"/>
      <c r="Z129" s="43"/>
      <c r="AA129" s="51"/>
      <c r="AB129" s="51"/>
      <c r="AC129" s="51"/>
      <c r="AD129" s="51"/>
      <c r="AE129" s="51"/>
      <c r="AF129" s="51"/>
    </row>
    <row r="130">
      <c r="A130" s="158">
        <v>1.0</v>
      </c>
      <c r="B130" s="159" t="s">
        <v>2209</v>
      </c>
      <c r="C130" s="44">
        <v>126.0</v>
      </c>
      <c r="D130" s="160">
        <v>4.0</v>
      </c>
      <c r="E130" s="160" t="s">
        <v>390</v>
      </c>
      <c r="F130" s="162" t="str">
        <f>HYPERLINK("https://www.liputan6.com/bisnis/read/3969814/kementerian-pupr-resmikan-jembatan-ramah-lingkungan-di-solo ","sumber")</f>
        <v>sumber</v>
      </c>
      <c r="G130" s="162" t="str">
        <f t="shared" si="1"/>
        <v>lokasi</v>
      </c>
      <c r="H130" s="159">
        <v>336.0</v>
      </c>
      <c r="I130" s="44">
        <v>4.0</v>
      </c>
      <c r="J130" s="160">
        <v>2.0</v>
      </c>
      <c r="K130" s="164" t="s">
        <v>2210</v>
      </c>
      <c r="L130" s="44">
        <v>0.0</v>
      </c>
      <c r="M130" s="44">
        <v>0.0</v>
      </c>
      <c r="N130" s="166">
        <v>0.0</v>
      </c>
      <c r="O130" s="44">
        <v>0.0</v>
      </c>
      <c r="P130" s="44">
        <v>0.0</v>
      </c>
      <c r="Q130" s="44">
        <v>0.0</v>
      </c>
      <c r="R130" s="44">
        <v>0.0</v>
      </c>
      <c r="S130" s="175"/>
      <c r="T130" s="44">
        <v>0.0</v>
      </c>
      <c r="U130" s="44">
        <v>0.0</v>
      </c>
      <c r="V130" s="44">
        <v>1.0</v>
      </c>
      <c r="W130" s="45"/>
      <c r="X130" s="45"/>
      <c r="Y130" s="45"/>
      <c r="Z130" s="9"/>
      <c r="AA130" s="52"/>
      <c r="AB130" s="9"/>
      <c r="AC130" s="9"/>
      <c r="AD130" s="9"/>
      <c r="AE130" s="9"/>
      <c r="AF130" s="9"/>
    </row>
    <row r="131">
      <c r="A131" s="152">
        <v>2.0</v>
      </c>
      <c r="B131" s="153" t="s">
        <v>2211</v>
      </c>
      <c r="C131" s="47">
        <v>127.0</v>
      </c>
      <c r="D131" s="154">
        <v>3.0</v>
      </c>
      <c r="E131" s="154" t="s">
        <v>2212</v>
      </c>
      <c r="F131" s="156" t="str">
        <f>HYPERLINK("https://sports.okezone.com/read/2019/05/27/38/2060941/keberanian-lorenzo-berpindah-pindah-tim-di-motogp-diapresiasi-bigot ","sumber")</f>
        <v>sumber</v>
      </c>
      <c r="G131" s="156" t="str">
        <f t="shared" si="1"/>
        <v>lokasi</v>
      </c>
      <c r="H131" s="153">
        <v>348.0</v>
      </c>
      <c r="I131" s="48"/>
      <c r="J131" s="154">
        <v>2.0</v>
      </c>
      <c r="K131" s="165"/>
      <c r="L131" s="48"/>
      <c r="M131" s="48"/>
      <c r="N131" s="48"/>
      <c r="O131" s="48"/>
      <c r="P131" s="48"/>
      <c r="Q131" s="48"/>
      <c r="R131" s="48"/>
      <c r="S131" s="165"/>
      <c r="T131" s="48"/>
      <c r="U131" s="48"/>
      <c r="V131" s="48"/>
      <c r="W131" s="48"/>
      <c r="X131" s="48"/>
      <c r="Y131" s="47"/>
      <c r="Z131" s="43"/>
      <c r="AA131" s="51"/>
      <c r="AB131" s="51"/>
      <c r="AC131" s="51"/>
      <c r="AD131" s="51"/>
      <c r="AE131" s="51"/>
      <c r="AF131" s="51"/>
    </row>
    <row r="132">
      <c r="A132" s="158">
        <v>1.0</v>
      </c>
      <c r="B132" s="159" t="s">
        <v>2213</v>
      </c>
      <c r="C132" s="44">
        <v>128.0</v>
      </c>
      <c r="D132" s="160">
        <v>2.0</v>
      </c>
      <c r="E132" s="160" t="s">
        <v>2065</v>
      </c>
      <c r="F132" s="162" t="str">
        <f>HYPERLINK("https://www.cnnindonesia.com/nasional/20190528160121-12-399181/sehat-jasamani-rohani-ratna-sarumpaet-tak-bebas-pidana ","sumber")</f>
        <v>sumber</v>
      </c>
      <c r="G132" s="162" t="str">
        <f t="shared" si="1"/>
        <v>lokasi</v>
      </c>
      <c r="H132" s="159">
        <v>256.0</v>
      </c>
      <c r="I132" s="44">
        <v>2.0</v>
      </c>
      <c r="J132" s="160">
        <v>2.0</v>
      </c>
      <c r="K132" s="164" t="s">
        <v>2214</v>
      </c>
      <c r="L132" s="44">
        <v>0.0</v>
      </c>
      <c r="M132" s="44">
        <v>0.0</v>
      </c>
      <c r="N132" s="166">
        <v>0.0</v>
      </c>
      <c r="O132" s="44">
        <v>0.0</v>
      </c>
      <c r="P132" s="44">
        <v>0.0</v>
      </c>
      <c r="Q132" s="44">
        <v>0.0</v>
      </c>
      <c r="R132" s="44">
        <v>0.0</v>
      </c>
      <c r="S132" s="175"/>
      <c r="T132" s="44">
        <v>0.0</v>
      </c>
      <c r="U132" s="44">
        <v>0.0</v>
      </c>
      <c r="V132" s="44">
        <v>0.0</v>
      </c>
      <c r="W132" s="45"/>
      <c r="X132" s="45"/>
      <c r="Y132" s="45"/>
      <c r="Z132" s="9"/>
      <c r="AA132" s="52"/>
      <c r="AB132" s="9"/>
      <c r="AC132" s="9"/>
      <c r="AD132" s="9"/>
      <c r="AE132" s="9"/>
      <c r="AF132" s="9"/>
    </row>
    <row r="133">
      <c r="A133" s="189">
        <v>1.0</v>
      </c>
      <c r="B133" s="190" t="s">
        <v>2215</v>
      </c>
      <c r="C133" s="55">
        <v>129.0</v>
      </c>
      <c r="D133" s="169">
        <v>5.0</v>
      </c>
      <c r="E133" s="169" t="s">
        <v>2216</v>
      </c>
      <c r="F133" s="171" t="str">
        <f>HYPERLINK("https://tirto.id/kpai-minta-pemerintah-ciptakan-mudik-ramah-disabilitas-d9hq ","sumber")</f>
        <v>sumber</v>
      </c>
      <c r="G133" s="171" t="str">
        <f t="shared" si="1"/>
        <v>lokasi</v>
      </c>
      <c r="H133" s="168">
        <v>269.0</v>
      </c>
      <c r="I133" s="55">
        <v>4.0</v>
      </c>
      <c r="J133" s="169">
        <v>2.0</v>
      </c>
      <c r="K133" s="172" t="s">
        <v>2217</v>
      </c>
      <c r="L133" s="55">
        <v>0.0</v>
      </c>
      <c r="M133" s="55">
        <v>0.0</v>
      </c>
      <c r="N133" s="173">
        <v>0.0</v>
      </c>
      <c r="O133" s="55">
        <v>0.0</v>
      </c>
      <c r="P133" s="55">
        <v>0.0</v>
      </c>
      <c r="Q133" s="55" t="s">
        <v>61</v>
      </c>
      <c r="R133" s="55" t="s">
        <v>192</v>
      </c>
      <c r="S133" s="174"/>
      <c r="T133" s="55">
        <v>0.0</v>
      </c>
      <c r="U133" s="55">
        <v>0.0</v>
      </c>
      <c r="V133" s="55">
        <v>1.0</v>
      </c>
      <c r="W133" s="46"/>
      <c r="X133" s="46"/>
      <c r="Y133" s="55"/>
      <c r="Z133" s="30"/>
      <c r="AA133" s="30"/>
      <c r="AB133" s="31"/>
      <c r="AC133" s="31"/>
      <c r="AD133" s="31"/>
      <c r="AE133" s="31"/>
      <c r="AF133" s="31"/>
    </row>
    <row r="134">
      <c r="A134" s="167">
        <v>1.0</v>
      </c>
      <c r="B134" s="168" t="s">
        <v>2218</v>
      </c>
      <c r="C134" s="55">
        <v>130.0</v>
      </c>
      <c r="D134" s="169">
        <v>6.0</v>
      </c>
      <c r="E134" s="169" t="s">
        <v>212</v>
      </c>
      <c r="F134" s="171" t="str">
        <f>HYPERLINK("https://regional.kompas.com/read/2019/05/31/14442641/risma-sebut-tiap-tahun-penderita-gangguan-jiwa-dikirim-ke-surabaya-jumlahnya ","sumber")</f>
        <v>sumber</v>
      </c>
      <c r="G134" s="171" t="str">
        <f t="shared" si="1"/>
        <v>lokasi</v>
      </c>
      <c r="H134" s="168">
        <v>235.0</v>
      </c>
      <c r="I134" s="55">
        <v>5.0</v>
      </c>
      <c r="J134" s="169">
        <v>2.0</v>
      </c>
      <c r="K134" s="172" t="s">
        <v>2219</v>
      </c>
      <c r="L134" s="55">
        <v>0.0</v>
      </c>
      <c r="M134" s="55">
        <v>0.0</v>
      </c>
      <c r="N134" s="173">
        <v>0.0</v>
      </c>
      <c r="O134" s="55">
        <v>0.0</v>
      </c>
      <c r="P134" s="55">
        <v>-1.0</v>
      </c>
      <c r="Q134" s="55">
        <v>0.0</v>
      </c>
      <c r="R134" s="55">
        <v>-1.0</v>
      </c>
      <c r="S134" s="174"/>
      <c r="T134" s="55">
        <v>0.0</v>
      </c>
      <c r="U134" s="55">
        <v>0.0</v>
      </c>
      <c r="V134" s="55">
        <v>0.0</v>
      </c>
      <c r="W134" s="46"/>
      <c r="X134" s="46"/>
      <c r="Y134" s="55"/>
      <c r="Z134" s="30"/>
      <c r="AA134" s="30"/>
      <c r="AB134" s="31"/>
      <c r="AC134" s="31"/>
      <c r="AD134" s="31"/>
      <c r="AE134" s="31"/>
      <c r="AF134" s="31"/>
    </row>
    <row r="135">
      <c r="A135" s="152">
        <v>2.0</v>
      </c>
      <c r="B135" s="153" t="s">
        <v>2220</v>
      </c>
      <c r="C135" s="47">
        <v>131.0</v>
      </c>
      <c r="D135" s="154">
        <v>7.0</v>
      </c>
      <c r="E135" s="154" t="s">
        <v>212</v>
      </c>
      <c r="F135" s="156" t="str">
        <f>HYPERLINK("http://www.tribunnews.com/kesehatan/2019/05/31/ibu-rumah-tangga-gagal-diet-umumnya-karena-kebiasaan-ini ","sumber")</f>
        <v>sumber</v>
      </c>
      <c r="G135" s="156" t="str">
        <f t="shared" si="1"/>
        <v>lokasi</v>
      </c>
      <c r="H135" s="153">
        <v>199.0</v>
      </c>
      <c r="I135" s="48"/>
      <c r="J135" s="154">
        <v>2.0</v>
      </c>
      <c r="K135" s="165"/>
      <c r="L135" s="48"/>
      <c r="M135" s="48"/>
      <c r="N135" s="48"/>
      <c r="O135" s="48"/>
      <c r="P135" s="48"/>
      <c r="Q135" s="48"/>
      <c r="R135" s="48"/>
      <c r="S135" s="165"/>
      <c r="T135" s="48"/>
      <c r="U135" s="48"/>
      <c r="V135" s="48"/>
      <c r="W135" s="48"/>
      <c r="X135" s="48"/>
      <c r="Y135" s="47"/>
      <c r="Z135" s="43"/>
      <c r="AA135" s="51"/>
      <c r="AB135" s="51"/>
      <c r="AC135" s="51"/>
      <c r="AD135" s="51"/>
      <c r="AE135" s="51"/>
      <c r="AF135" s="51"/>
    </row>
    <row r="136">
      <c r="A136" s="189">
        <v>1.0</v>
      </c>
      <c r="B136" s="190" t="s">
        <v>2221</v>
      </c>
      <c r="C136" s="55">
        <v>132.0</v>
      </c>
      <c r="D136" s="169">
        <v>7.0</v>
      </c>
      <c r="E136" s="169" t="s">
        <v>259</v>
      </c>
      <c r="F136" s="171" t="str">
        <f>HYPERLINK("http://www.tribunnews.com/seleb/2019/06/15/viral-curhatan-netizen-biarkan-orang-gila-bertamu-di-rumahnya-dikira-prank-begini-reaksi-baim-wong ","sumber")</f>
        <v>sumber</v>
      </c>
      <c r="G136" s="171" t="str">
        <f t="shared" si="1"/>
        <v>lokasi</v>
      </c>
      <c r="H136" s="168">
        <v>182.0</v>
      </c>
      <c r="I136" s="55">
        <v>5.0</v>
      </c>
      <c r="J136" s="169">
        <v>2.0</v>
      </c>
      <c r="K136" s="172" t="s">
        <v>2147</v>
      </c>
      <c r="L136" s="55">
        <v>0.0</v>
      </c>
      <c r="M136" s="55">
        <v>0.0</v>
      </c>
      <c r="N136" s="173">
        <v>0.0</v>
      </c>
      <c r="O136" s="55">
        <v>0.0</v>
      </c>
      <c r="P136" s="55">
        <v>-1.0</v>
      </c>
      <c r="Q136" s="55">
        <v>0.0</v>
      </c>
      <c r="R136" s="55">
        <v>0.0</v>
      </c>
      <c r="S136" s="172" t="s">
        <v>2222</v>
      </c>
      <c r="T136" s="55">
        <v>10.0</v>
      </c>
      <c r="U136" s="55">
        <v>0.0</v>
      </c>
      <c r="V136" s="55">
        <v>0.0</v>
      </c>
      <c r="W136" s="46"/>
      <c r="X136" s="46"/>
      <c r="Y136" s="55"/>
      <c r="Z136" s="30"/>
      <c r="AA136" s="30"/>
      <c r="AB136" s="31"/>
      <c r="AC136" s="31"/>
      <c r="AD136" s="31"/>
      <c r="AE136" s="31"/>
      <c r="AF136" s="31"/>
    </row>
    <row r="137">
      <c r="A137" s="158">
        <v>1.0</v>
      </c>
      <c r="B137" s="159" t="s">
        <v>2223</v>
      </c>
      <c r="C137" s="44">
        <v>133.0</v>
      </c>
      <c r="D137" s="160">
        <v>5.0</v>
      </c>
      <c r="E137" s="161">
        <v>43683.0</v>
      </c>
      <c r="F137" s="162" t="str">
        <f>HYPERLINK("https://tirto.id/104066-wisatawan-kunjungi-gunungkidul-saat-lebaran-2019-d9Al ","sumber")</f>
        <v>sumber</v>
      </c>
      <c r="G137" s="162" t="str">
        <f t="shared" si="1"/>
        <v>lokasi</v>
      </c>
      <c r="H137" s="159">
        <v>388.0</v>
      </c>
      <c r="I137" s="44">
        <v>3.0</v>
      </c>
      <c r="J137" s="160">
        <v>2.0</v>
      </c>
      <c r="K137" s="164" t="s">
        <v>2224</v>
      </c>
      <c r="L137" s="44">
        <v>0.0</v>
      </c>
      <c r="M137" s="44">
        <v>0.0</v>
      </c>
      <c r="N137" s="166">
        <v>0.0</v>
      </c>
      <c r="O137" s="44">
        <v>0.0</v>
      </c>
      <c r="P137" s="44">
        <v>0.0</v>
      </c>
      <c r="Q137" s="44" t="s">
        <v>61</v>
      </c>
      <c r="R137" s="44" t="s">
        <v>61</v>
      </c>
      <c r="S137" s="175"/>
      <c r="T137" s="44">
        <v>0.0</v>
      </c>
      <c r="U137" s="44">
        <v>0.0</v>
      </c>
      <c r="V137" s="44">
        <v>0.0</v>
      </c>
      <c r="W137" s="45"/>
      <c r="X137" s="45"/>
      <c r="Y137" s="45"/>
      <c r="Z137" s="9"/>
      <c r="AA137" s="52"/>
      <c r="AB137" s="9"/>
      <c r="AC137" s="9"/>
      <c r="AD137" s="9"/>
      <c r="AE137" s="9"/>
      <c r="AF137" s="9"/>
    </row>
    <row r="138">
      <c r="A138" s="158">
        <v>1.0</v>
      </c>
      <c r="B138" s="159" t="s">
        <v>2225</v>
      </c>
      <c r="C138" s="44">
        <v>134.0</v>
      </c>
      <c r="D138" s="160">
        <v>3.0</v>
      </c>
      <c r="E138" s="161">
        <v>43775.0</v>
      </c>
      <c r="F138" s="162" t="str">
        <f>HYPERLINK("https://index.okezone.com/read/2019/06/11/612/2065313/11-anak-ini-memiliki-kekuatan-super-di-kehidupan-nyata ","sumber")</f>
        <v>sumber</v>
      </c>
      <c r="G138" s="162" t="str">
        <f t="shared" si="1"/>
        <v>lokasi</v>
      </c>
      <c r="H138" s="159">
        <v>885.0</v>
      </c>
      <c r="I138" s="44">
        <v>2.0</v>
      </c>
      <c r="J138" s="160">
        <v>2.0</v>
      </c>
      <c r="K138" s="164" t="s">
        <v>2226</v>
      </c>
      <c r="L138" s="44">
        <v>-1.0</v>
      </c>
      <c r="M138" s="44">
        <v>0.0</v>
      </c>
      <c r="N138" s="166">
        <v>0.0</v>
      </c>
      <c r="O138" s="44">
        <v>0.0</v>
      </c>
      <c r="P138" s="44">
        <v>0.0</v>
      </c>
      <c r="Q138" s="44">
        <v>0.0</v>
      </c>
      <c r="R138" s="44">
        <v>0.0</v>
      </c>
      <c r="S138" s="164" t="s">
        <v>2227</v>
      </c>
      <c r="T138" s="44">
        <v>1.0</v>
      </c>
      <c r="U138" s="44">
        <v>0.0</v>
      </c>
      <c r="V138" s="44">
        <v>0.0</v>
      </c>
      <c r="W138" s="45"/>
      <c r="X138" s="45"/>
      <c r="Y138" s="45"/>
      <c r="Z138" s="9"/>
      <c r="AA138" s="52"/>
      <c r="AB138" s="9"/>
      <c r="AC138" s="9"/>
      <c r="AD138" s="9"/>
      <c r="AE138" s="9"/>
      <c r="AF138" s="9"/>
    </row>
    <row r="139">
      <c r="A139" s="158">
        <v>1.0</v>
      </c>
      <c r="B139" s="159" t="s">
        <v>2228</v>
      </c>
      <c r="C139" s="44">
        <v>135.0</v>
      </c>
      <c r="D139" s="160">
        <v>5.0</v>
      </c>
      <c r="E139" s="161">
        <v>43775.0</v>
      </c>
      <c r="F139" s="162" t="str">
        <f>HYPERLINK("https://tirto.id/ashin-wirathu-biksu-radikal-sobat-setia-militer-myanmar-d9rr ","sumber")</f>
        <v>sumber</v>
      </c>
      <c r="G139" s="162" t="str">
        <f t="shared" si="1"/>
        <v>lokasi</v>
      </c>
      <c r="H139" s="159">
        <v>1443.0</v>
      </c>
      <c r="I139" s="44">
        <v>1.0</v>
      </c>
      <c r="J139" s="160">
        <v>2.0</v>
      </c>
      <c r="K139" s="164" t="s">
        <v>2229</v>
      </c>
      <c r="L139" s="44">
        <v>0.0</v>
      </c>
      <c r="M139" s="44">
        <v>1.0</v>
      </c>
      <c r="N139" s="166">
        <v>0.0</v>
      </c>
      <c r="O139" s="44">
        <v>0.0</v>
      </c>
      <c r="P139" s="44">
        <v>0.0</v>
      </c>
      <c r="Q139" s="44" t="s">
        <v>53</v>
      </c>
      <c r="R139" s="44" t="s">
        <v>2230</v>
      </c>
      <c r="S139" s="175"/>
      <c r="T139" s="44">
        <v>0.0</v>
      </c>
      <c r="U139" s="44">
        <v>0.0</v>
      </c>
      <c r="V139" s="44">
        <v>1.0</v>
      </c>
      <c r="W139" s="45"/>
      <c r="X139" s="45"/>
      <c r="Y139" s="45"/>
      <c r="Z139" s="9"/>
      <c r="AA139" s="52"/>
      <c r="AB139" s="9"/>
      <c r="AC139" s="9"/>
      <c r="AD139" s="9"/>
      <c r="AE139" s="9"/>
      <c r="AF139" s="9"/>
    </row>
    <row r="140">
      <c r="A140" s="189">
        <v>1.0</v>
      </c>
      <c r="B140" s="190" t="s">
        <v>2231</v>
      </c>
      <c r="C140" s="55">
        <v>136.0</v>
      </c>
      <c r="D140" s="169">
        <v>10.0</v>
      </c>
      <c r="E140" s="170">
        <v>43591.0</v>
      </c>
      <c r="F140" s="171" t="str">
        <f>HYPERLINK("https://bisnis.tempo.co/read/1212360/open-house-lebaran-gubernur-bi-terima-tamu-komunitas-difabel ","sumber")</f>
        <v>sumber</v>
      </c>
      <c r="G140" s="171" t="str">
        <f t="shared" si="1"/>
        <v>lokasi</v>
      </c>
      <c r="H140" s="168">
        <v>275.0</v>
      </c>
      <c r="I140" s="55">
        <v>3.0</v>
      </c>
      <c r="J140" s="169">
        <v>2.0</v>
      </c>
      <c r="K140" s="172" t="s">
        <v>2232</v>
      </c>
      <c r="L140" s="55">
        <v>0.0</v>
      </c>
      <c r="M140" s="55">
        <v>0.0</v>
      </c>
      <c r="N140" s="173">
        <v>0.0</v>
      </c>
      <c r="O140" s="55">
        <v>0.0</v>
      </c>
      <c r="P140" s="55">
        <v>0.0</v>
      </c>
      <c r="Q140" s="55">
        <v>0.0</v>
      </c>
      <c r="R140" s="55">
        <v>1.0</v>
      </c>
      <c r="S140" s="174"/>
      <c r="T140" s="55">
        <v>0.0</v>
      </c>
      <c r="U140" s="55">
        <v>0.0</v>
      </c>
      <c r="V140" s="55">
        <v>0.0</v>
      </c>
      <c r="W140" s="46"/>
      <c r="X140" s="46"/>
      <c r="Y140" s="55"/>
      <c r="Z140" s="30"/>
      <c r="AA140" s="30"/>
      <c r="AB140" s="31"/>
      <c r="AC140" s="31"/>
      <c r="AD140" s="31"/>
      <c r="AE140" s="31"/>
      <c r="AF140" s="31"/>
    </row>
    <row r="141">
      <c r="A141" s="152">
        <v>2.0</v>
      </c>
      <c r="B141" s="153" t="s">
        <v>2233</v>
      </c>
      <c r="C141" s="47">
        <v>137.0</v>
      </c>
      <c r="D141" s="154">
        <v>7.0</v>
      </c>
      <c r="E141" s="154" t="s">
        <v>414</v>
      </c>
      <c r="F141" s="156" t="str">
        <f>HYPERLINK("http://www.tribunnews.com/seleb/2019/06/18/cium-putrinya-di-tempat-umum-david-beckham-kembali-tuai-kontroversi ","sumber")</f>
        <v>sumber</v>
      </c>
      <c r="G141" s="156" t="str">
        <f t="shared" si="1"/>
        <v>lokasi</v>
      </c>
      <c r="H141" s="153">
        <v>112.0</v>
      </c>
      <c r="I141" s="48"/>
      <c r="J141" s="154">
        <v>2.0</v>
      </c>
      <c r="K141" s="165"/>
      <c r="L141" s="48"/>
      <c r="M141" s="48"/>
      <c r="N141" s="48"/>
      <c r="O141" s="48"/>
      <c r="P141" s="48"/>
      <c r="Q141" s="48"/>
      <c r="R141" s="48"/>
      <c r="S141" s="165"/>
      <c r="T141" s="48"/>
      <c r="U141" s="48"/>
      <c r="V141" s="48"/>
      <c r="W141" s="48"/>
      <c r="X141" s="48"/>
      <c r="Y141" s="47"/>
      <c r="Z141" s="43"/>
      <c r="AA141" s="51"/>
      <c r="AB141" s="51"/>
      <c r="AC141" s="51"/>
      <c r="AD141" s="51"/>
      <c r="AE141" s="51"/>
      <c r="AF141" s="51"/>
    </row>
    <row r="142">
      <c r="A142" s="152">
        <v>2.0</v>
      </c>
      <c r="B142" s="153" t="s">
        <v>2234</v>
      </c>
      <c r="C142" s="47">
        <v>138.0</v>
      </c>
      <c r="D142" s="154">
        <v>6.0</v>
      </c>
      <c r="E142" s="154" t="s">
        <v>252</v>
      </c>
      <c r="F142" s="156" t="str">
        <f>HYPERLINK("https://regional.kompas.com/read/2019/06/21/19115411/ridwan-kamil-80-persen-pinjaman-bank-dunia-untuk-atasi-sampah-bandung-raya ","sumber")</f>
        <v>sumber</v>
      </c>
      <c r="G142" s="156" t="str">
        <f t="shared" si="1"/>
        <v>lokasi</v>
      </c>
      <c r="H142" s="153">
        <v>252.0</v>
      </c>
      <c r="I142" s="48"/>
      <c r="J142" s="154">
        <v>2.0</v>
      </c>
      <c r="K142" s="165"/>
      <c r="L142" s="48"/>
      <c r="M142" s="48"/>
      <c r="N142" s="48"/>
      <c r="O142" s="48"/>
      <c r="P142" s="48"/>
      <c r="Q142" s="48"/>
      <c r="R142" s="48"/>
      <c r="S142" s="165"/>
      <c r="T142" s="48"/>
      <c r="U142" s="48"/>
      <c r="V142" s="48"/>
      <c r="W142" s="48"/>
      <c r="X142" s="48"/>
      <c r="Y142" s="47"/>
      <c r="Z142" s="43"/>
      <c r="AA142" s="51"/>
      <c r="AB142" s="51"/>
      <c r="AC142" s="51"/>
      <c r="AD142" s="51"/>
      <c r="AE142" s="51"/>
      <c r="AF142" s="51"/>
    </row>
    <row r="143">
      <c r="A143" s="158">
        <v>1.0</v>
      </c>
      <c r="B143" s="159" t="s">
        <v>2235</v>
      </c>
      <c r="C143" s="44">
        <v>139.0</v>
      </c>
      <c r="D143" s="160">
        <v>1.0</v>
      </c>
      <c r="E143" s="160" t="s">
        <v>267</v>
      </c>
      <c r="F143" s="162" t="str">
        <f>HYPERLINK("https://health.detik.com/berita-detikhealth/d-4596181/156-juta-orang-indonesia-alami-depresi-cuma-8-persen-yang-berobat ","sumber")</f>
        <v>sumber</v>
      </c>
      <c r="G143" s="162" t="str">
        <f t="shared" si="1"/>
        <v>lokasi</v>
      </c>
      <c r="H143" s="159">
        <v>206.0</v>
      </c>
      <c r="I143" s="44">
        <v>5.0</v>
      </c>
      <c r="J143" s="160">
        <v>2.0</v>
      </c>
      <c r="K143" s="164" t="s">
        <v>1298</v>
      </c>
      <c r="L143" s="44">
        <v>0.0</v>
      </c>
      <c r="M143" s="44">
        <v>0.0</v>
      </c>
      <c r="N143" s="166">
        <v>0.0</v>
      </c>
      <c r="O143" s="44">
        <v>0.0</v>
      </c>
      <c r="P143" s="44">
        <v>0.0</v>
      </c>
      <c r="Q143" s="44">
        <v>0.0</v>
      </c>
      <c r="R143" s="44">
        <v>1.0</v>
      </c>
      <c r="S143" s="175"/>
      <c r="T143" s="44">
        <v>0.0</v>
      </c>
      <c r="U143" s="44">
        <v>0.0</v>
      </c>
      <c r="V143" s="44">
        <v>1.0</v>
      </c>
      <c r="W143" s="45"/>
      <c r="X143" s="45"/>
      <c r="Y143" s="45"/>
      <c r="Z143" s="9"/>
      <c r="AA143" s="52"/>
      <c r="AB143" s="9"/>
      <c r="AC143" s="9"/>
      <c r="AD143" s="9"/>
      <c r="AE143" s="9"/>
      <c r="AF143" s="9"/>
    </row>
    <row r="144">
      <c r="A144" s="158">
        <v>1.0</v>
      </c>
      <c r="B144" s="159" t="s">
        <v>2236</v>
      </c>
      <c r="C144" s="44">
        <v>140.0</v>
      </c>
      <c r="D144" s="160">
        <v>1.0</v>
      </c>
      <c r="E144" s="160" t="s">
        <v>2237</v>
      </c>
      <c r="F144" s="162" t="str">
        <f>HYPERLINK("https://health.detik.com/berita-detikhealth/d-4596593/sedih-masih-banyak-yang-menanggap-depresi-sebagai-aib-daripada-penyakit ","sumber")</f>
        <v>sumber</v>
      </c>
      <c r="G144" s="162" t="str">
        <f t="shared" si="1"/>
        <v>lokasi</v>
      </c>
      <c r="H144" s="159">
        <v>255.0</v>
      </c>
      <c r="I144" s="44">
        <v>5.0</v>
      </c>
      <c r="J144" s="160">
        <v>2.0</v>
      </c>
      <c r="K144" s="164" t="s">
        <v>2238</v>
      </c>
      <c r="L144" s="44">
        <v>0.0</v>
      </c>
      <c r="M144" s="44">
        <v>0.0</v>
      </c>
      <c r="N144" s="166">
        <v>0.0</v>
      </c>
      <c r="O144" s="44">
        <v>0.0</v>
      </c>
      <c r="P144" s="44">
        <v>-1.0</v>
      </c>
      <c r="Q144" s="44" t="s">
        <v>61</v>
      </c>
      <c r="R144" s="44" t="s">
        <v>192</v>
      </c>
      <c r="S144" s="175"/>
      <c r="T144" s="44">
        <v>0.0</v>
      </c>
      <c r="U144" s="44">
        <v>0.0</v>
      </c>
      <c r="V144" s="44">
        <v>1.0</v>
      </c>
      <c r="W144" s="45"/>
      <c r="X144" s="45"/>
      <c r="Y144" s="45"/>
      <c r="Z144" s="9"/>
      <c r="AA144" s="52"/>
      <c r="AB144" s="9"/>
      <c r="AC144" s="9"/>
      <c r="AD144" s="9"/>
      <c r="AE144" s="9"/>
      <c r="AF144" s="9"/>
    </row>
    <row r="145">
      <c r="A145" s="189">
        <v>1.0</v>
      </c>
      <c r="B145" s="190" t="s">
        <v>2239</v>
      </c>
      <c r="C145" s="55">
        <v>141.0</v>
      </c>
      <c r="D145" s="169">
        <v>10.0</v>
      </c>
      <c r="E145" s="169" t="s">
        <v>420</v>
      </c>
      <c r="F145" s="171" t="str">
        <f>HYPERLINK("https://difabel.tempo.co/read/1215285/6-tips-parenting-mengatasi-tantrum-anak-multi-disabilitas ","sumber")</f>
        <v>sumber</v>
      </c>
      <c r="G145" s="171" t="str">
        <f t="shared" si="1"/>
        <v>lokasi</v>
      </c>
      <c r="H145" s="168">
        <v>422.0</v>
      </c>
      <c r="I145" s="55">
        <v>2.0</v>
      </c>
      <c r="J145" s="169">
        <v>2.0</v>
      </c>
      <c r="K145" s="172" t="s">
        <v>2240</v>
      </c>
      <c r="L145" s="55">
        <v>0.0</v>
      </c>
      <c r="M145" s="55">
        <v>0.0</v>
      </c>
      <c r="N145" s="173">
        <v>0.0</v>
      </c>
      <c r="O145" s="55">
        <v>0.0</v>
      </c>
      <c r="P145" s="55">
        <v>0.0</v>
      </c>
      <c r="Q145" s="55">
        <v>0.0</v>
      </c>
      <c r="R145" s="55">
        <v>1.0</v>
      </c>
      <c r="S145" s="174"/>
      <c r="T145" s="55">
        <v>0.0</v>
      </c>
      <c r="U145" s="55">
        <v>0.0</v>
      </c>
      <c r="V145" s="55">
        <v>1.0</v>
      </c>
      <c r="W145" s="46"/>
      <c r="X145" s="46"/>
      <c r="Y145" s="55"/>
      <c r="Z145" s="30"/>
      <c r="AA145" s="30"/>
      <c r="AB145" s="31"/>
      <c r="AC145" s="31"/>
      <c r="AD145" s="31"/>
      <c r="AE145" s="31"/>
      <c r="AF145" s="31"/>
    </row>
    <row r="146">
      <c r="A146" s="152">
        <v>2.0</v>
      </c>
      <c r="B146" s="153" t="s">
        <v>2241</v>
      </c>
      <c r="C146" s="47">
        <v>142.0</v>
      </c>
      <c r="D146" s="154">
        <v>9.0</v>
      </c>
      <c r="E146" s="154" t="s">
        <v>270</v>
      </c>
      <c r="F146" s="156" t="str">
        <f>HYPERLINK("https://republika.co.id/berita/kolom/wacana/ptmuip385/dadhanggula-blues-country-kisah-diponegoro-november-1828 ","sumber")</f>
        <v>sumber</v>
      </c>
      <c r="G146" s="156" t="str">
        <f t="shared" si="1"/>
        <v>lokasi</v>
      </c>
      <c r="H146" s="153">
        <v>647.0</v>
      </c>
      <c r="I146" s="48"/>
      <c r="J146" s="154">
        <v>2.0</v>
      </c>
      <c r="K146" s="165"/>
      <c r="L146" s="48"/>
      <c r="M146" s="48"/>
      <c r="N146" s="48"/>
      <c r="O146" s="48"/>
      <c r="P146" s="48"/>
      <c r="Q146" s="48"/>
      <c r="R146" s="48"/>
      <c r="S146" s="165"/>
      <c r="T146" s="48"/>
      <c r="U146" s="48"/>
      <c r="V146" s="48"/>
      <c r="W146" s="48"/>
      <c r="X146" s="48"/>
      <c r="Y146" s="47"/>
      <c r="Z146" s="43"/>
      <c r="AA146" s="43"/>
      <c r="AB146" s="51"/>
      <c r="AC146" s="51"/>
      <c r="AD146" s="51"/>
      <c r="AE146" s="51"/>
      <c r="AF146" s="51"/>
    </row>
    <row r="147">
      <c r="A147" s="152">
        <v>2.0</v>
      </c>
      <c r="B147" s="153" t="s">
        <v>2242</v>
      </c>
      <c r="C147" s="47">
        <v>143.0</v>
      </c>
      <c r="D147" s="154">
        <v>3.0</v>
      </c>
      <c r="E147" s="154" t="s">
        <v>273</v>
      </c>
      <c r="F147" s="156" t="str">
        <f>HYPERLINK("https://sports.okezone.com/read/2019/06/28/38/2072035/lorenzo-lepas-dari-hukuman-vinales-kesal ","sumber")</f>
        <v>sumber</v>
      </c>
      <c r="G147" s="156" t="str">
        <f t="shared" si="1"/>
        <v>lokasi</v>
      </c>
      <c r="H147" s="153">
        <v>357.0</v>
      </c>
      <c r="I147" s="48"/>
      <c r="J147" s="154">
        <v>2.0</v>
      </c>
      <c r="K147" s="165"/>
      <c r="L147" s="48"/>
      <c r="M147" s="48"/>
      <c r="N147" s="48"/>
      <c r="O147" s="48"/>
      <c r="P147" s="48"/>
      <c r="Q147" s="48"/>
      <c r="R147" s="48"/>
      <c r="S147" s="165"/>
      <c r="T147" s="48"/>
      <c r="U147" s="48"/>
      <c r="V147" s="48"/>
      <c r="W147" s="48"/>
      <c r="X147" s="48"/>
      <c r="Y147" s="47"/>
      <c r="Z147" s="43"/>
      <c r="AA147" s="51"/>
      <c r="AB147" s="51"/>
      <c r="AC147" s="51"/>
      <c r="AD147" s="51"/>
      <c r="AE147" s="51"/>
      <c r="AF147" s="51"/>
    </row>
    <row r="148">
      <c r="A148" s="152">
        <v>2.0</v>
      </c>
      <c r="B148" s="153" t="s">
        <v>2243</v>
      </c>
      <c r="C148" s="47">
        <v>144.0</v>
      </c>
      <c r="D148" s="154">
        <v>2.0</v>
      </c>
      <c r="E148" s="155">
        <v>43592.0</v>
      </c>
      <c r="F148" s="156" t="str">
        <f>HYPERLINK("https://www.cnnindonesia.com/ekonomi/20190704174436-92-409203/perluas-pasar-indonesian-tobacco-akan-gandeng-india ","sumber")</f>
        <v>sumber</v>
      </c>
      <c r="G148" s="156" t="str">
        <f t="shared" si="1"/>
        <v>lokasi</v>
      </c>
      <c r="H148" s="153">
        <v>410.0</v>
      </c>
      <c r="I148" s="48"/>
      <c r="J148" s="154">
        <v>2.0</v>
      </c>
      <c r="K148" s="165"/>
      <c r="L148" s="48"/>
      <c r="M148" s="48"/>
      <c r="N148" s="48"/>
      <c r="O148" s="48"/>
      <c r="P148" s="48"/>
      <c r="Q148" s="48"/>
      <c r="R148" s="48"/>
      <c r="S148" s="165"/>
      <c r="T148" s="48"/>
      <c r="U148" s="48"/>
      <c r="V148" s="48"/>
      <c r="W148" s="48"/>
      <c r="X148" s="48"/>
      <c r="Y148" s="47"/>
      <c r="Z148" s="43"/>
      <c r="AA148" s="51"/>
      <c r="AB148" s="51"/>
      <c r="AC148" s="51"/>
      <c r="AD148" s="51"/>
      <c r="AE148" s="51"/>
      <c r="AF148" s="51"/>
    </row>
    <row r="149">
      <c r="A149" s="158">
        <v>1.0</v>
      </c>
      <c r="B149" s="159" t="s">
        <v>2244</v>
      </c>
      <c r="C149" s="44">
        <v>145.0</v>
      </c>
      <c r="D149" s="160">
        <v>6.0</v>
      </c>
      <c r="E149" s="161">
        <v>43745.0</v>
      </c>
      <c r="F149" s="162" t="str">
        <f>HYPERLINK("https://megapolitan.kompas.com/read/2019/07/10/13050591/kantor-imigrasi-baru-di-bekasi-diklaim-jadi-role-model-kolaborasi ","sumber")</f>
        <v>sumber</v>
      </c>
      <c r="G149" s="162" t="str">
        <f t="shared" si="1"/>
        <v>lokasi</v>
      </c>
      <c r="H149" s="159">
        <v>350.0</v>
      </c>
      <c r="I149" s="44">
        <v>4.0</v>
      </c>
      <c r="J149" s="160">
        <v>2.0</v>
      </c>
      <c r="K149" s="164" t="s">
        <v>2245</v>
      </c>
      <c r="L149" s="44">
        <v>0.0</v>
      </c>
      <c r="M149" s="44">
        <v>0.0</v>
      </c>
      <c r="N149" s="166">
        <v>0.0</v>
      </c>
      <c r="O149" s="44">
        <v>0.0</v>
      </c>
      <c r="P149" s="44">
        <v>0.0</v>
      </c>
      <c r="Q149" s="44" t="s">
        <v>61</v>
      </c>
      <c r="R149" s="44" t="s">
        <v>61</v>
      </c>
      <c r="S149" s="175"/>
      <c r="T149" s="44">
        <v>0.0</v>
      </c>
      <c r="U149" s="44">
        <v>0.0</v>
      </c>
      <c r="V149" s="44">
        <v>1.0</v>
      </c>
      <c r="W149" s="45"/>
      <c r="X149" s="45"/>
      <c r="Y149" s="45"/>
      <c r="Z149" s="9"/>
      <c r="AA149" s="52"/>
      <c r="AB149" s="9"/>
      <c r="AC149" s="9"/>
      <c r="AD149" s="9"/>
      <c r="AE149" s="9"/>
      <c r="AF149" s="9"/>
    </row>
    <row r="150">
      <c r="A150" s="158">
        <v>1.0</v>
      </c>
      <c r="B150" s="159" t="s">
        <v>2246</v>
      </c>
      <c r="C150" s="44">
        <v>146.0</v>
      </c>
      <c r="D150" s="160">
        <v>4.0</v>
      </c>
      <c r="E150" s="160" t="s">
        <v>645</v>
      </c>
      <c r="F150" s="162" t="str">
        <f>HYPERLINK("https://www.liputan6.com/news/read/4011446/cerita-pilu-bocah-10-tahun-dibunuh-kakak-kandung-di-bogor ","sumber")</f>
        <v>sumber</v>
      </c>
      <c r="G150" s="162" t="str">
        <f t="shared" si="1"/>
        <v>lokasi</v>
      </c>
      <c r="H150" s="159">
        <v>676.0</v>
      </c>
      <c r="I150" s="44">
        <v>1.0</v>
      </c>
      <c r="J150" s="160">
        <v>2.0</v>
      </c>
      <c r="K150" s="164" t="s">
        <v>2247</v>
      </c>
      <c r="L150" s="44">
        <v>0.0</v>
      </c>
      <c r="M150" s="44">
        <v>1.0</v>
      </c>
      <c r="N150" s="166">
        <v>0.0</v>
      </c>
      <c r="O150" s="44">
        <v>0.0</v>
      </c>
      <c r="P150" s="44">
        <v>0.0</v>
      </c>
      <c r="Q150" s="44" t="s">
        <v>53</v>
      </c>
      <c r="R150" s="44" t="s">
        <v>53</v>
      </c>
      <c r="S150" s="175"/>
      <c r="T150" s="44">
        <v>0.0</v>
      </c>
      <c r="U150" s="44">
        <v>0.0</v>
      </c>
      <c r="V150" s="44">
        <v>0.0</v>
      </c>
      <c r="W150" s="45"/>
      <c r="X150" s="45"/>
      <c r="Y150" s="45"/>
      <c r="Z150" s="9"/>
      <c r="AA150" s="52"/>
      <c r="AB150" s="9"/>
      <c r="AC150" s="9"/>
      <c r="AD150" s="9"/>
      <c r="AE150" s="9"/>
      <c r="AF150" s="9"/>
    </row>
    <row r="151">
      <c r="A151" s="176">
        <v>1.0</v>
      </c>
      <c r="B151" s="196" t="s">
        <v>2248</v>
      </c>
      <c r="C151" s="178">
        <v>147.0</v>
      </c>
      <c r="D151" s="179">
        <v>3.0</v>
      </c>
      <c r="E151" s="195">
        <v>43531.0</v>
      </c>
      <c r="F151" s="180" t="str">
        <f>HYPERLINK("https://news.okezone.com/read/2019/07/03/338/2074243/perempuan-pembawa-anjing-ke-masjid-tak-wajib-di-bap ","sumber")</f>
        <v>sumber</v>
      </c>
      <c r="G151" s="180" t="str">
        <f t="shared" si="1"/>
        <v>lokasi</v>
      </c>
      <c r="H151" s="177">
        <v>177.0</v>
      </c>
      <c r="I151" s="178">
        <v>1.0</v>
      </c>
      <c r="J151" s="179">
        <v>2.0</v>
      </c>
      <c r="K151" s="181" t="s">
        <v>2249</v>
      </c>
      <c r="L151" s="178">
        <v>0.0</v>
      </c>
      <c r="M151" s="178">
        <v>-1.0</v>
      </c>
      <c r="N151" s="182">
        <v>0.0</v>
      </c>
      <c r="O151" s="178">
        <v>0.0</v>
      </c>
      <c r="P151" s="178">
        <v>0.0</v>
      </c>
      <c r="Q151" s="178">
        <v>0.0</v>
      </c>
      <c r="R151" s="178">
        <v>0.0</v>
      </c>
      <c r="S151" s="181" t="s">
        <v>2250</v>
      </c>
      <c r="T151" s="178">
        <v>1.0</v>
      </c>
      <c r="U151" s="178">
        <v>0.0</v>
      </c>
      <c r="V151" s="178">
        <v>0.0</v>
      </c>
      <c r="W151" s="184"/>
      <c r="X151" s="184"/>
      <c r="Y151" s="178"/>
      <c r="Z151" s="185"/>
      <c r="AA151" s="185"/>
      <c r="AB151" s="186"/>
      <c r="AC151" s="186"/>
      <c r="AD151" s="186"/>
      <c r="AE151" s="186"/>
      <c r="AF151" s="186"/>
    </row>
    <row r="152">
      <c r="A152" s="152">
        <v>2.0</v>
      </c>
      <c r="B152" s="153" t="s">
        <v>2251</v>
      </c>
      <c r="C152" s="47">
        <v>148.0</v>
      </c>
      <c r="D152" s="154">
        <v>4.0</v>
      </c>
      <c r="E152" s="197" t="s">
        <v>476</v>
      </c>
      <c r="F152" s="156" t="str">
        <f>HYPERLINK("https://www.liputan6.com/showbiz/read/4016168/sukses-di-yogyakarta-konser-jikustik-reunian-digelar-di-jakarta-jumat-malam-ini ","sumber")</f>
        <v>sumber</v>
      </c>
      <c r="G152" s="156" t="str">
        <f t="shared" si="1"/>
        <v>lokasi</v>
      </c>
      <c r="H152" s="153">
        <v>278.0</v>
      </c>
      <c r="I152" s="48"/>
      <c r="J152" s="154">
        <v>2.0</v>
      </c>
      <c r="K152" s="165"/>
      <c r="L152" s="48"/>
      <c r="M152" s="48"/>
      <c r="N152" s="48"/>
      <c r="O152" s="48"/>
      <c r="P152" s="48"/>
      <c r="Q152" s="48"/>
      <c r="R152" s="48"/>
      <c r="S152" s="165"/>
      <c r="T152" s="48"/>
      <c r="U152" s="48"/>
      <c r="V152" s="48"/>
      <c r="W152" s="48"/>
      <c r="X152" s="48"/>
      <c r="Y152" s="47"/>
      <c r="Z152" s="43"/>
      <c r="AA152" s="51"/>
      <c r="AB152" s="51"/>
      <c r="AC152" s="51"/>
      <c r="AD152" s="51"/>
      <c r="AE152" s="51"/>
      <c r="AF152" s="51"/>
    </row>
    <row r="153">
      <c r="A153" s="198">
        <v>1.0</v>
      </c>
      <c r="B153" s="199" t="s">
        <v>1360</v>
      </c>
      <c r="C153" s="200">
        <v>149.0</v>
      </c>
      <c r="D153" s="201">
        <v>9.0</v>
      </c>
      <c r="E153" s="201" t="s">
        <v>2082</v>
      </c>
      <c r="F153" s="202" t="str">
        <f>HYPERLINK("https://gayahidup.republika.co.id/berita/pv7b71459/sulit-konsentrasi-bisa-jadi-tanda-disabilitas-psikososial ","sumber")</f>
        <v>sumber</v>
      </c>
      <c r="G153" s="202" t="str">
        <f t="shared" si="1"/>
        <v>lokasi</v>
      </c>
      <c r="H153" s="203">
        <v>37.0</v>
      </c>
      <c r="I153" s="200">
        <v>5.0</v>
      </c>
      <c r="J153" s="201">
        <v>2.0</v>
      </c>
      <c r="K153" s="204" t="s">
        <v>1362</v>
      </c>
      <c r="L153" s="200">
        <v>0.0</v>
      </c>
      <c r="M153" s="200">
        <v>0.0</v>
      </c>
      <c r="N153" s="205">
        <v>0.0</v>
      </c>
      <c r="O153" s="200">
        <v>0.0</v>
      </c>
      <c r="P153" s="200">
        <v>0.0</v>
      </c>
      <c r="Q153" s="200" t="s">
        <v>61</v>
      </c>
      <c r="R153" s="200" t="s">
        <v>214</v>
      </c>
      <c r="S153" s="206"/>
      <c r="T153" s="200">
        <v>0.0</v>
      </c>
      <c r="U153" s="200">
        <v>0.0</v>
      </c>
      <c r="V153" s="200">
        <v>0.0</v>
      </c>
      <c r="W153" s="207"/>
      <c r="X153" s="207"/>
      <c r="Y153" s="200"/>
      <c r="Z153" s="208"/>
      <c r="AA153" s="209"/>
      <c r="AB153" s="209"/>
      <c r="AC153" s="209"/>
      <c r="AD153" s="209"/>
      <c r="AE153" s="209"/>
      <c r="AF153" s="209"/>
    </row>
    <row r="154">
      <c r="A154" s="189">
        <v>1.0</v>
      </c>
      <c r="B154" s="190" t="s">
        <v>2252</v>
      </c>
      <c r="C154" s="55">
        <v>150.0</v>
      </c>
      <c r="D154" s="169">
        <v>2.0</v>
      </c>
      <c r="E154" s="169" t="s">
        <v>2253</v>
      </c>
      <c r="F154" s="171" t="str">
        <f>HYPERLINK("https://www.cnnindonesia.com/olahraga/20190720182545-175-413987/sore-yang-indah-untuk-samuel-di-indonesia-open ","sumber")</f>
        <v>sumber</v>
      </c>
      <c r="G154" s="171" t="str">
        <f t="shared" si="1"/>
        <v>lokasi</v>
      </c>
      <c r="H154" s="168">
        <v>446.0</v>
      </c>
      <c r="I154" s="55">
        <v>2.0</v>
      </c>
      <c r="J154" s="169">
        <v>2.0</v>
      </c>
      <c r="K154" s="172" t="s">
        <v>2254</v>
      </c>
      <c r="L154" s="55">
        <v>0.0</v>
      </c>
      <c r="M154" s="55">
        <v>0.0</v>
      </c>
      <c r="N154" s="173">
        <v>0.0</v>
      </c>
      <c r="O154" s="55">
        <v>0.0</v>
      </c>
      <c r="P154" s="55">
        <v>0.0</v>
      </c>
      <c r="Q154" s="55">
        <v>0.0</v>
      </c>
      <c r="R154" s="55">
        <v>0.0</v>
      </c>
      <c r="S154" s="174"/>
      <c r="T154" s="55">
        <v>0.0</v>
      </c>
      <c r="U154" s="55">
        <v>0.0</v>
      </c>
      <c r="V154" s="55">
        <v>1.0</v>
      </c>
      <c r="W154" s="46"/>
      <c r="X154" s="46"/>
      <c r="Y154" s="55"/>
      <c r="Z154" s="30"/>
      <c r="AA154" s="30"/>
      <c r="AB154" s="31"/>
      <c r="AC154" s="31"/>
      <c r="AD154" s="31"/>
      <c r="AE154" s="31"/>
      <c r="AF154" s="31"/>
    </row>
    <row r="155">
      <c r="A155" s="189">
        <v>1.0</v>
      </c>
      <c r="B155" s="190" t="s">
        <v>2255</v>
      </c>
      <c r="C155" s="55">
        <v>151.0</v>
      </c>
      <c r="D155" s="169">
        <v>9.0</v>
      </c>
      <c r="E155" s="170">
        <v>43776.0</v>
      </c>
      <c r="F155" s="171" t="str">
        <f>HYPERLINK("https://khazanah.republika.co.id/berita/puh232458/disabilitas-sambut-baik-rekomendasi-ijtima-ulama-alquran ","sumber")</f>
        <v>sumber</v>
      </c>
      <c r="G155" s="171" t="str">
        <f t="shared" si="1"/>
        <v>lokasi</v>
      </c>
      <c r="H155" s="168">
        <v>78.0</v>
      </c>
      <c r="I155" s="55">
        <v>2.0</v>
      </c>
      <c r="J155" s="169">
        <v>2.0</v>
      </c>
      <c r="K155" s="172" t="s">
        <v>2256</v>
      </c>
      <c r="L155" s="55">
        <v>0.0</v>
      </c>
      <c r="M155" s="55">
        <v>0.0</v>
      </c>
      <c r="N155" s="173">
        <v>0.0</v>
      </c>
      <c r="O155" s="55">
        <v>0.0</v>
      </c>
      <c r="P155" s="55">
        <v>0.0</v>
      </c>
      <c r="Q155" s="55">
        <v>0.0</v>
      </c>
      <c r="R155" s="55">
        <v>1.0</v>
      </c>
      <c r="S155" s="174"/>
      <c r="T155" s="55">
        <v>0.0</v>
      </c>
      <c r="U155" s="55">
        <v>0.0</v>
      </c>
      <c r="V155" s="55">
        <v>1.0</v>
      </c>
      <c r="W155" s="46"/>
      <c r="X155" s="46"/>
      <c r="Y155" s="55"/>
      <c r="Z155" s="30"/>
      <c r="AA155" s="30"/>
      <c r="AB155" s="31"/>
      <c r="AC155" s="31"/>
      <c r="AD155" s="31"/>
      <c r="AE155" s="31"/>
      <c r="AF155" s="31"/>
    </row>
    <row r="156">
      <c r="A156" s="189">
        <v>1.0</v>
      </c>
      <c r="B156" s="190" t="s">
        <v>2257</v>
      </c>
      <c r="C156" s="55">
        <v>152.0</v>
      </c>
      <c r="D156" s="169">
        <v>5.0</v>
      </c>
      <c r="E156" s="169" t="s">
        <v>871</v>
      </c>
      <c r="F156" s="171" t="str">
        <f>HYPERLINK("https://tirto.id/meski-ramai-pengunjung-tak-ada-riuh-rendah-di-kafe-sunyi-eemT ","sumber")</f>
        <v>sumber</v>
      </c>
      <c r="G156" s="171" t="str">
        <f t="shared" si="1"/>
        <v>lokasi</v>
      </c>
      <c r="H156" s="168">
        <v>972.0</v>
      </c>
      <c r="I156" s="55">
        <v>2.0</v>
      </c>
      <c r="J156" s="169">
        <v>2.0</v>
      </c>
      <c r="K156" s="172" t="s">
        <v>2258</v>
      </c>
      <c r="L156" s="55">
        <v>0.0</v>
      </c>
      <c r="M156" s="55">
        <v>0.0</v>
      </c>
      <c r="N156" s="173">
        <v>0.0</v>
      </c>
      <c r="O156" s="55">
        <v>0.0</v>
      </c>
      <c r="P156" s="55">
        <v>0.0</v>
      </c>
      <c r="Q156" s="55" t="s">
        <v>210</v>
      </c>
      <c r="R156" s="55" t="s">
        <v>192</v>
      </c>
      <c r="S156" s="174"/>
      <c r="T156" s="55">
        <v>0.0</v>
      </c>
      <c r="U156" s="55">
        <v>0.0</v>
      </c>
      <c r="V156" s="55">
        <v>0.0</v>
      </c>
      <c r="W156" s="46"/>
      <c r="X156" s="46"/>
      <c r="Y156" s="55"/>
      <c r="Z156" s="30"/>
      <c r="AA156" s="30"/>
      <c r="AB156" s="31"/>
      <c r="AC156" s="31"/>
      <c r="AD156" s="31"/>
      <c r="AE156" s="31"/>
      <c r="AF156" s="31"/>
    </row>
    <row r="157">
      <c r="A157" s="176">
        <v>1.0</v>
      </c>
      <c r="B157" s="196" t="s">
        <v>2259</v>
      </c>
      <c r="C157" s="178">
        <v>153.0</v>
      </c>
      <c r="D157" s="179">
        <v>1.0</v>
      </c>
      <c r="E157" s="195">
        <v>43592.0</v>
      </c>
      <c r="F157" s="180" t="str">
        <f>HYPERLINK("https://news.detik.com/berita/d-4612195/polres-bogor-jemput-wanita-pembawa-anjing-ke-masjid-sentul-di-rs-polri ","sumber")</f>
        <v>sumber</v>
      </c>
      <c r="G157" s="180" t="str">
        <f t="shared" si="1"/>
        <v>lokasi</v>
      </c>
      <c r="H157" s="177">
        <v>480.0</v>
      </c>
      <c r="I157" s="178">
        <v>1.0</v>
      </c>
      <c r="J157" s="179">
        <v>2.0</v>
      </c>
      <c r="K157" s="181" t="s">
        <v>2260</v>
      </c>
      <c r="L157" s="178">
        <v>0.0</v>
      </c>
      <c r="M157" s="178">
        <v>1.0</v>
      </c>
      <c r="N157" s="182">
        <v>0.0</v>
      </c>
      <c r="O157" s="178">
        <v>0.0</v>
      </c>
      <c r="P157" s="178">
        <v>0.0</v>
      </c>
      <c r="Q157" s="178" t="s">
        <v>53</v>
      </c>
      <c r="R157" s="178" t="s">
        <v>138</v>
      </c>
      <c r="S157" s="183"/>
      <c r="T157" s="178">
        <v>0.0</v>
      </c>
      <c r="U157" s="178">
        <v>0.0</v>
      </c>
      <c r="V157" s="178">
        <v>0.0</v>
      </c>
      <c r="W157" s="184"/>
      <c r="X157" s="184"/>
      <c r="Y157" s="178"/>
      <c r="Z157" s="185"/>
      <c r="AA157" s="185"/>
      <c r="AB157" s="186"/>
      <c r="AC157" s="186"/>
      <c r="AD157" s="186"/>
      <c r="AE157" s="186"/>
      <c r="AF157" s="186"/>
    </row>
    <row r="158">
      <c r="A158" s="189">
        <v>1.0</v>
      </c>
      <c r="B158" s="190" t="s">
        <v>2261</v>
      </c>
      <c r="C158" s="55">
        <v>154.0</v>
      </c>
      <c r="D158" s="169">
        <v>10.0</v>
      </c>
      <c r="E158" s="169" t="s">
        <v>645</v>
      </c>
      <c r="F158" s="171" t="str">
        <f>HYPERLINK("https://difabel.tempo.co/read/1224105/tempat-rehabilitasi-sosial-terbaik-untuk-anak-disabilitas ","sumber")</f>
        <v>sumber</v>
      </c>
      <c r="G158" s="171" t="str">
        <f t="shared" si="1"/>
        <v>lokasi</v>
      </c>
      <c r="H158" s="168">
        <v>227.0</v>
      </c>
      <c r="I158" s="55">
        <v>3.0</v>
      </c>
      <c r="J158" s="169">
        <v>2.0</v>
      </c>
      <c r="K158" s="172" t="s">
        <v>2262</v>
      </c>
      <c r="L158" s="55">
        <v>0.0</v>
      </c>
      <c r="M158" s="55">
        <v>0.0</v>
      </c>
      <c r="N158" s="173">
        <v>0.0</v>
      </c>
      <c r="O158" s="55">
        <v>0.0</v>
      </c>
      <c r="P158" s="55">
        <v>0.0</v>
      </c>
      <c r="Q158" s="55">
        <v>0.0</v>
      </c>
      <c r="R158" s="55">
        <v>1.0</v>
      </c>
      <c r="S158" s="174"/>
      <c r="T158" s="55">
        <v>0.0</v>
      </c>
      <c r="U158" s="55">
        <v>0.0</v>
      </c>
      <c r="V158" s="55">
        <v>1.0</v>
      </c>
      <c r="W158" s="46"/>
      <c r="X158" s="46"/>
      <c r="Y158" s="55"/>
      <c r="Z158" s="30"/>
      <c r="AA158" s="30"/>
      <c r="AB158" s="31"/>
      <c r="AC158" s="31"/>
      <c r="AD158" s="31"/>
      <c r="AE158" s="31"/>
      <c r="AF158" s="31"/>
    </row>
    <row r="159">
      <c r="A159" s="152">
        <v>2.0</v>
      </c>
      <c r="B159" s="153" t="s">
        <v>2263</v>
      </c>
      <c r="C159" s="47">
        <v>155.0</v>
      </c>
      <c r="D159" s="154">
        <v>8.0</v>
      </c>
      <c r="E159" s="154" t="s">
        <v>2264</v>
      </c>
      <c r="F159" s="156" t="str">
        <f>HYPERLINK("https://www.suara.com/news/2019/07/30/110631/praperadilan-kivlan-zein-ditolak ","sumber")</f>
        <v>sumber</v>
      </c>
      <c r="G159" s="156" t="str">
        <f t="shared" si="1"/>
        <v>lokasi</v>
      </c>
      <c r="H159" s="153">
        <v>257.0</v>
      </c>
      <c r="I159" s="48"/>
      <c r="J159" s="154">
        <v>2.0</v>
      </c>
      <c r="K159" s="165"/>
      <c r="L159" s="48"/>
      <c r="M159" s="48"/>
      <c r="N159" s="48"/>
      <c r="O159" s="48"/>
      <c r="P159" s="48"/>
      <c r="Q159" s="48"/>
      <c r="R159" s="48"/>
      <c r="S159" s="165"/>
      <c r="T159" s="48"/>
      <c r="U159" s="48"/>
      <c r="V159" s="48"/>
      <c r="W159" s="48"/>
      <c r="X159" s="48"/>
      <c r="Y159" s="47"/>
      <c r="Z159" s="43"/>
      <c r="AA159" s="51"/>
      <c r="AB159" s="51"/>
      <c r="AC159" s="51"/>
      <c r="AD159" s="51"/>
      <c r="AE159" s="51"/>
      <c r="AF159" s="51"/>
    </row>
    <row r="160">
      <c r="A160" s="189">
        <v>1.0</v>
      </c>
      <c r="B160" s="190" t="s">
        <v>2265</v>
      </c>
      <c r="C160" s="55">
        <v>156.0</v>
      </c>
      <c r="D160" s="169">
        <v>10.0</v>
      </c>
      <c r="E160" s="169" t="s">
        <v>2266</v>
      </c>
      <c r="F160" s="171" t="str">
        <f>HYPERLINK("https://difabel.tempo.co/read/1218293/bravo-komunitas-relawan-pendamping-penyandang-disabilitas ","sumber")</f>
        <v>sumber</v>
      </c>
      <c r="G160" s="171" t="str">
        <f t="shared" si="1"/>
        <v>lokasi</v>
      </c>
      <c r="H160" s="168">
        <v>615.0</v>
      </c>
      <c r="I160" s="55">
        <v>2.0</v>
      </c>
      <c r="J160" s="169">
        <v>2.0</v>
      </c>
      <c r="K160" s="172" t="s">
        <v>2267</v>
      </c>
      <c r="L160" s="55">
        <v>0.0</v>
      </c>
      <c r="M160" s="55">
        <v>0.0</v>
      </c>
      <c r="N160" s="173">
        <v>0.0</v>
      </c>
      <c r="O160" s="55">
        <v>0.0</v>
      </c>
      <c r="P160" s="55">
        <v>0.0</v>
      </c>
      <c r="Q160" s="55" t="s">
        <v>2268</v>
      </c>
      <c r="R160" s="55" t="s">
        <v>392</v>
      </c>
      <c r="S160" s="174"/>
      <c r="T160" s="55">
        <v>0.0</v>
      </c>
      <c r="U160" s="55">
        <v>0.0</v>
      </c>
      <c r="V160" s="55">
        <v>0.0</v>
      </c>
      <c r="W160" s="46"/>
      <c r="X160" s="46"/>
      <c r="Y160" s="55"/>
      <c r="Z160" s="30"/>
      <c r="AA160" s="30"/>
      <c r="AB160" s="31"/>
      <c r="AC160" s="31"/>
      <c r="AD160" s="31"/>
      <c r="AE160" s="31"/>
      <c r="AF160" s="31"/>
    </row>
    <row r="161">
      <c r="A161" s="158">
        <v>1.0</v>
      </c>
      <c r="B161" s="159" t="s">
        <v>2269</v>
      </c>
      <c r="C161" s="44">
        <v>157.0</v>
      </c>
      <c r="D161" s="160">
        <v>6.0</v>
      </c>
      <c r="E161" s="161">
        <v>43654.0</v>
      </c>
      <c r="F161" s="162" t="str">
        <f>HYPERLINK("https://regional.kompas.com/read/2019/08/07/12314331/lbh-padang-tunda-gugatan-hukum-kasus-dokter-romi-ini-alasannya ","sumber")</f>
        <v>sumber</v>
      </c>
      <c r="G161" s="162" t="str">
        <f t="shared" si="1"/>
        <v>lokasi</v>
      </c>
      <c r="H161" s="159">
        <v>252.0</v>
      </c>
      <c r="I161" s="44">
        <v>4.0</v>
      </c>
      <c r="J161" s="160">
        <v>2.0</v>
      </c>
      <c r="K161" s="164" t="s">
        <v>643</v>
      </c>
      <c r="L161" s="44">
        <v>0.0</v>
      </c>
      <c r="M161" s="44">
        <v>0.0</v>
      </c>
      <c r="N161" s="166">
        <v>0.0</v>
      </c>
      <c r="O161" s="44">
        <v>0.0</v>
      </c>
      <c r="P161" s="44">
        <v>0.0</v>
      </c>
      <c r="Q161" s="44">
        <v>0.0</v>
      </c>
      <c r="R161" s="44">
        <v>1.0</v>
      </c>
      <c r="S161" s="175"/>
      <c r="T161" s="44">
        <v>0.0</v>
      </c>
      <c r="U161" s="44">
        <v>0.0</v>
      </c>
      <c r="V161" s="44">
        <v>0.0</v>
      </c>
      <c r="W161" s="45"/>
      <c r="X161" s="45"/>
      <c r="Y161" s="45"/>
      <c r="Z161" s="9"/>
      <c r="AA161" s="52"/>
      <c r="AB161" s="9"/>
      <c r="AC161" s="9"/>
      <c r="AD161" s="9"/>
      <c r="AE161" s="9"/>
      <c r="AF161" s="9"/>
    </row>
    <row r="162">
      <c r="A162" s="152">
        <v>2.0</v>
      </c>
      <c r="B162" s="153" t="s">
        <v>2270</v>
      </c>
      <c r="C162" s="47">
        <v>158.0</v>
      </c>
      <c r="D162" s="154">
        <v>5.0</v>
      </c>
      <c r="E162" s="155">
        <v>43654.0</v>
      </c>
      <c r="F162" s="156" t="str">
        <f>HYPERLINK("https://tirto.id/i-wanna-hear-your-song-school-2017-dan-drama-lain-kim-sejeong-efPm ","sumber")</f>
        <v>sumber</v>
      </c>
      <c r="G162" s="156" t="str">
        <f t="shared" si="1"/>
        <v>lokasi</v>
      </c>
      <c r="H162" s="153">
        <v>672.0</v>
      </c>
      <c r="I162" s="48"/>
      <c r="J162" s="154">
        <v>2.0</v>
      </c>
      <c r="K162" s="165"/>
      <c r="L162" s="48"/>
      <c r="M162" s="48"/>
      <c r="N162" s="48"/>
      <c r="O162" s="48"/>
      <c r="P162" s="48"/>
      <c r="Q162" s="48"/>
      <c r="R162" s="48"/>
      <c r="S162" s="165"/>
      <c r="T162" s="48"/>
      <c r="U162" s="48"/>
      <c r="V162" s="48"/>
      <c r="W162" s="48"/>
      <c r="X162" s="48"/>
      <c r="Y162" s="47"/>
      <c r="Z162" s="43"/>
      <c r="AA162" s="51"/>
      <c r="AB162" s="51"/>
      <c r="AC162" s="51"/>
      <c r="AD162" s="51"/>
      <c r="AE162" s="51"/>
      <c r="AF162" s="51"/>
    </row>
    <row r="163">
      <c r="A163" s="189">
        <v>1.0</v>
      </c>
      <c r="B163" s="190" t="s">
        <v>2271</v>
      </c>
      <c r="C163" s="55">
        <v>159.0</v>
      </c>
      <c r="D163" s="169">
        <v>4.0</v>
      </c>
      <c r="E163" s="170">
        <v>43685.0</v>
      </c>
      <c r="F163" s="171" t="str">
        <f>HYPERLINK("https://www.liputan6.com/news/read/4032575/bupati-muzni-zakaria-diperiksa-ombudsman-terkait-nasib-dokter-romi ","sumber")</f>
        <v>sumber</v>
      </c>
      <c r="G163" s="171" t="str">
        <f t="shared" si="1"/>
        <v>lokasi</v>
      </c>
      <c r="H163" s="168">
        <v>195.0</v>
      </c>
      <c r="I163" s="55">
        <v>4.0</v>
      </c>
      <c r="J163" s="169">
        <v>2.0</v>
      </c>
      <c r="K163" s="172" t="s">
        <v>2272</v>
      </c>
      <c r="L163" s="55">
        <v>0.0</v>
      </c>
      <c r="M163" s="55">
        <v>0.0</v>
      </c>
      <c r="N163" s="173">
        <v>0.0</v>
      </c>
      <c r="O163" s="55">
        <v>0.0</v>
      </c>
      <c r="P163" s="55">
        <v>0.0</v>
      </c>
      <c r="Q163" s="55">
        <v>0.0</v>
      </c>
      <c r="R163" s="55">
        <v>1.0</v>
      </c>
      <c r="S163" s="174"/>
      <c r="T163" s="55">
        <v>0.0</v>
      </c>
      <c r="U163" s="55">
        <v>0.0</v>
      </c>
      <c r="V163" s="55">
        <v>0.0</v>
      </c>
      <c r="W163" s="46"/>
      <c r="X163" s="46"/>
      <c r="Y163" s="55"/>
      <c r="Z163" s="30"/>
      <c r="AA163" s="30"/>
      <c r="AB163" s="31"/>
      <c r="AC163" s="31"/>
      <c r="AD163" s="31"/>
      <c r="AE163" s="31"/>
      <c r="AF163" s="31"/>
    </row>
    <row r="164">
      <c r="A164" s="158">
        <v>1.0</v>
      </c>
      <c r="B164" s="159" t="s">
        <v>2273</v>
      </c>
      <c r="C164" s="44">
        <v>160.0</v>
      </c>
      <c r="D164" s="160">
        <v>2.0</v>
      </c>
      <c r="E164" s="161">
        <v>43807.0</v>
      </c>
      <c r="F164" s="162" t="str">
        <f>HYPERLINK("https://www.cnnindonesia.com/nasional/20190808150443-12-419561/polisi-sebut-kuli-pembunuh-istri-tak-alami-gangguan-jiwa ","sumber")</f>
        <v>sumber</v>
      </c>
      <c r="G164" s="162" t="str">
        <f t="shared" si="1"/>
        <v>lokasi</v>
      </c>
      <c r="H164" s="159">
        <v>236.0</v>
      </c>
      <c r="I164" s="44">
        <v>1.0</v>
      </c>
      <c r="J164" s="160">
        <v>2.0</v>
      </c>
      <c r="K164" s="164" t="s">
        <v>2274</v>
      </c>
      <c r="L164" s="44">
        <v>0.0</v>
      </c>
      <c r="M164" s="44">
        <v>-1.0</v>
      </c>
      <c r="N164" s="166">
        <v>0.0</v>
      </c>
      <c r="O164" s="44">
        <v>0.0</v>
      </c>
      <c r="P164" s="44">
        <v>0.0</v>
      </c>
      <c r="Q164" s="44">
        <v>0.0</v>
      </c>
      <c r="R164" s="44">
        <v>0.0</v>
      </c>
      <c r="S164" s="175"/>
      <c r="T164" s="44">
        <v>0.0</v>
      </c>
      <c r="U164" s="44">
        <v>0.0</v>
      </c>
      <c r="V164" s="44">
        <v>0.0</v>
      </c>
      <c r="W164" s="45"/>
      <c r="X164" s="45"/>
      <c r="Y164" s="45"/>
      <c r="Z164" s="9"/>
      <c r="AA164" s="52"/>
      <c r="AB164" s="9"/>
      <c r="AC164" s="9"/>
      <c r="AD164" s="9"/>
      <c r="AE164" s="9"/>
      <c r="AF164" s="9"/>
    </row>
    <row r="165">
      <c r="A165" s="152">
        <v>2.0</v>
      </c>
      <c r="B165" s="153" t="s">
        <v>2275</v>
      </c>
      <c r="C165" s="47">
        <v>161.0</v>
      </c>
      <c r="D165" s="154">
        <v>1.0</v>
      </c>
      <c r="E165" s="155">
        <v>43807.0</v>
      </c>
      <c r="F165" s="156" t="str">
        <f>HYPERLINK("https://news.detik.com/berita/d-4662341/karnaval-17-agustus-2019-ini-5-tema-kostum-yang-bisa-jadi-pilihan ","sumber")</f>
        <v>sumber</v>
      </c>
      <c r="G165" s="156" t="str">
        <f t="shared" si="1"/>
        <v>lokasi</v>
      </c>
      <c r="H165" s="153">
        <v>361.0</v>
      </c>
      <c r="I165" s="48"/>
      <c r="J165" s="154">
        <v>2.0</v>
      </c>
      <c r="K165" s="165"/>
      <c r="L165" s="48"/>
      <c r="M165" s="48"/>
      <c r="N165" s="48"/>
      <c r="O165" s="48"/>
      <c r="P165" s="48"/>
      <c r="Q165" s="48"/>
      <c r="R165" s="48"/>
      <c r="S165" s="165"/>
      <c r="T165" s="48"/>
      <c r="U165" s="48"/>
      <c r="V165" s="48"/>
      <c r="W165" s="48"/>
      <c r="X165" s="48"/>
      <c r="Y165" s="47"/>
      <c r="Z165" s="43"/>
      <c r="AA165" s="51"/>
      <c r="AB165" s="51"/>
      <c r="AC165" s="51"/>
      <c r="AD165" s="51"/>
      <c r="AE165" s="51"/>
      <c r="AF165" s="51"/>
    </row>
    <row r="166">
      <c r="A166" s="189">
        <v>1.0</v>
      </c>
      <c r="B166" s="190" t="s">
        <v>2276</v>
      </c>
      <c r="C166" s="55">
        <v>162.0</v>
      </c>
      <c r="D166" s="169">
        <v>9.0</v>
      </c>
      <c r="E166" s="170">
        <v>43624.0</v>
      </c>
      <c r="F166" s="171" t="str">
        <f>HYPERLINK("https://nasional.republika.co.id/berita/pvt5dj335/pengamat-polemik-drg-romi-hanya-puncak-gunung-es ","sumber")</f>
        <v>sumber</v>
      </c>
      <c r="G166" s="171" t="str">
        <f t="shared" si="1"/>
        <v>lokasi</v>
      </c>
      <c r="H166" s="168">
        <v>342.0</v>
      </c>
      <c r="I166" s="55">
        <v>4.0</v>
      </c>
      <c r="J166" s="169">
        <v>2.0</v>
      </c>
      <c r="K166" s="172" t="s">
        <v>2277</v>
      </c>
      <c r="L166" s="55">
        <v>0.0</v>
      </c>
      <c r="M166" s="55">
        <v>0.0</v>
      </c>
      <c r="N166" s="173">
        <v>0.0</v>
      </c>
      <c r="O166" s="55">
        <v>0.0</v>
      </c>
      <c r="P166" s="55">
        <v>0.0</v>
      </c>
      <c r="Q166" s="55">
        <v>0.0</v>
      </c>
      <c r="R166" s="55">
        <v>1.0</v>
      </c>
      <c r="S166" s="174"/>
      <c r="T166" s="55">
        <v>0.0</v>
      </c>
      <c r="U166" s="55">
        <v>0.0</v>
      </c>
      <c r="V166" s="55">
        <v>0.0</v>
      </c>
      <c r="W166" s="46"/>
      <c r="X166" s="46"/>
      <c r="Y166" s="55"/>
      <c r="Z166" s="30"/>
      <c r="AA166" s="30"/>
      <c r="AB166" s="31"/>
      <c r="AC166" s="31"/>
      <c r="AD166" s="31"/>
      <c r="AE166" s="31"/>
      <c r="AF166" s="31"/>
    </row>
    <row r="167">
      <c r="A167" s="152">
        <v>2.0</v>
      </c>
      <c r="B167" s="153" t="s">
        <v>2278</v>
      </c>
      <c r="C167" s="47">
        <v>163.0</v>
      </c>
      <c r="D167" s="154">
        <v>3.0</v>
      </c>
      <c r="E167" s="154" t="s">
        <v>300</v>
      </c>
      <c r="F167" s="156" t="str">
        <f>HYPERLINK("https://celebrity.okezone.com/read/2019/08/18/205/2093582/gebrak-panggung-nyalakanindonesia-ran-ajak-penonton-bernyanyi ","sumber")</f>
        <v>sumber</v>
      </c>
      <c r="G167" s="156" t="str">
        <f t="shared" si="1"/>
        <v>lokasi</v>
      </c>
      <c r="H167" s="153">
        <v>265.0</v>
      </c>
      <c r="I167" s="48"/>
      <c r="J167" s="154">
        <v>2.0</v>
      </c>
      <c r="K167" s="165"/>
      <c r="L167" s="48"/>
      <c r="M167" s="48"/>
      <c r="N167" s="48"/>
      <c r="O167" s="48"/>
      <c r="P167" s="48"/>
      <c r="Q167" s="48"/>
      <c r="R167" s="48"/>
      <c r="S167" s="165"/>
      <c r="T167" s="48"/>
      <c r="U167" s="48"/>
      <c r="V167" s="48"/>
      <c r="W167" s="48"/>
      <c r="X167" s="48"/>
      <c r="Y167" s="47"/>
      <c r="Z167" s="43"/>
      <c r="AA167" s="51"/>
      <c r="AB167" s="51"/>
      <c r="AC167" s="51"/>
      <c r="AD167" s="51"/>
      <c r="AE167" s="51"/>
      <c r="AF167" s="51"/>
    </row>
    <row r="168">
      <c r="A168" s="189">
        <v>1.0</v>
      </c>
      <c r="B168" s="190" t="s">
        <v>2279</v>
      </c>
      <c r="C168" s="55">
        <v>164.0</v>
      </c>
      <c r="D168" s="169">
        <v>8.0</v>
      </c>
      <c r="E168" s="170">
        <v>43777.0</v>
      </c>
      <c r="F168" s="171" t="str">
        <f>HYPERLINK("https://www.suara.com/news/2019/08/11/153708/belajar-bahasa-isyarat-autodidak-farid-azis-ingin-tunarungu-paham-agama ","sumber")</f>
        <v>sumber</v>
      </c>
      <c r="G168" s="171" t="str">
        <f t="shared" si="1"/>
        <v>lokasi</v>
      </c>
      <c r="H168" s="168">
        <v>435.0</v>
      </c>
      <c r="I168" s="55">
        <v>2.0</v>
      </c>
      <c r="J168" s="169">
        <v>2.0</v>
      </c>
      <c r="K168" s="172" t="s">
        <v>2280</v>
      </c>
      <c r="L168" s="55">
        <v>0.0</v>
      </c>
      <c r="M168" s="55">
        <v>0.0</v>
      </c>
      <c r="N168" s="173">
        <v>0.0</v>
      </c>
      <c r="O168" s="55">
        <v>0.0</v>
      </c>
      <c r="P168" s="55">
        <v>0.0</v>
      </c>
      <c r="Q168" s="55">
        <v>0.0</v>
      </c>
      <c r="R168" s="55">
        <v>1.0</v>
      </c>
      <c r="S168" s="174"/>
      <c r="T168" s="55">
        <v>0.0</v>
      </c>
      <c r="U168" s="55">
        <v>0.0</v>
      </c>
      <c r="V168" s="55">
        <v>0.0</v>
      </c>
      <c r="W168" s="46"/>
      <c r="X168" s="46"/>
      <c r="Y168" s="55"/>
      <c r="Z168" s="30"/>
      <c r="AA168" s="30"/>
      <c r="AB168" s="31"/>
      <c r="AC168" s="31"/>
      <c r="AD168" s="31"/>
      <c r="AE168" s="31"/>
      <c r="AF168" s="31"/>
    </row>
    <row r="169">
      <c r="A169" s="189">
        <v>1.0</v>
      </c>
      <c r="B169" s="190" t="s">
        <v>2281</v>
      </c>
      <c r="C169" s="55">
        <v>165.0</v>
      </c>
      <c r="D169" s="169">
        <v>4.0</v>
      </c>
      <c r="E169" s="170">
        <v>43807.0</v>
      </c>
      <c r="F169" s="171" t="str">
        <f>HYPERLINK("https://www.liputan6.com/news/read/4036072/5-hal-yang-perlu-anda-tahu-tentang-perluasan-ganjil-genap-di-jakarta ","sumber")</f>
        <v>sumber</v>
      </c>
      <c r="G169" s="171" t="str">
        <f t="shared" si="1"/>
        <v>lokasi</v>
      </c>
      <c r="H169" s="168">
        <v>1162.0</v>
      </c>
      <c r="I169" s="55">
        <v>4.0</v>
      </c>
      <c r="J169" s="169">
        <v>2.0</v>
      </c>
      <c r="K169" s="172" t="s">
        <v>2282</v>
      </c>
      <c r="L169" s="55">
        <v>0.0</v>
      </c>
      <c r="M169" s="55">
        <v>0.0</v>
      </c>
      <c r="N169" s="173">
        <v>0.0</v>
      </c>
      <c r="O169" s="55">
        <v>0.0</v>
      </c>
      <c r="P169" s="55">
        <v>0.0</v>
      </c>
      <c r="Q169" s="55" t="s">
        <v>202</v>
      </c>
      <c r="R169" s="55" t="s">
        <v>202</v>
      </c>
      <c r="S169" s="174"/>
      <c r="T169" s="55">
        <v>0.0</v>
      </c>
      <c r="U169" s="55">
        <v>0.0</v>
      </c>
      <c r="V169" s="55">
        <v>1.0</v>
      </c>
      <c r="W169" s="46"/>
      <c r="X169" s="46"/>
      <c r="Y169" s="55"/>
      <c r="Z169" s="30"/>
      <c r="AA169" s="30"/>
      <c r="AB169" s="31"/>
      <c r="AC169" s="31"/>
      <c r="AD169" s="31"/>
      <c r="AE169" s="31"/>
      <c r="AF169" s="31"/>
    </row>
    <row r="170">
      <c r="A170" s="158">
        <v>1.0</v>
      </c>
      <c r="B170" s="159" t="s">
        <v>2283</v>
      </c>
      <c r="C170" s="44">
        <v>166.0</v>
      </c>
      <c r="D170" s="160">
        <v>4.0</v>
      </c>
      <c r="E170" s="160" t="s">
        <v>49</v>
      </c>
      <c r="F170" s="162" t="str">
        <f>HYPERLINK("https://www.liputan6.com/health/read/4042005/sarana-bagi-penyandang-disabilitas-di-faskes-belum-memadai ","sumber")</f>
        <v>sumber</v>
      </c>
      <c r="G170" s="162" t="str">
        <f t="shared" si="1"/>
        <v>lokasi</v>
      </c>
      <c r="H170" s="159">
        <v>299.0</v>
      </c>
      <c r="I170" s="44">
        <v>4.0</v>
      </c>
      <c r="J170" s="160">
        <v>2.0</v>
      </c>
      <c r="K170" s="164" t="s">
        <v>2284</v>
      </c>
      <c r="L170" s="44">
        <v>0.0</v>
      </c>
      <c r="M170" s="44">
        <v>0.0</v>
      </c>
      <c r="N170" s="166">
        <v>0.0</v>
      </c>
      <c r="O170" s="44">
        <v>0.0</v>
      </c>
      <c r="P170" s="44">
        <v>0.0</v>
      </c>
      <c r="Q170" s="44" t="s">
        <v>61</v>
      </c>
      <c r="R170" s="44" t="s">
        <v>192</v>
      </c>
      <c r="S170" s="175"/>
      <c r="T170" s="44">
        <v>0.0</v>
      </c>
      <c r="U170" s="44">
        <v>0.0</v>
      </c>
      <c r="V170" s="44">
        <v>1.0</v>
      </c>
      <c r="W170" s="45"/>
      <c r="X170" s="45"/>
      <c r="Y170" s="45"/>
      <c r="Z170" s="9"/>
      <c r="AA170" s="52"/>
      <c r="AB170" s="9"/>
      <c r="AC170" s="9"/>
      <c r="AD170" s="9"/>
      <c r="AE170" s="9"/>
      <c r="AF170" s="9"/>
    </row>
    <row r="171">
      <c r="A171" s="189">
        <v>1.0</v>
      </c>
      <c r="B171" s="190" t="s">
        <v>2285</v>
      </c>
      <c r="C171" s="55">
        <v>167.0</v>
      </c>
      <c r="D171" s="169">
        <v>4.0</v>
      </c>
      <c r="E171" s="170">
        <v>43746.0</v>
      </c>
      <c r="F171" s="171" t="str">
        <f>HYPERLINK("https://www.liputan6.com/news/read/4034697/masjid-istiqlal-sediakan-saf-khusus-untuk-difabel-saat-salat-idul-adha ","sumber")</f>
        <v>sumber</v>
      </c>
      <c r="G171" s="171" t="str">
        <f t="shared" si="1"/>
        <v>lokasi</v>
      </c>
      <c r="H171" s="168">
        <v>383.0</v>
      </c>
      <c r="I171" s="55">
        <v>3.0</v>
      </c>
      <c r="J171" s="169">
        <v>2.0</v>
      </c>
      <c r="K171" s="172" t="s">
        <v>2286</v>
      </c>
      <c r="L171" s="55">
        <v>0.0</v>
      </c>
      <c r="M171" s="55">
        <v>0.0</v>
      </c>
      <c r="N171" s="173">
        <v>0.0</v>
      </c>
      <c r="O171" s="55">
        <v>0.0</v>
      </c>
      <c r="P171" s="55">
        <v>0.0</v>
      </c>
      <c r="Q171" s="55" t="s">
        <v>61</v>
      </c>
      <c r="R171" s="55" t="s">
        <v>100</v>
      </c>
      <c r="S171" s="174"/>
      <c r="T171" s="55">
        <v>0.0</v>
      </c>
      <c r="U171" s="55">
        <v>0.0</v>
      </c>
      <c r="V171" s="55">
        <v>0.0</v>
      </c>
      <c r="W171" s="46"/>
      <c r="X171" s="46"/>
      <c r="Y171" s="55"/>
      <c r="Z171" s="30"/>
      <c r="AA171" s="30"/>
      <c r="AB171" s="31"/>
      <c r="AC171" s="31"/>
      <c r="AD171" s="31"/>
      <c r="AE171" s="31"/>
      <c r="AF171" s="31"/>
    </row>
    <row r="172">
      <c r="A172" s="176">
        <v>1.0</v>
      </c>
      <c r="B172" s="196" t="s">
        <v>2287</v>
      </c>
      <c r="C172" s="178">
        <v>168.0</v>
      </c>
      <c r="D172" s="179">
        <v>5.0</v>
      </c>
      <c r="E172" s="179" t="s">
        <v>41</v>
      </c>
      <c r="F172" s="180" t="str">
        <f>HYPERLINK("https://tirto.id/alasan-lion-soal-penumpang-difabel-diturunkan-dari-pesawat-wings-egWG ","sumber")</f>
        <v>sumber</v>
      </c>
      <c r="G172" s="180" t="str">
        <f t="shared" si="1"/>
        <v>lokasi</v>
      </c>
      <c r="H172" s="177">
        <v>319.0</v>
      </c>
      <c r="I172" s="178">
        <v>1.0</v>
      </c>
      <c r="J172" s="179">
        <v>2.0</v>
      </c>
      <c r="K172" s="181" t="s">
        <v>2288</v>
      </c>
      <c r="L172" s="178">
        <v>0.0</v>
      </c>
      <c r="M172" s="178">
        <v>-1.0</v>
      </c>
      <c r="N172" s="182">
        <v>0.0</v>
      </c>
      <c r="O172" s="178">
        <v>0.0</v>
      </c>
      <c r="P172" s="178">
        <v>0.0</v>
      </c>
      <c r="Q172" s="178">
        <v>0.0</v>
      </c>
      <c r="R172" s="178">
        <v>0.0</v>
      </c>
      <c r="S172" s="183"/>
      <c r="T172" s="178">
        <v>0.0</v>
      </c>
      <c r="U172" s="178">
        <v>0.0</v>
      </c>
      <c r="V172" s="178">
        <v>0.0</v>
      </c>
      <c r="W172" s="184"/>
      <c r="X172" s="184"/>
      <c r="Y172" s="178"/>
      <c r="Z172" s="185"/>
      <c r="AA172" s="185"/>
      <c r="AB172" s="186"/>
      <c r="AC172" s="186"/>
      <c r="AD172" s="186"/>
      <c r="AE172" s="186"/>
      <c r="AF172" s="186"/>
    </row>
    <row r="173">
      <c r="A173" s="158">
        <v>1.0</v>
      </c>
      <c r="B173" s="159" t="s">
        <v>2289</v>
      </c>
      <c r="C173" s="44">
        <v>169.0</v>
      </c>
      <c r="D173" s="160">
        <v>9.0</v>
      </c>
      <c r="E173" s="161">
        <v>43505.0</v>
      </c>
      <c r="F173" s="162" t="str">
        <f>HYPERLINK("https://internasional.republika.co.id/berita/px6yra/zebra-cross-tiga-dimensi-di-australia-bagaimana-kondisi-pejalan-kaki-di-indonesia ","sumber")</f>
        <v>sumber</v>
      </c>
      <c r="G173" s="162" t="str">
        <f t="shared" si="1"/>
        <v>lokasi</v>
      </c>
      <c r="H173" s="159">
        <v>674.0</v>
      </c>
      <c r="I173" s="44">
        <v>4.0</v>
      </c>
      <c r="J173" s="160">
        <v>2.0</v>
      </c>
      <c r="K173" s="164" t="s">
        <v>2290</v>
      </c>
      <c r="L173" s="44">
        <v>0.0</v>
      </c>
      <c r="M173" s="44">
        <v>0.0</v>
      </c>
      <c r="N173" s="166">
        <v>0.0</v>
      </c>
      <c r="O173" s="44">
        <v>0.0</v>
      </c>
      <c r="P173" s="44">
        <v>0.0</v>
      </c>
      <c r="Q173" s="44" t="s">
        <v>53</v>
      </c>
      <c r="R173" s="44" t="s">
        <v>138</v>
      </c>
      <c r="S173" s="175"/>
      <c r="T173" s="44">
        <v>0.0</v>
      </c>
      <c r="U173" s="44">
        <v>0.0</v>
      </c>
      <c r="V173" s="44">
        <v>1.0</v>
      </c>
      <c r="W173" s="45"/>
      <c r="X173" s="45"/>
      <c r="Y173" s="45"/>
      <c r="Z173" s="9"/>
      <c r="AA173" s="52"/>
      <c r="AB173" s="9"/>
      <c r="AC173" s="9"/>
      <c r="AD173" s="9"/>
      <c r="AE173" s="9"/>
      <c r="AF173" s="9"/>
    </row>
    <row r="174">
      <c r="A174" s="158">
        <v>1.0</v>
      </c>
      <c r="B174" s="159" t="s">
        <v>2291</v>
      </c>
      <c r="C174" s="44">
        <v>170.0</v>
      </c>
      <c r="D174" s="160">
        <v>3.0</v>
      </c>
      <c r="E174" s="161">
        <v>43533.0</v>
      </c>
      <c r="F174" s="162" t="str">
        <f>HYPERLINK("https://celebrity.okezone.com/read/2019/09/02/33/2099661/dicibir-netizen-soal-pernikahannya-tertunda-begini-reaksi-rina-nose ","sumber")</f>
        <v>sumber</v>
      </c>
      <c r="G174" s="162" t="str">
        <f t="shared" si="1"/>
        <v>lokasi</v>
      </c>
      <c r="H174" s="159">
        <v>333.0</v>
      </c>
      <c r="I174" s="44">
        <v>2.0</v>
      </c>
      <c r="J174" s="160">
        <v>2.0</v>
      </c>
      <c r="K174" s="164" t="s">
        <v>2292</v>
      </c>
      <c r="L174" s="44">
        <v>0.0</v>
      </c>
      <c r="M174" s="44">
        <v>0.0</v>
      </c>
      <c r="N174" s="166">
        <v>0.0</v>
      </c>
      <c r="O174" s="44">
        <v>0.0</v>
      </c>
      <c r="P174" s="44">
        <v>0.0</v>
      </c>
      <c r="Q174" s="44">
        <v>0.0</v>
      </c>
      <c r="R174" s="44">
        <v>0.0</v>
      </c>
      <c r="S174" s="175"/>
      <c r="T174" s="44">
        <v>0.0</v>
      </c>
      <c r="U174" s="44">
        <v>0.0</v>
      </c>
      <c r="V174" s="44">
        <v>0.0</v>
      </c>
      <c r="W174" s="45"/>
      <c r="X174" s="45"/>
      <c r="Y174" s="45"/>
      <c r="Z174" s="9"/>
      <c r="AA174" s="52"/>
      <c r="AB174" s="9"/>
      <c r="AC174" s="9"/>
      <c r="AD174" s="9"/>
      <c r="AE174" s="9"/>
      <c r="AF174" s="9"/>
    </row>
    <row r="175">
      <c r="A175" s="152">
        <v>2.0</v>
      </c>
      <c r="B175" s="153" t="s">
        <v>2293</v>
      </c>
      <c r="C175" s="47">
        <v>171.0</v>
      </c>
      <c r="D175" s="154">
        <v>1.0</v>
      </c>
      <c r="E175" s="155">
        <v>43564.0</v>
      </c>
      <c r="F175" s="156" t="str">
        <f>HYPERLINK("https://hot.detik.com/art/d-4692801/setelah-jokowi-juga-ahok-agan-harahap-ingin-manipulasi-donald-trump ","sumber")</f>
        <v>sumber</v>
      </c>
      <c r="G175" s="156" t="str">
        <f t="shared" si="1"/>
        <v>lokasi</v>
      </c>
      <c r="H175" s="153">
        <v>1809.0</v>
      </c>
      <c r="I175" s="48"/>
      <c r="J175" s="154">
        <v>2.0</v>
      </c>
      <c r="K175" s="165"/>
      <c r="L175" s="48"/>
      <c r="M175" s="48"/>
      <c r="N175" s="48"/>
      <c r="O175" s="48"/>
      <c r="P175" s="48"/>
      <c r="Q175" s="48"/>
      <c r="R175" s="48"/>
      <c r="S175" s="165"/>
      <c r="T175" s="48"/>
      <c r="U175" s="48"/>
      <c r="V175" s="48"/>
      <c r="W175" s="48"/>
      <c r="X175" s="48"/>
      <c r="Y175" s="47"/>
      <c r="Z175" s="43"/>
      <c r="AA175" s="43"/>
      <c r="AB175" s="51"/>
      <c r="AC175" s="51"/>
      <c r="AD175" s="51"/>
      <c r="AE175" s="51"/>
      <c r="AF175" s="51"/>
    </row>
    <row r="176">
      <c r="A176" s="158">
        <v>1.0</v>
      </c>
      <c r="B176" s="159" t="s">
        <v>2294</v>
      </c>
      <c r="C176" s="44">
        <v>172.0</v>
      </c>
      <c r="D176" s="160">
        <v>8.0</v>
      </c>
      <c r="E176" s="160" t="s">
        <v>66</v>
      </c>
      <c r="F176" s="162" t="str">
        <f>HYPERLINK("https://www.suara.com/news/2019/09/22/114700/pengguna-medsos-rentan-dipenjara-usman-hamid-ungkap-alasan-tolak-rkuhp ","sumber")</f>
        <v>sumber</v>
      </c>
      <c r="G176" s="162" t="str">
        <f t="shared" si="1"/>
        <v>lokasi</v>
      </c>
      <c r="H176" s="159">
        <v>525.0</v>
      </c>
      <c r="I176" s="44">
        <v>4.0</v>
      </c>
      <c r="J176" s="160">
        <v>2.0</v>
      </c>
      <c r="K176" s="164" t="s">
        <v>2295</v>
      </c>
      <c r="L176" s="44">
        <v>0.0</v>
      </c>
      <c r="M176" s="44">
        <v>0.0</v>
      </c>
      <c r="N176" s="166">
        <v>0.0</v>
      </c>
      <c r="O176" s="44">
        <v>0.0</v>
      </c>
      <c r="P176" s="44">
        <v>0.0</v>
      </c>
      <c r="Q176" s="44">
        <v>0.0</v>
      </c>
      <c r="R176" s="44">
        <v>1.0</v>
      </c>
      <c r="S176" s="175"/>
      <c r="T176" s="44">
        <v>0.0</v>
      </c>
      <c r="U176" s="44">
        <v>0.0</v>
      </c>
      <c r="V176" s="44">
        <v>1.0</v>
      </c>
      <c r="W176" s="45"/>
      <c r="X176" s="45"/>
      <c r="Y176" s="45"/>
      <c r="Z176" s="9"/>
      <c r="AA176" s="52"/>
      <c r="AB176" s="9"/>
      <c r="AC176" s="9"/>
      <c r="AD176" s="9"/>
      <c r="AE176" s="9"/>
      <c r="AF176" s="9"/>
    </row>
    <row r="177">
      <c r="A177" s="152">
        <v>2.0</v>
      </c>
      <c r="B177" s="153" t="s">
        <v>2296</v>
      </c>
      <c r="C177" s="47">
        <v>173.0</v>
      </c>
      <c r="D177" s="154">
        <v>1.0</v>
      </c>
      <c r="E177" s="154" t="s">
        <v>337</v>
      </c>
      <c r="F177" s="156" t="str">
        <f>HYPERLINK("https://hot.detik.com/celeb/d-4723114/melody-prima-private-akun-ig-usai-dikritik-komentari-demo-mahasiswa ","sumber")</f>
        <v>sumber</v>
      </c>
      <c r="G177" s="156" t="str">
        <f t="shared" si="1"/>
        <v>lokasi</v>
      </c>
      <c r="H177" s="153">
        <v>491.0</v>
      </c>
      <c r="I177" s="48"/>
      <c r="J177" s="154">
        <v>2.0</v>
      </c>
      <c r="K177" s="165"/>
      <c r="L177" s="48"/>
      <c r="M177" s="48"/>
      <c r="N177" s="48"/>
      <c r="O177" s="48"/>
      <c r="P177" s="48"/>
      <c r="Q177" s="48"/>
      <c r="R177" s="48"/>
      <c r="S177" s="165"/>
      <c r="T177" s="48"/>
      <c r="U177" s="48"/>
      <c r="V177" s="48"/>
      <c r="W177" s="48"/>
      <c r="X177" s="48"/>
      <c r="Y177" s="48"/>
      <c r="Z177" s="51"/>
      <c r="AA177" s="51"/>
      <c r="AB177" s="51"/>
      <c r="AC177" s="51"/>
      <c r="AD177" s="51"/>
      <c r="AE177" s="51"/>
      <c r="AF177" s="51"/>
    </row>
    <row r="178">
      <c r="A178" s="158">
        <v>1.0</v>
      </c>
      <c r="B178" s="159" t="s">
        <v>2297</v>
      </c>
      <c r="C178" s="44">
        <v>174.0</v>
      </c>
      <c r="D178" s="160">
        <v>10.0</v>
      </c>
      <c r="E178" s="160" t="s">
        <v>337</v>
      </c>
      <c r="F178" s="162" t="str">
        <f>HYPERLINK("https://dunia.tempo.co/read/1252704/balita-penyandang-disabilitas-ditolak-penitipan-anak ","sumber")</f>
        <v>sumber</v>
      </c>
      <c r="G178" s="162" t="str">
        <f t="shared" si="1"/>
        <v>lokasi</v>
      </c>
      <c r="H178" s="159">
        <v>306.0</v>
      </c>
      <c r="I178" s="44">
        <v>1.0</v>
      </c>
      <c r="J178" s="160">
        <v>2.0</v>
      </c>
      <c r="K178" s="164" t="s">
        <v>2298</v>
      </c>
      <c r="L178" s="44">
        <v>0.0</v>
      </c>
      <c r="M178" s="44">
        <v>-1.0</v>
      </c>
      <c r="N178" s="166">
        <v>0.0</v>
      </c>
      <c r="O178" s="44">
        <v>0.0</v>
      </c>
      <c r="P178" s="44">
        <v>0.0</v>
      </c>
      <c r="Q178" s="44" t="s">
        <v>61</v>
      </c>
      <c r="R178" s="44" t="s">
        <v>192</v>
      </c>
      <c r="S178" s="175"/>
      <c r="T178" s="44">
        <v>0.0</v>
      </c>
      <c r="U178" s="44">
        <v>0.0</v>
      </c>
      <c r="V178" s="44">
        <v>0.0</v>
      </c>
      <c r="W178" s="45"/>
      <c r="X178" s="45"/>
      <c r="Y178" s="45"/>
      <c r="Z178" s="9"/>
      <c r="AA178" s="52"/>
      <c r="AB178" s="9"/>
      <c r="AC178" s="9"/>
      <c r="AD178" s="9"/>
      <c r="AE178" s="9"/>
      <c r="AF178" s="9"/>
    </row>
    <row r="179">
      <c r="A179" s="167">
        <v>1.0</v>
      </c>
      <c r="B179" s="168" t="s">
        <v>1407</v>
      </c>
      <c r="C179" s="55">
        <v>175.0</v>
      </c>
      <c r="D179" s="169">
        <v>8.0</v>
      </c>
      <c r="E179" s="169" t="s">
        <v>681</v>
      </c>
      <c r="F179" s="171" t="str">
        <f>HYPERLINK("https://www.suara.com/health/2019/09/28/202123/kekurangan-oksigen-pada-bayi-baru-lahir-berisiko-alami-cacat-jangka-panjang ","sumber")</f>
        <v>sumber</v>
      </c>
      <c r="G179" s="171" t="str">
        <f t="shared" si="1"/>
        <v>lokasi</v>
      </c>
      <c r="H179" s="168">
        <v>207.0</v>
      </c>
      <c r="I179" s="55">
        <v>2.0</v>
      </c>
      <c r="J179" s="169">
        <v>2.0</v>
      </c>
      <c r="K179" s="210" t="s">
        <v>2299</v>
      </c>
      <c r="L179" s="55">
        <v>0.0</v>
      </c>
      <c r="M179" s="55">
        <v>0.0</v>
      </c>
      <c r="N179" s="173">
        <v>0.0</v>
      </c>
      <c r="O179" s="55">
        <v>0.0</v>
      </c>
      <c r="P179" s="55">
        <v>0.0</v>
      </c>
      <c r="Q179" s="55">
        <v>0.0</v>
      </c>
      <c r="R179" s="55">
        <v>0.0</v>
      </c>
      <c r="S179" s="174"/>
      <c r="T179" s="55">
        <v>0.0</v>
      </c>
      <c r="U179" s="55">
        <v>0.0</v>
      </c>
      <c r="V179" s="55">
        <v>1.0</v>
      </c>
      <c r="W179" s="46"/>
      <c r="X179" s="46"/>
      <c r="Y179" s="55"/>
      <c r="Z179" s="30"/>
      <c r="AA179" s="30"/>
      <c r="AB179" s="31"/>
      <c r="AC179" s="31"/>
      <c r="AD179" s="31"/>
      <c r="AE179" s="31"/>
      <c r="AF179" s="31"/>
    </row>
    <row r="180">
      <c r="A180" s="152">
        <v>2.0</v>
      </c>
      <c r="B180" s="153" t="s">
        <v>2300</v>
      </c>
      <c r="C180" s="47">
        <v>176.0</v>
      </c>
      <c r="D180" s="154">
        <v>10.0</v>
      </c>
      <c r="E180" s="155">
        <v>43647.0</v>
      </c>
      <c r="F180" s="156" t="str">
        <f>HYPERLINK("https://kolom.tempo.co/read/1162289/keajaiban-bernama-marie-kondo ","sumber")</f>
        <v>sumber</v>
      </c>
      <c r="G180" s="156" t="str">
        <f t="shared" si="1"/>
        <v>lokasi</v>
      </c>
      <c r="H180" s="153">
        <v>1303.0</v>
      </c>
      <c r="I180" s="48"/>
      <c r="J180" s="154">
        <v>3.0</v>
      </c>
      <c r="K180" s="165"/>
      <c r="L180" s="48"/>
      <c r="M180" s="48"/>
      <c r="N180" s="48"/>
      <c r="O180" s="48"/>
      <c r="P180" s="48"/>
      <c r="Q180" s="48"/>
      <c r="R180" s="48"/>
      <c r="S180" s="165"/>
      <c r="T180" s="48"/>
      <c r="U180" s="48"/>
      <c r="V180" s="48"/>
      <c r="W180" s="48"/>
      <c r="X180" s="48"/>
      <c r="Y180" s="47"/>
      <c r="Z180" s="43"/>
      <c r="AA180" s="51"/>
      <c r="AB180" s="51"/>
      <c r="AC180" s="51"/>
      <c r="AD180" s="51"/>
      <c r="AE180" s="51"/>
      <c r="AF180" s="51"/>
    </row>
    <row r="181">
      <c r="A181" s="158">
        <v>1.0</v>
      </c>
      <c r="B181" s="159" t="s">
        <v>2301</v>
      </c>
      <c r="C181" s="44">
        <v>177.0</v>
      </c>
      <c r="D181" s="160">
        <v>7.0</v>
      </c>
      <c r="E181" s="161">
        <v>43678.0</v>
      </c>
      <c r="F181" s="162" t="str">
        <f>HYPERLINK("http://www.tribunnews.com/mpr-ri/2019/01/07/paham-menyimpang-di-kalangan-pelajar-makin-tumbuh-ini-jawab-ahmad-basarah ","sumber")</f>
        <v>sumber</v>
      </c>
      <c r="G181" s="162" t="str">
        <f t="shared" si="1"/>
        <v>lokasi</v>
      </c>
      <c r="H181" s="159">
        <v>487.0</v>
      </c>
      <c r="I181" s="44">
        <v>1.0</v>
      </c>
      <c r="J181" s="160">
        <v>3.0</v>
      </c>
      <c r="K181" s="164" t="s">
        <v>2302</v>
      </c>
      <c r="L181" s="44">
        <v>0.0</v>
      </c>
      <c r="M181" s="44">
        <v>-1.0</v>
      </c>
      <c r="N181" s="166">
        <v>0.0</v>
      </c>
      <c r="O181" s="44">
        <v>0.0</v>
      </c>
      <c r="P181" s="44">
        <v>0.0</v>
      </c>
      <c r="Q181" s="44">
        <v>0.0</v>
      </c>
      <c r="R181" s="44">
        <v>-1.0</v>
      </c>
      <c r="S181" s="164" t="s">
        <v>2303</v>
      </c>
      <c r="T181" s="44">
        <v>1.0</v>
      </c>
      <c r="U181" s="44">
        <v>0.0</v>
      </c>
      <c r="V181" s="44">
        <v>1.0</v>
      </c>
      <c r="W181" s="45"/>
      <c r="X181" s="45"/>
      <c r="Y181" s="45"/>
      <c r="Z181" s="9"/>
      <c r="AA181" s="52"/>
      <c r="AB181" s="9"/>
      <c r="AC181" s="9"/>
      <c r="AD181" s="9"/>
      <c r="AE181" s="9"/>
      <c r="AF181" s="9"/>
    </row>
    <row r="182">
      <c r="A182" s="158">
        <v>1.0</v>
      </c>
      <c r="B182" s="159" t="s">
        <v>2304</v>
      </c>
      <c r="C182" s="44">
        <v>178.0</v>
      </c>
      <c r="D182" s="160">
        <v>4.0</v>
      </c>
      <c r="E182" s="161">
        <v>43678.0</v>
      </c>
      <c r="F182" s="162" t="str">
        <f>HYPERLINK("https://www.liputan6.com/showbiz/read/3865107/nyinyir-soal-penampilan-kang-daniel-hingga-v-bts-mc-asal-yunani-minta-maaf ","sumber")</f>
        <v>sumber</v>
      </c>
      <c r="G182" s="162" t="str">
        <f t="shared" si="1"/>
        <v>lokasi</v>
      </c>
      <c r="H182" s="159">
        <v>337.0</v>
      </c>
      <c r="I182" s="44">
        <v>1.0</v>
      </c>
      <c r="J182" s="160">
        <v>3.0</v>
      </c>
      <c r="K182" s="164" t="s">
        <v>2305</v>
      </c>
      <c r="L182" s="44">
        <v>0.0</v>
      </c>
      <c r="M182" s="44">
        <v>-1.0</v>
      </c>
      <c r="N182" s="166">
        <v>0.0</v>
      </c>
      <c r="O182" s="44">
        <v>0.0</v>
      </c>
      <c r="P182" s="44">
        <v>0.0</v>
      </c>
      <c r="Q182" s="44">
        <v>0.0</v>
      </c>
      <c r="R182" s="44">
        <v>-1.0</v>
      </c>
      <c r="S182" s="175"/>
      <c r="T182" s="44">
        <v>0.0</v>
      </c>
      <c r="U182" s="44">
        <v>0.0</v>
      </c>
      <c r="V182" s="44">
        <v>0.0</v>
      </c>
      <c r="W182" s="45"/>
      <c r="X182" s="45"/>
      <c r="Y182" s="45"/>
      <c r="Z182" s="9"/>
      <c r="AA182" s="52"/>
      <c r="AB182" s="9"/>
      <c r="AC182" s="9"/>
      <c r="AD182" s="9"/>
      <c r="AE182" s="9"/>
      <c r="AF182" s="9"/>
    </row>
    <row r="183">
      <c r="A183" s="158">
        <v>1.0</v>
      </c>
      <c r="B183" s="159" t="s">
        <v>2306</v>
      </c>
      <c r="C183" s="44">
        <v>179.0</v>
      </c>
      <c r="D183" s="160">
        <v>8.0</v>
      </c>
      <c r="E183" s="161">
        <v>43678.0</v>
      </c>
      <c r="F183" s="162" t="str">
        <f>HYPERLINK("https://www.suara.com/health/2019/01/08/140846/pengguna-kena-hiv-aplikasi-kencan-gay-blued-ditutup ","sumber")</f>
        <v>sumber</v>
      </c>
      <c r="G183" s="162" t="str">
        <f t="shared" si="1"/>
        <v>lokasi</v>
      </c>
      <c r="H183" s="159">
        <v>163.0</v>
      </c>
      <c r="I183" s="44">
        <v>1.0</v>
      </c>
      <c r="J183" s="160">
        <v>3.0</v>
      </c>
      <c r="K183" s="164" t="s">
        <v>2307</v>
      </c>
      <c r="L183" s="44">
        <v>0.0</v>
      </c>
      <c r="M183" s="188">
        <v>0.0</v>
      </c>
      <c r="N183" s="166">
        <v>0.0</v>
      </c>
      <c r="O183" s="44">
        <v>0.0</v>
      </c>
      <c r="P183" s="44">
        <v>0.0</v>
      </c>
      <c r="Q183" s="44" t="s">
        <v>61</v>
      </c>
      <c r="R183" s="44" t="s">
        <v>62</v>
      </c>
      <c r="S183" s="175"/>
      <c r="T183" s="44">
        <v>0.0</v>
      </c>
      <c r="U183" s="44">
        <v>0.0</v>
      </c>
      <c r="V183" s="44">
        <v>1.0</v>
      </c>
      <c r="W183" s="45"/>
      <c r="X183" s="45"/>
      <c r="Y183" s="45"/>
      <c r="Z183" s="9"/>
      <c r="AA183" s="52"/>
      <c r="AB183" s="9"/>
      <c r="AC183" s="9"/>
      <c r="AD183" s="9"/>
      <c r="AE183" s="9"/>
      <c r="AF183" s="9"/>
    </row>
    <row r="184">
      <c r="A184" s="158">
        <v>1.0</v>
      </c>
      <c r="B184" s="159" t="s">
        <v>2308</v>
      </c>
      <c r="C184" s="44">
        <v>180.0</v>
      </c>
      <c r="D184" s="160">
        <v>10.0</v>
      </c>
      <c r="E184" s="161">
        <v>43800.0</v>
      </c>
      <c r="F184" s="162" t="str">
        <f>HYPERLINK("https://difabel.tempo.co/read/1164091/lgbt-penyandang-disabilitas-mengalami-diskriminasi-berkali-lipat ","sumber")</f>
        <v>sumber</v>
      </c>
      <c r="G184" s="162" t="str">
        <f t="shared" si="1"/>
        <v>lokasi</v>
      </c>
      <c r="H184" s="159">
        <v>247.0</v>
      </c>
      <c r="I184" s="44">
        <v>1.0</v>
      </c>
      <c r="J184" s="160">
        <v>3.0</v>
      </c>
      <c r="K184" s="164" t="s">
        <v>2309</v>
      </c>
      <c r="L184" s="44">
        <v>0.0</v>
      </c>
      <c r="M184" s="44">
        <v>-1.0</v>
      </c>
      <c r="N184" s="166">
        <v>0.0</v>
      </c>
      <c r="O184" s="44">
        <v>0.0</v>
      </c>
      <c r="P184" s="44">
        <v>0.0</v>
      </c>
      <c r="Q184" s="44">
        <v>0.0</v>
      </c>
      <c r="R184" s="44">
        <v>1.0</v>
      </c>
      <c r="S184" s="164" t="s">
        <v>839</v>
      </c>
      <c r="T184" s="44">
        <v>1.0</v>
      </c>
      <c r="U184" s="44">
        <v>0.0</v>
      </c>
      <c r="V184" s="44">
        <v>1.0</v>
      </c>
      <c r="W184" s="45"/>
      <c r="X184" s="45"/>
      <c r="Y184" s="45"/>
      <c r="Z184" s="9"/>
      <c r="AA184" s="52"/>
      <c r="AB184" s="9"/>
      <c r="AC184" s="9"/>
      <c r="AD184" s="9"/>
      <c r="AE184" s="9"/>
      <c r="AF184" s="9"/>
    </row>
    <row r="185">
      <c r="A185" s="189">
        <v>1.0</v>
      </c>
      <c r="B185" s="190" t="s">
        <v>2310</v>
      </c>
      <c r="C185" s="55">
        <v>181.0</v>
      </c>
      <c r="D185" s="169">
        <v>7.0</v>
      </c>
      <c r="E185" s="170">
        <v>43466.0</v>
      </c>
      <c r="F185" s="171" t="str">
        <f>HYPERLINK("http://www.tribunnews.com/internasional/2019/01/01/di-jerman-bukan-laki-atau-perempuan-tulis-berbeda ","sumber")</f>
        <v>sumber</v>
      </c>
      <c r="G185" s="171" t="str">
        <f t="shared" si="1"/>
        <v>lokasi</v>
      </c>
      <c r="H185" s="168">
        <v>165.0</v>
      </c>
      <c r="I185" s="55">
        <v>2.0</v>
      </c>
      <c r="J185" s="169">
        <v>3.0</v>
      </c>
      <c r="K185" s="172" t="s">
        <v>2311</v>
      </c>
      <c r="L185" s="55">
        <v>0.0</v>
      </c>
      <c r="M185" s="55">
        <v>0.0</v>
      </c>
      <c r="N185" s="173">
        <v>0.0</v>
      </c>
      <c r="O185" s="55">
        <v>0.0</v>
      </c>
      <c r="P185" s="55">
        <v>0.0</v>
      </c>
      <c r="Q185" s="55" t="s">
        <v>210</v>
      </c>
      <c r="R185" s="55" t="s">
        <v>192</v>
      </c>
      <c r="S185" s="174"/>
      <c r="T185" s="55">
        <v>0.0</v>
      </c>
      <c r="U185" s="55">
        <v>0.0</v>
      </c>
      <c r="V185" s="55">
        <v>0.0</v>
      </c>
      <c r="W185" s="46"/>
      <c r="X185" s="46"/>
      <c r="Y185" s="55"/>
      <c r="Z185" s="30"/>
      <c r="AA185" s="30"/>
      <c r="AB185" s="31"/>
      <c r="AC185" s="31"/>
      <c r="AD185" s="31"/>
      <c r="AE185" s="31"/>
      <c r="AF185" s="31"/>
    </row>
    <row r="186">
      <c r="A186" s="158">
        <v>1.0</v>
      </c>
      <c r="B186" s="159" t="s">
        <v>2312</v>
      </c>
      <c r="C186" s="44">
        <v>182.0</v>
      </c>
      <c r="D186" s="160">
        <v>6.0</v>
      </c>
      <c r="E186" s="160" t="s">
        <v>698</v>
      </c>
      <c r="F186" s="162" t="str">
        <f>HYPERLINK("https://nasional.kompas.com/read/2019/01/18/18190231/komnas-ham-kritik-debat-pertama-pilpres-soal-isu-toleransi-dan-diskriminasi ","sumber")</f>
        <v>sumber</v>
      </c>
      <c r="G186" s="162" t="str">
        <f t="shared" si="1"/>
        <v>lokasi</v>
      </c>
      <c r="H186" s="159">
        <v>195.0</v>
      </c>
      <c r="I186" s="44">
        <v>4.0</v>
      </c>
      <c r="J186" s="160">
        <v>3.0</v>
      </c>
      <c r="K186" s="164" t="s">
        <v>2313</v>
      </c>
      <c r="L186" s="44">
        <v>0.0</v>
      </c>
      <c r="M186" s="44">
        <v>0.0</v>
      </c>
      <c r="N186" s="166">
        <v>0.0</v>
      </c>
      <c r="O186" s="44">
        <v>0.0</v>
      </c>
      <c r="P186" s="44">
        <v>0.0</v>
      </c>
      <c r="Q186" s="44">
        <v>0.0</v>
      </c>
      <c r="R186" s="44">
        <v>1.0</v>
      </c>
      <c r="S186" s="175"/>
      <c r="T186" s="44">
        <v>0.0</v>
      </c>
      <c r="U186" s="44">
        <v>0.0</v>
      </c>
      <c r="V186" s="44">
        <v>1.0</v>
      </c>
      <c r="W186" s="45"/>
      <c r="X186" s="45"/>
      <c r="Y186" s="45"/>
      <c r="Z186" s="9"/>
      <c r="AA186" s="52"/>
      <c r="AB186" s="9"/>
      <c r="AC186" s="9"/>
      <c r="AD186" s="9"/>
      <c r="AE186" s="9"/>
      <c r="AF186" s="9"/>
    </row>
    <row r="187">
      <c r="A187" s="152">
        <v>2.0</v>
      </c>
      <c r="B187" s="153" t="s">
        <v>2314</v>
      </c>
      <c r="C187" s="47">
        <v>183.0</v>
      </c>
      <c r="D187" s="154">
        <v>4.0</v>
      </c>
      <c r="E187" s="154" t="s">
        <v>702</v>
      </c>
      <c r="F187" s="156" t="str">
        <f>HYPERLINK("https://www.liputan6.com/news/read/3874856/tak-kuat-menahan-sampah-jaring-besi-di-kali-bencong-ambruk ","sumber")</f>
        <v>sumber</v>
      </c>
      <c r="G187" s="156" t="str">
        <f t="shared" si="1"/>
        <v>lokasi</v>
      </c>
      <c r="H187" s="153">
        <v>104.0</v>
      </c>
      <c r="I187" s="48"/>
      <c r="J187" s="154">
        <v>3.0</v>
      </c>
      <c r="K187" s="165"/>
      <c r="L187" s="48"/>
      <c r="M187" s="48"/>
      <c r="N187" s="48"/>
      <c r="O187" s="48"/>
      <c r="P187" s="48"/>
      <c r="Q187" s="48"/>
      <c r="R187" s="48"/>
      <c r="S187" s="165"/>
      <c r="T187" s="48"/>
      <c r="U187" s="48"/>
      <c r="V187" s="48"/>
      <c r="W187" s="48"/>
      <c r="X187" s="48"/>
      <c r="Y187" s="47"/>
      <c r="Z187" s="43"/>
      <c r="AA187" s="51"/>
      <c r="AB187" s="51"/>
      <c r="AC187" s="51"/>
      <c r="AD187" s="51"/>
      <c r="AE187" s="51"/>
      <c r="AF187" s="51"/>
    </row>
    <row r="188">
      <c r="A188" s="152">
        <v>2.0</v>
      </c>
      <c r="B188" s="153" t="s">
        <v>2315</v>
      </c>
      <c r="C188" s="47">
        <v>184.0</v>
      </c>
      <c r="D188" s="154">
        <v>4.0</v>
      </c>
      <c r="E188" s="154" t="s">
        <v>708</v>
      </c>
      <c r="F188" s="156" t="str">
        <f>HYPERLINK("https://www.liputan6.com/global/read/3880964/misteri-temuan-3-karung-tulang-belulang-di-pantai-selandia-baru ","sumber")</f>
        <v>sumber</v>
      </c>
      <c r="G188" s="156" t="str">
        <f t="shared" si="1"/>
        <v>lokasi</v>
      </c>
      <c r="H188" s="153">
        <v>723.0</v>
      </c>
      <c r="I188" s="48"/>
      <c r="J188" s="154">
        <v>3.0</v>
      </c>
      <c r="K188" s="165"/>
      <c r="L188" s="48"/>
      <c r="M188" s="48"/>
      <c r="N188" s="48"/>
      <c r="O188" s="48"/>
      <c r="P188" s="48"/>
      <c r="Q188" s="48"/>
      <c r="R188" s="48"/>
      <c r="S188" s="165"/>
      <c r="T188" s="48"/>
      <c r="U188" s="48"/>
      <c r="V188" s="48"/>
      <c r="W188" s="48"/>
      <c r="X188" s="48"/>
      <c r="Y188" s="47"/>
      <c r="Z188" s="43"/>
      <c r="AA188" s="51"/>
      <c r="AB188" s="51"/>
      <c r="AC188" s="51"/>
      <c r="AD188" s="51"/>
      <c r="AE188" s="51"/>
      <c r="AF188" s="51"/>
    </row>
    <row r="189">
      <c r="A189" s="158">
        <v>1.0</v>
      </c>
      <c r="B189" s="159" t="s">
        <v>2316</v>
      </c>
      <c r="C189" s="44">
        <v>185.0</v>
      </c>
      <c r="D189" s="160">
        <v>1.0</v>
      </c>
      <c r="E189" s="160" t="s">
        <v>466</v>
      </c>
      <c r="F189" s="162" t="str">
        <f>HYPERLINK("https://news.detik.com/berita/d-4406773/ketua-dpr-tepis-ruu-kekerasan-seksual-pro-zina-dasar-kita-agama ","sumber")</f>
        <v>sumber</v>
      </c>
      <c r="G189" s="162" t="str">
        <f t="shared" si="1"/>
        <v>lokasi</v>
      </c>
      <c r="H189" s="159">
        <v>243.0</v>
      </c>
      <c r="I189" s="44">
        <v>4.0</v>
      </c>
      <c r="J189" s="160">
        <v>3.0</v>
      </c>
      <c r="K189" s="164" t="s">
        <v>380</v>
      </c>
      <c r="L189" s="44">
        <v>0.0</v>
      </c>
      <c r="M189" s="44">
        <v>0.0</v>
      </c>
      <c r="N189" s="166">
        <v>0.0</v>
      </c>
      <c r="O189" s="44">
        <v>0.0</v>
      </c>
      <c r="P189" s="44">
        <v>0.0</v>
      </c>
      <c r="Q189" s="44">
        <v>0.0</v>
      </c>
      <c r="R189" s="44">
        <v>-1.0</v>
      </c>
      <c r="S189" s="175"/>
      <c r="T189" s="44">
        <v>0.0</v>
      </c>
      <c r="U189" s="44">
        <v>0.0</v>
      </c>
      <c r="V189" s="44">
        <v>1.0</v>
      </c>
      <c r="W189" s="45"/>
      <c r="X189" s="45"/>
      <c r="Y189" s="45"/>
      <c r="Z189" s="9"/>
      <c r="AA189" s="52"/>
      <c r="AB189" s="9"/>
      <c r="AC189" s="9"/>
      <c r="AD189" s="9"/>
      <c r="AE189" s="9"/>
      <c r="AF189" s="9"/>
    </row>
    <row r="190">
      <c r="A190" s="152">
        <v>2.0</v>
      </c>
      <c r="B190" s="153" t="s">
        <v>2317</v>
      </c>
      <c r="C190" s="47">
        <v>186.0</v>
      </c>
      <c r="D190" s="154">
        <v>10.0</v>
      </c>
      <c r="E190" s="154" t="s">
        <v>98</v>
      </c>
      <c r="F190" s="156" t="str">
        <f>HYPERLINK("https://dunia.tempo.co/read/1170822/pemimpin-kuil-setan-takut-kepada-wapres-as-mike-pence-alasannya ","sumber")</f>
        <v>sumber</v>
      </c>
      <c r="G190" s="156" t="str">
        <f t="shared" si="1"/>
        <v>lokasi</v>
      </c>
      <c r="H190" s="153">
        <v>334.0</v>
      </c>
      <c r="I190" s="48"/>
      <c r="J190" s="154">
        <v>3.0</v>
      </c>
      <c r="K190" s="165"/>
      <c r="L190" s="48"/>
      <c r="M190" s="48"/>
      <c r="N190" s="48"/>
      <c r="O190" s="48"/>
      <c r="P190" s="48"/>
      <c r="Q190" s="48"/>
      <c r="R190" s="48"/>
      <c r="S190" s="165"/>
      <c r="T190" s="48"/>
      <c r="U190" s="48"/>
      <c r="V190" s="48"/>
      <c r="W190" s="48"/>
      <c r="X190" s="48"/>
      <c r="Y190" s="47"/>
      <c r="Z190" s="43"/>
      <c r="AA190" s="51"/>
      <c r="AB190" s="51"/>
      <c r="AC190" s="51"/>
      <c r="AD190" s="51"/>
      <c r="AE190" s="51"/>
      <c r="AF190" s="51"/>
    </row>
    <row r="191">
      <c r="A191" s="158">
        <v>1.0</v>
      </c>
      <c r="B191" s="159" t="s">
        <v>2318</v>
      </c>
      <c r="C191" s="44">
        <v>187.0</v>
      </c>
      <c r="D191" s="160">
        <v>5.0</v>
      </c>
      <c r="E191" s="161">
        <v>43467.0</v>
      </c>
      <c r="F191" s="162" t="str">
        <f>HYPERLINK("https://tirto.id/maimon-tolak-ruu-pks-dan-mereka-yang-enggan-menjadi-feminis-dfFJ ","sumber")</f>
        <v>sumber</v>
      </c>
      <c r="G191" s="162" t="str">
        <f t="shared" si="1"/>
        <v>lokasi</v>
      </c>
      <c r="H191" s="159">
        <v>539.0</v>
      </c>
      <c r="I191" s="44">
        <v>4.0</v>
      </c>
      <c r="J191" s="160">
        <v>1.0</v>
      </c>
      <c r="K191" s="164" t="s">
        <v>2319</v>
      </c>
      <c r="L191" s="44">
        <v>0.0</v>
      </c>
      <c r="M191" s="44">
        <v>0.0</v>
      </c>
      <c r="N191" s="166">
        <v>0.0</v>
      </c>
      <c r="O191" s="44">
        <v>0.0</v>
      </c>
      <c r="P191" s="44">
        <v>0.0</v>
      </c>
      <c r="Q191" s="44" t="s">
        <v>61</v>
      </c>
      <c r="R191" s="44" t="s">
        <v>61</v>
      </c>
      <c r="S191" s="175"/>
      <c r="T191" s="44">
        <v>0.0</v>
      </c>
      <c r="U191" s="44">
        <v>0.0</v>
      </c>
      <c r="V191" s="44">
        <v>1.0</v>
      </c>
      <c r="W191" s="45"/>
      <c r="X191" s="45"/>
      <c r="Y191" s="45"/>
      <c r="Z191" s="9"/>
      <c r="AA191" s="52"/>
      <c r="AB191" s="9"/>
      <c r="AC191" s="9"/>
      <c r="AD191" s="9"/>
      <c r="AE191" s="9"/>
      <c r="AF191" s="9"/>
    </row>
    <row r="192">
      <c r="A192" s="152">
        <v>2.0</v>
      </c>
      <c r="B192" s="153" t="s">
        <v>2320</v>
      </c>
      <c r="C192" s="47">
        <v>188.0</v>
      </c>
      <c r="D192" s="154">
        <v>2.0</v>
      </c>
      <c r="E192" s="155">
        <v>43526.0</v>
      </c>
      <c r="F192" s="156" t="str">
        <f>HYPERLINK("https://www.cnnindonesia.com/hiburan/20190202182458-227-365999/rela-habiskan-jutaan-demi-senang-ala-fan-k-pop ","sumber")</f>
        <v>sumber</v>
      </c>
      <c r="G192" s="156" t="str">
        <f t="shared" si="1"/>
        <v>lokasi</v>
      </c>
      <c r="H192" s="153">
        <v>785.0</v>
      </c>
      <c r="I192" s="48"/>
      <c r="J192" s="154">
        <v>3.0</v>
      </c>
      <c r="K192" s="165"/>
      <c r="L192" s="48"/>
      <c r="M192" s="48"/>
      <c r="N192" s="47"/>
      <c r="O192" s="48"/>
      <c r="P192" s="48"/>
      <c r="Q192" s="48"/>
      <c r="R192" s="48"/>
      <c r="S192" s="165"/>
      <c r="T192" s="48"/>
      <c r="U192" s="48"/>
      <c r="V192" s="48"/>
      <c r="W192" s="48"/>
      <c r="X192" s="48"/>
      <c r="Y192" s="47"/>
      <c r="Z192" s="43"/>
      <c r="AA192" s="51"/>
      <c r="AB192" s="51"/>
      <c r="AC192" s="51"/>
      <c r="AD192" s="51"/>
      <c r="AE192" s="51"/>
      <c r="AF192" s="51"/>
    </row>
    <row r="193">
      <c r="A193" s="158">
        <v>1.0</v>
      </c>
      <c r="B193" s="159" t="s">
        <v>2321</v>
      </c>
      <c r="C193" s="44">
        <v>189.0</v>
      </c>
      <c r="D193" s="160">
        <v>10.0</v>
      </c>
      <c r="E193" s="161">
        <v>43618.0</v>
      </c>
      <c r="F193" s="162" t="str">
        <f>HYPERLINK("https://seleb.tempo.co/read/1172822/penyelenggaraan-oscars-2019-akan-berlangsung-tanpa-host ","sumber")</f>
        <v>sumber</v>
      </c>
      <c r="G193" s="162" t="str">
        <f t="shared" si="1"/>
        <v>lokasi</v>
      </c>
      <c r="H193" s="159">
        <v>349.0</v>
      </c>
      <c r="I193" s="44">
        <v>3.0</v>
      </c>
      <c r="J193" s="160">
        <v>3.0</v>
      </c>
      <c r="K193" s="164" t="s">
        <v>2322</v>
      </c>
      <c r="L193" s="44">
        <v>0.0</v>
      </c>
      <c r="M193" s="44">
        <v>0.0</v>
      </c>
      <c r="N193" s="166">
        <v>0.0</v>
      </c>
      <c r="O193" s="44">
        <v>0.0</v>
      </c>
      <c r="P193" s="44">
        <v>0.0</v>
      </c>
      <c r="Q193" s="44">
        <v>0.0</v>
      </c>
      <c r="R193" s="44">
        <v>0.0</v>
      </c>
      <c r="S193" s="175"/>
      <c r="T193" s="44">
        <v>0.0</v>
      </c>
      <c r="U193" s="44">
        <v>0.0</v>
      </c>
      <c r="V193" s="44">
        <v>0.0</v>
      </c>
      <c r="W193" s="45"/>
      <c r="X193" s="45"/>
      <c r="Y193" s="45"/>
      <c r="Z193" s="9"/>
      <c r="AA193" s="52"/>
      <c r="AB193" s="9"/>
      <c r="AC193" s="9"/>
      <c r="AD193" s="9"/>
      <c r="AE193" s="9"/>
      <c r="AF193" s="9"/>
    </row>
    <row r="194">
      <c r="A194" s="158">
        <v>1.0</v>
      </c>
      <c r="B194" s="159" t="s">
        <v>2323</v>
      </c>
      <c r="C194" s="44">
        <v>190.0</v>
      </c>
      <c r="D194" s="160">
        <v>4.0</v>
      </c>
      <c r="E194" s="161">
        <v>43710.0</v>
      </c>
      <c r="F194" s="162" t="str">
        <f>HYPERLINK("https://www.liputan6.com/showbiz/read/3890712/onadio-leonardo-tak-masalah-dicap-pria-kemayu ","sumber")</f>
        <v>sumber</v>
      </c>
      <c r="G194" s="162" t="str">
        <f t="shared" si="1"/>
        <v>lokasi</v>
      </c>
      <c r="H194" s="159">
        <v>309.0</v>
      </c>
      <c r="I194" s="44">
        <v>2.0</v>
      </c>
      <c r="J194" s="160">
        <v>3.0</v>
      </c>
      <c r="K194" s="164" t="s">
        <v>2324</v>
      </c>
      <c r="L194" s="44">
        <v>0.0</v>
      </c>
      <c r="M194" s="44">
        <v>0.0</v>
      </c>
      <c r="N194" s="166">
        <v>0.0</v>
      </c>
      <c r="O194" s="44">
        <v>0.0</v>
      </c>
      <c r="P194" s="44">
        <v>0.0</v>
      </c>
      <c r="Q194" s="44">
        <v>0.0</v>
      </c>
      <c r="R194" s="44">
        <v>0.0</v>
      </c>
      <c r="S194" s="175"/>
      <c r="T194" s="44">
        <v>0.0</v>
      </c>
      <c r="U194" s="44">
        <v>0.0</v>
      </c>
      <c r="V194" s="44">
        <v>0.0</v>
      </c>
      <c r="W194" s="45"/>
      <c r="X194" s="45"/>
      <c r="Y194" s="45"/>
      <c r="Z194" s="9"/>
      <c r="AA194" s="52"/>
      <c r="AB194" s="9"/>
      <c r="AC194" s="9"/>
      <c r="AD194" s="9"/>
      <c r="AE194" s="9"/>
      <c r="AF194" s="9"/>
    </row>
    <row r="195">
      <c r="A195" s="158">
        <v>1.0</v>
      </c>
      <c r="B195" s="159" t="s">
        <v>2325</v>
      </c>
      <c r="C195" s="44">
        <v>191.0</v>
      </c>
      <c r="D195" s="160">
        <v>7.0</v>
      </c>
      <c r="E195" s="161">
        <v>43710.0</v>
      </c>
      <c r="F195" s="162" t="str">
        <f>HYPERLINK("http://www.tribunnews.com/seleb/2019/02/09/berdasarkan-jenis-kelamin-di-ktp-reva-alexa-ditempatkan-di-sel-wanita ","sumber")</f>
        <v>sumber</v>
      </c>
      <c r="G195" s="162" t="str">
        <f t="shared" si="1"/>
        <v>lokasi</v>
      </c>
      <c r="H195" s="159">
        <v>82.0</v>
      </c>
      <c r="I195" s="44">
        <v>1.0</v>
      </c>
      <c r="J195" s="160">
        <v>3.0</v>
      </c>
      <c r="K195" s="164" t="s">
        <v>2326</v>
      </c>
      <c r="L195" s="44">
        <v>0.0</v>
      </c>
      <c r="M195" s="44">
        <v>-1.0</v>
      </c>
      <c r="N195" s="166">
        <v>0.0</v>
      </c>
      <c r="O195" s="44">
        <v>0.0</v>
      </c>
      <c r="P195" s="44">
        <v>0.0</v>
      </c>
      <c r="Q195" s="44">
        <v>0.0</v>
      </c>
      <c r="R195" s="44">
        <v>-1.0</v>
      </c>
      <c r="S195" s="175"/>
      <c r="T195" s="44">
        <v>0.0</v>
      </c>
      <c r="U195" s="44">
        <v>-1.0</v>
      </c>
      <c r="V195" s="44">
        <v>0.0</v>
      </c>
      <c r="W195" s="45"/>
      <c r="X195" s="45"/>
      <c r="Y195" s="45"/>
      <c r="Z195" s="9"/>
      <c r="AA195" s="52"/>
      <c r="AB195" s="9"/>
      <c r="AC195" s="9"/>
      <c r="AD195" s="9"/>
      <c r="AE195" s="9"/>
      <c r="AF195" s="9"/>
    </row>
    <row r="196">
      <c r="A196" s="158">
        <v>1.0</v>
      </c>
      <c r="B196" s="159" t="s">
        <v>2327</v>
      </c>
      <c r="C196" s="44">
        <v>192.0</v>
      </c>
      <c r="D196" s="160">
        <v>8.0</v>
      </c>
      <c r="E196" s="160" t="s">
        <v>108</v>
      </c>
      <c r="F196" s="162" t="str">
        <f>HYPERLINK("https://www.suara.com/entertainment/2019/02/13/162544/jupiter-fortissimo-pernah-ngaku-gay-hingga-dua-kali-terseret-kasus-narkoba ","sumber")</f>
        <v>sumber</v>
      </c>
      <c r="G196" s="162" t="str">
        <f t="shared" si="1"/>
        <v>lokasi</v>
      </c>
      <c r="H196" s="159">
        <v>291.0</v>
      </c>
      <c r="I196" s="44">
        <v>1.0</v>
      </c>
      <c r="J196" s="160">
        <v>3.0</v>
      </c>
      <c r="K196" s="164" t="s">
        <v>2326</v>
      </c>
      <c r="L196" s="44">
        <v>0.0</v>
      </c>
      <c r="M196" s="44">
        <v>-1.0</v>
      </c>
      <c r="N196" s="166">
        <v>0.0</v>
      </c>
      <c r="O196" s="44">
        <v>0.0</v>
      </c>
      <c r="P196" s="44">
        <v>0.0</v>
      </c>
      <c r="Q196" s="44">
        <v>0.0</v>
      </c>
      <c r="R196" s="44">
        <v>0.0</v>
      </c>
      <c r="S196" s="164" t="s">
        <v>2328</v>
      </c>
      <c r="T196" s="44">
        <v>2.0</v>
      </c>
      <c r="U196" s="44">
        <v>0.0</v>
      </c>
      <c r="V196" s="44">
        <v>0.0</v>
      </c>
      <c r="W196" s="45"/>
      <c r="X196" s="45"/>
      <c r="Y196" s="45"/>
      <c r="Z196" s="9"/>
      <c r="AA196" s="52"/>
      <c r="AB196" s="9"/>
      <c r="AC196" s="9"/>
      <c r="AD196" s="9"/>
      <c r="AE196" s="9"/>
      <c r="AF196" s="9"/>
    </row>
    <row r="197">
      <c r="A197" s="152">
        <v>2.0</v>
      </c>
      <c r="B197" s="153" t="s">
        <v>2329</v>
      </c>
      <c r="C197" s="47">
        <v>193.0</v>
      </c>
      <c r="D197" s="154">
        <v>5.0</v>
      </c>
      <c r="E197" s="154" t="s">
        <v>113</v>
      </c>
      <c r="F197" s="156" t="str">
        <f>HYPERLINK("https://tirto.id/mengenal-tu-bav-hari-valentine-ala-kaum-yahudi-dgQW ","sumber")</f>
        <v>sumber</v>
      </c>
      <c r="G197" s="156" t="str">
        <f t="shared" si="1"/>
        <v>lokasi</v>
      </c>
      <c r="H197" s="153">
        <v>1010.0</v>
      </c>
      <c r="I197" s="48"/>
      <c r="J197" s="154">
        <v>3.0</v>
      </c>
      <c r="K197" s="165"/>
      <c r="L197" s="48"/>
      <c r="M197" s="48"/>
      <c r="N197" s="48"/>
      <c r="O197" s="48"/>
      <c r="P197" s="48"/>
      <c r="Q197" s="48"/>
      <c r="R197" s="48"/>
      <c r="S197" s="165"/>
      <c r="T197" s="48"/>
      <c r="U197" s="48"/>
      <c r="V197" s="48"/>
      <c r="W197" s="48"/>
      <c r="X197" s="48"/>
      <c r="Y197" s="47"/>
      <c r="Z197" s="43"/>
      <c r="AA197" s="51"/>
      <c r="AB197" s="51"/>
      <c r="AC197" s="51"/>
      <c r="AD197" s="51"/>
      <c r="AE197" s="51"/>
      <c r="AF197" s="51"/>
    </row>
    <row r="198">
      <c r="A198" s="158">
        <v>1.0</v>
      </c>
      <c r="B198" s="159" t="s">
        <v>2330</v>
      </c>
      <c r="C198" s="44">
        <v>194.0</v>
      </c>
      <c r="D198" s="160">
        <v>10.0</v>
      </c>
      <c r="E198" s="160" t="s">
        <v>2152</v>
      </c>
      <c r="F198" s="162" t="str">
        <f>HYPERLINK("https://dunia.tempo.co/read/1178687/pasangan-gay-as-menangkan-gugatan-kewarganegaraan-anak-kembarnya ","sumber")</f>
        <v>sumber</v>
      </c>
      <c r="G198" s="162" t="str">
        <f t="shared" si="1"/>
        <v>lokasi</v>
      </c>
      <c r="H198" s="159">
        <v>248.0</v>
      </c>
      <c r="I198" s="44">
        <v>1.0</v>
      </c>
      <c r="J198" s="160">
        <v>3.0</v>
      </c>
      <c r="K198" s="164" t="s">
        <v>2331</v>
      </c>
      <c r="L198" s="44">
        <v>0.0</v>
      </c>
      <c r="M198" s="44">
        <v>-1.0</v>
      </c>
      <c r="N198" s="166">
        <v>0.0</v>
      </c>
      <c r="O198" s="44">
        <v>0.0</v>
      </c>
      <c r="P198" s="44">
        <v>0.0</v>
      </c>
      <c r="Q198" s="44">
        <v>1.0</v>
      </c>
      <c r="R198" s="44">
        <v>1.0</v>
      </c>
      <c r="S198" s="175"/>
      <c r="T198" s="44">
        <v>0.0</v>
      </c>
      <c r="U198" s="44">
        <v>0.0</v>
      </c>
      <c r="V198" s="44">
        <v>0.0</v>
      </c>
      <c r="W198" s="45"/>
      <c r="X198" s="45"/>
      <c r="Y198" s="45"/>
      <c r="Z198" s="9"/>
      <c r="AA198" s="52"/>
      <c r="AB198" s="9"/>
      <c r="AC198" s="9"/>
      <c r="AD198" s="9"/>
      <c r="AE198" s="9"/>
      <c r="AF198" s="9"/>
    </row>
    <row r="199">
      <c r="A199" s="158">
        <v>1.0</v>
      </c>
      <c r="B199" s="159" t="s">
        <v>2332</v>
      </c>
      <c r="C199" s="44">
        <v>195.0</v>
      </c>
      <c r="D199" s="160">
        <v>4.0</v>
      </c>
      <c r="E199" s="160" t="s">
        <v>496</v>
      </c>
      <c r="F199" s="162" t="str">
        <f>HYPERLINK("https://www.liputan6.com/pilpres/read/3903520/maruf-amin-nuduh-jokowi-tak-islami-ente-sudah-berbuat-apa-untuk-islam ","sumber")</f>
        <v>sumber</v>
      </c>
      <c r="G199" s="162" t="str">
        <f t="shared" si="1"/>
        <v>lokasi</v>
      </c>
      <c r="H199" s="159">
        <v>324.0</v>
      </c>
      <c r="I199" s="44">
        <v>4.0</v>
      </c>
      <c r="J199" s="160">
        <v>3.0</v>
      </c>
      <c r="K199" s="164" t="s">
        <v>2333</v>
      </c>
      <c r="L199" s="44">
        <v>0.0</v>
      </c>
      <c r="M199" s="44">
        <v>0.0</v>
      </c>
      <c r="N199" s="166">
        <v>0.0</v>
      </c>
      <c r="O199" s="44">
        <v>0.0</v>
      </c>
      <c r="P199" s="44">
        <v>0.0</v>
      </c>
      <c r="Q199" s="44">
        <v>0.0</v>
      </c>
      <c r="R199" s="44">
        <v>-1.0</v>
      </c>
      <c r="S199" s="175"/>
      <c r="T199" s="44">
        <v>0.0</v>
      </c>
      <c r="U199" s="44">
        <v>0.0</v>
      </c>
      <c r="V199" s="44">
        <v>1.0</v>
      </c>
      <c r="W199" s="45"/>
      <c r="X199" s="45"/>
      <c r="Y199" s="45"/>
      <c r="Z199" s="9"/>
      <c r="AA199" s="52"/>
      <c r="AB199" s="9"/>
      <c r="AC199" s="9"/>
      <c r="AD199" s="9"/>
      <c r="AE199" s="9"/>
      <c r="AF199" s="9"/>
    </row>
    <row r="200">
      <c r="A200" s="158">
        <v>1.0</v>
      </c>
      <c r="B200" s="159" t="s">
        <v>2334</v>
      </c>
      <c r="C200" s="44">
        <v>196.0</v>
      </c>
      <c r="D200" s="160">
        <v>3.0</v>
      </c>
      <c r="E200" s="160" t="s">
        <v>496</v>
      </c>
      <c r="F200" s="162" t="str">
        <f>HYPERLINK("https://news.okezone.com/read/2019/02/25/525/2022394/ini-3-perempuan-diciduk-polisi-diduga-kampanye-jokowi-menang-lgbt-disahkan-dan-adzan-dilarang ","sumber")</f>
        <v>sumber</v>
      </c>
      <c r="G200" s="162" t="str">
        <f t="shared" si="1"/>
        <v>lokasi</v>
      </c>
      <c r="H200" s="159">
        <v>416.0</v>
      </c>
      <c r="I200" s="44">
        <v>1.0</v>
      </c>
      <c r="J200" s="160">
        <v>3.0</v>
      </c>
      <c r="K200" s="164" t="s">
        <v>2335</v>
      </c>
      <c r="L200" s="44">
        <v>0.0</v>
      </c>
      <c r="M200" s="44">
        <v>-1.0</v>
      </c>
      <c r="N200" s="166">
        <v>0.0</v>
      </c>
      <c r="O200" s="44">
        <v>0.0</v>
      </c>
      <c r="P200" s="44">
        <v>0.0</v>
      </c>
      <c r="Q200" s="44" t="s">
        <v>61</v>
      </c>
      <c r="R200" s="44" t="s">
        <v>61</v>
      </c>
      <c r="S200" s="175"/>
      <c r="T200" s="44">
        <v>0.0</v>
      </c>
      <c r="U200" s="44">
        <v>0.0</v>
      </c>
      <c r="V200" s="44">
        <v>0.0</v>
      </c>
      <c r="W200" s="45"/>
      <c r="X200" s="45"/>
      <c r="Y200" s="45"/>
      <c r="Z200" s="9"/>
      <c r="AA200" s="52"/>
      <c r="AB200" s="9"/>
      <c r="AC200" s="9"/>
      <c r="AD200" s="9"/>
      <c r="AE200" s="9"/>
      <c r="AF200" s="9"/>
    </row>
    <row r="201">
      <c r="A201" s="189">
        <v>1.0</v>
      </c>
      <c r="B201" s="190" t="s">
        <v>2336</v>
      </c>
      <c r="C201" s="55">
        <v>197.0</v>
      </c>
      <c r="D201" s="169">
        <v>5.0</v>
      </c>
      <c r="E201" s="169" t="s">
        <v>113</v>
      </c>
      <c r="F201" s="171" t="str">
        <f>HYPERLINK("https://tirto.id/frozen-2-tampilkan-tokoh-wanita-baru-yang-disebut-sebut-pacar-elsa-dg3c ","sumber")</f>
        <v>sumber</v>
      </c>
      <c r="G201" s="171" t="str">
        <f t="shared" si="1"/>
        <v>lokasi</v>
      </c>
      <c r="H201" s="168">
        <v>562.0</v>
      </c>
      <c r="I201" s="55">
        <v>3.0</v>
      </c>
      <c r="J201" s="169">
        <v>3.0</v>
      </c>
      <c r="K201" s="172" t="s">
        <v>2337</v>
      </c>
      <c r="L201" s="55">
        <v>0.0</v>
      </c>
      <c r="M201" s="55">
        <v>0.0</v>
      </c>
      <c r="N201" s="173">
        <v>0.0</v>
      </c>
      <c r="O201" s="55">
        <v>0.0</v>
      </c>
      <c r="P201" s="55">
        <v>0.0</v>
      </c>
      <c r="Q201" s="55">
        <v>0.0</v>
      </c>
      <c r="R201" s="55">
        <v>0.0</v>
      </c>
      <c r="S201" s="174"/>
      <c r="T201" s="55">
        <v>0.0</v>
      </c>
      <c r="U201" s="55">
        <v>0.0</v>
      </c>
      <c r="V201" s="55">
        <v>0.0</v>
      </c>
      <c r="W201" s="46"/>
      <c r="X201" s="46"/>
      <c r="Y201" s="55"/>
      <c r="Z201" s="30"/>
      <c r="AA201" s="30"/>
      <c r="AB201" s="31"/>
      <c r="AC201" s="31"/>
      <c r="AD201" s="31"/>
      <c r="AE201" s="31"/>
      <c r="AF201" s="31"/>
    </row>
    <row r="202">
      <c r="A202" s="158">
        <v>1.0</v>
      </c>
      <c r="B202" s="159" t="s">
        <v>2338</v>
      </c>
      <c r="C202" s="44">
        <v>198.0</v>
      </c>
      <c r="D202" s="160">
        <v>6.0</v>
      </c>
      <c r="E202" s="160" t="s">
        <v>2339</v>
      </c>
      <c r="F202" s="162" t="str">
        <f>HYPERLINK("https://nasional.kompas.com/read/2019/02/28/17225381/ketum-ppp-jika-dari-kubu-01-ada-yang-sebar-hoaks-silakan-ditindak ","sumber")</f>
        <v>sumber</v>
      </c>
      <c r="G202" s="162" t="str">
        <f t="shared" si="1"/>
        <v>lokasi</v>
      </c>
      <c r="H202" s="159">
        <v>341.0</v>
      </c>
      <c r="I202" s="44">
        <v>4.0</v>
      </c>
      <c r="J202" s="160">
        <v>3.0</v>
      </c>
      <c r="K202" s="164" t="s">
        <v>2340</v>
      </c>
      <c r="L202" s="44">
        <v>0.0</v>
      </c>
      <c r="M202" s="44">
        <v>0.0</v>
      </c>
      <c r="N202" s="166">
        <v>0.0</v>
      </c>
      <c r="O202" s="44">
        <v>0.0</v>
      </c>
      <c r="P202" s="44">
        <v>0.0</v>
      </c>
      <c r="Q202" s="44">
        <v>0.0</v>
      </c>
      <c r="R202" s="44">
        <v>0.0</v>
      </c>
      <c r="S202" s="175"/>
      <c r="T202" s="44">
        <v>0.0</v>
      </c>
      <c r="U202" s="44">
        <v>0.0</v>
      </c>
      <c r="V202" s="44">
        <v>1.0</v>
      </c>
      <c r="W202" s="45"/>
      <c r="X202" s="45"/>
      <c r="Y202" s="45"/>
      <c r="Z202" s="9"/>
      <c r="AA202" s="52"/>
      <c r="AB202" s="9"/>
      <c r="AC202" s="9"/>
      <c r="AD202" s="9"/>
      <c r="AE202" s="9"/>
      <c r="AF202" s="9"/>
    </row>
    <row r="203">
      <c r="A203" s="152">
        <v>2.0</v>
      </c>
      <c r="B203" s="153" t="s">
        <v>2341</v>
      </c>
      <c r="C203" s="47">
        <v>199.0</v>
      </c>
      <c r="D203" s="154">
        <v>3.0</v>
      </c>
      <c r="E203" s="155">
        <v>43558.0</v>
      </c>
      <c r="F203" s="156" t="str">
        <f>HYPERLINK("https://lifestyle.okezone.com/read/2019/03/04/194/2025563/6-zodiak-yang-paling-stylish-gayanya-bisa-jadi-trendsetter ","sumber")</f>
        <v>sumber</v>
      </c>
      <c r="G203" s="156" t="str">
        <f t="shared" si="1"/>
        <v>lokasi</v>
      </c>
      <c r="H203" s="153">
        <v>561.0</v>
      </c>
      <c r="I203" s="48"/>
      <c r="J203" s="154">
        <v>3.0</v>
      </c>
      <c r="K203" s="165"/>
      <c r="L203" s="48"/>
      <c r="M203" s="48"/>
      <c r="N203" s="48"/>
      <c r="O203" s="48"/>
      <c r="P203" s="48"/>
      <c r="Q203" s="48"/>
      <c r="R203" s="48"/>
      <c r="S203" s="165"/>
      <c r="T203" s="48"/>
      <c r="U203" s="48"/>
      <c r="V203" s="48"/>
      <c r="W203" s="48"/>
      <c r="X203" s="48"/>
      <c r="Y203" s="47"/>
      <c r="Z203" s="43"/>
      <c r="AA203" s="51"/>
      <c r="AB203" s="51"/>
      <c r="AC203" s="51"/>
      <c r="AD203" s="51"/>
      <c r="AE203" s="51"/>
      <c r="AF203" s="51"/>
    </row>
    <row r="204">
      <c r="A204" s="176">
        <v>1.0</v>
      </c>
      <c r="B204" s="196" t="s">
        <v>2342</v>
      </c>
      <c r="C204" s="178">
        <v>200.0</v>
      </c>
      <c r="D204" s="179">
        <v>6.0</v>
      </c>
      <c r="E204" s="179" t="s">
        <v>240</v>
      </c>
      <c r="F204" s="180" t="str">
        <f>HYPERLINK("https://internasional.kompas.com/read/2019/05/24/13471511/disorot-soal-hukuman-mati-bagi-lgbt-sultan-brunei-kembalikan-gelar-dari ","sumber")</f>
        <v>sumber</v>
      </c>
      <c r="G204" s="180" t="str">
        <f t="shared" si="1"/>
        <v>lokasi</v>
      </c>
      <c r="H204" s="177">
        <v>300.0</v>
      </c>
      <c r="I204" s="178">
        <v>1.0</v>
      </c>
      <c r="J204" s="179">
        <v>3.0</v>
      </c>
      <c r="K204" s="181" t="s">
        <v>2343</v>
      </c>
      <c r="L204" s="178">
        <v>0.0</v>
      </c>
      <c r="M204" s="178">
        <v>1.0</v>
      </c>
      <c r="N204" s="182">
        <v>0.0</v>
      </c>
      <c r="O204" s="178">
        <v>0.0</v>
      </c>
      <c r="P204" s="178">
        <v>0.0</v>
      </c>
      <c r="Q204" s="178" t="s">
        <v>61</v>
      </c>
      <c r="R204" s="178" t="s">
        <v>780</v>
      </c>
      <c r="S204" s="183"/>
      <c r="T204" s="178">
        <v>0.0</v>
      </c>
      <c r="U204" s="178">
        <v>0.0</v>
      </c>
      <c r="V204" s="178">
        <v>1.0</v>
      </c>
      <c r="W204" s="184"/>
      <c r="X204" s="184"/>
      <c r="Y204" s="178"/>
      <c r="Z204" s="185"/>
      <c r="AA204" s="185"/>
      <c r="AB204" s="186"/>
      <c r="AC204" s="186"/>
      <c r="AD204" s="186"/>
      <c r="AE204" s="186"/>
      <c r="AF204" s="186"/>
    </row>
    <row r="205">
      <c r="A205" s="158">
        <v>1.0</v>
      </c>
      <c r="B205" s="159" t="s">
        <v>2344</v>
      </c>
      <c r="C205" s="44">
        <v>201.0</v>
      </c>
      <c r="D205" s="160">
        <v>4.0</v>
      </c>
      <c r="E205" s="161">
        <v>43680.0</v>
      </c>
      <c r="F205" s="162" t="str">
        <f>HYPERLINK("https://www.liputan6.com/global/read/3912558/pertama-dalam-sejarah-thailand-transgender-jadi-kandidat-perdana-menteri ","sumber")</f>
        <v>sumber</v>
      </c>
      <c r="G205" s="162" t="str">
        <f t="shared" si="1"/>
        <v>lokasi</v>
      </c>
      <c r="H205" s="159">
        <v>685.0</v>
      </c>
      <c r="I205" s="44">
        <v>4.0</v>
      </c>
      <c r="J205" s="160">
        <v>3.0</v>
      </c>
      <c r="K205" s="164" t="s">
        <v>2345</v>
      </c>
      <c r="L205" s="44">
        <v>0.0</v>
      </c>
      <c r="M205" s="44">
        <v>0.0</v>
      </c>
      <c r="N205" s="166">
        <v>0.0</v>
      </c>
      <c r="O205" s="44">
        <v>0.0</v>
      </c>
      <c r="P205" s="44">
        <v>0.0</v>
      </c>
      <c r="Q205" s="44" t="s">
        <v>651</v>
      </c>
      <c r="R205" s="44" t="s">
        <v>192</v>
      </c>
      <c r="S205" s="175"/>
      <c r="T205" s="44">
        <v>0.0</v>
      </c>
      <c r="U205" s="44">
        <v>0.0</v>
      </c>
      <c r="V205" s="44">
        <v>1.0</v>
      </c>
      <c r="W205" s="45"/>
      <c r="X205" s="45"/>
      <c r="Y205" s="45"/>
      <c r="Z205" s="9"/>
      <c r="AA205" s="52"/>
      <c r="AB205" s="9"/>
      <c r="AC205" s="9"/>
      <c r="AD205" s="9"/>
      <c r="AE205" s="9"/>
      <c r="AF205" s="9"/>
    </row>
    <row r="206">
      <c r="A206" s="158">
        <v>1.0</v>
      </c>
      <c r="B206" s="159" t="s">
        <v>2346</v>
      </c>
      <c r="C206" s="44">
        <v>202.0</v>
      </c>
      <c r="D206" s="160">
        <v>7.0</v>
      </c>
      <c r="E206" s="161">
        <v>43741.0</v>
      </c>
      <c r="F206" s="162" t="str">
        <f>HYPERLINK("http://www.tribunnews.com/pilpres-2019/2019/03/10/soal-produk-kondom-jokowi-maruf-ini-respons-kubu-prabowo ","sumber")</f>
        <v>sumber</v>
      </c>
      <c r="G206" s="162" t="str">
        <f t="shared" si="1"/>
        <v>lokasi</v>
      </c>
      <c r="H206" s="159">
        <v>404.0</v>
      </c>
      <c r="I206" s="44">
        <v>1.0</v>
      </c>
      <c r="J206" s="160">
        <v>3.0</v>
      </c>
      <c r="K206" s="164" t="s">
        <v>2347</v>
      </c>
      <c r="L206" s="44">
        <v>0.0</v>
      </c>
      <c r="M206" s="44">
        <v>1.0</v>
      </c>
      <c r="N206" s="166">
        <v>0.0</v>
      </c>
      <c r="O206" s="44">
        <v>0.0</v>
      </c>
      <c r="P206" s="44">
        <v>0.0</v>
      </c>
      <c r="Q206" s="44" t="s">
        <v>61</v>
      </c>
      <c r="R206" s="44" t="s">
        <v>685</v>
      </c>
      <c r="S206" s="175"/>
      <c r="T206" s="44">
        <v>0.0</v>
      </c>
      <c r="U206" s="44">
        <v>0.0</v>
      </c>
      <c r="V206" s="44">
        <v>1.0</v>
      </c>
      <c r="W206" s="45"/>
      <c r="X206" s="45"/>
      <c r="Y206" s="45"/>
      <c r="Z206" s="9"/>
      <c r="AA206" s="52"/>
      <c r="AB206" s="9"/>
      <c r="AC206" s="9"/>
      <c r="AD206" s="9"/>
      <c r="AE206" s="9"/>
      <c r="AF206" s="9"/>
    </row>
    <row r="207">
      <c r="A207" s="152">
        <v>2.0</v>
      </c>
      <c r="B207" s="153" t="s">
        <v>2348</v>
      </c>
      <c r="C207" s="47">
        <v>203.0</v>
      </c>
      <c r="D207" s="154">
        <v>6.0</v>
      </c>
      <c r="E207" s="155">
        <v>43772.0</v>
      </c>
      <c r="F207" s="156" t="str">
        <f>HYPERLINK("https://sains.kompas.com/read/2019/03/11/100200223/dalang-punahnya-hewan-raksasa-adalah-moyang-kita-2-hal-ini-buktinya ","sumber")</f>
        <v>sumber</v>
      </c>
      <c r="G207" s="156" t="str">
        <f t="shared" si="1"/>
        <v>lokasi</v>
      </c>
      <c r="H207" s="153">
        <v>378.0</v>
      </c>
      <c r="I207" s="47"/>
      <c r="J207" s="154"/>
      <c r="K207" s="157"/>
      <c r="L207" s="47"/>
      <c r="M207" s="47"/>
      <c r="N207" s="47"/>
      <c r="O207" s="47"/>
      <c r="P207" s="47"/>
      <c r="Q207" s="47"/>
      <c r="R207" s="47"/>
      <c r="S207" s="165"/>
      <c r="T207" s="47"/>
      <c r="U207" s="47"/>
      <c r="V207" s="47"/>
      <c r="W207" s="48"/>
      <c r="X207" s="48"/>
      <c r="Y207" s="47"/>
      <c r="Z207" s="43"/>
      <c r="AA207" s="51"/>
      <c r="AB207" s="51"/>
      <c r="AC207" s="51"/>
      <c r="AD207" s="51"/>
      <c r="AE207" s="51"/>
      <c r="AF207" s="51"/>
    </row>
    <row r="208">
      <c r="A208" s="158">
        <v>1.0</v>
      </c>
      <c r="B208" s="159" t="s">
        <v>2349</v>
      </c>
      <c r="C208" s="44">
        <v>204.0</v>
      </c>
      <c r="D208" s="160">
        <v>2.0</v>
      </c>
      <c r="E208" s="160" t="s">
        <v>153</v>
      </c>
      <c r="F208" s="162" t="str">
        <f>HYPERLINK("https://www.cnnindonesia.com/hiburan/20190313134147-234-376868/8-skandal-besar-yang-mengguncang-k-pop-sebelum-kasus-seungri ","sumber")</f>
        <v>sumber</v>
      </c>
      <c r="G208" s="162" t="str">
        <f t="shared" si="1"/>
        <v>lokasi</v>
      </c>
      <c r="H208" s="159">
        <v>814.0</v>
      </c>
      <c r="I208" s="44">
        <v>1.0</v>
      </c>
      <c r="J208" s="160">
        <v>3.0</v>
      </c>
      <c r="K208" s="164"/>
      <c r="L208" s="44">
        <v>-1.0</v>
      </c>
      <c r="M208" s="44">
        <v>-1.0</v>
      </c>
      <c r="N208" s="166">
        <v>0.0</v>
      </c>
      <c r="O208" s="44">
        <v>0.0</v>
      </c>
      <c r="P208" s="44">
        <v>0.0</v>
      </c>
      <c r="Q208" s="44"/>
      <c r="R208" s="44"/>
      <c r="S208" s="175"/>
      <c r="T208" s="44">
        <v>0.0</v>
      </c>
      <c r="U208" s="44">
        <v>0.0</v>
      </c>
      <c r="V208" s="44">
        <v>0.0</v>
      </c>
      <c r="W208" s="45"/>
      <c r="X208" s="45"/>
      <c r="Y208" s="45"/>
      <c r="Z208" s="9"/>
      <c r="AA208" s="52"/>
      <c r="AB208" s="9"/>
      <c r="AC208" s="9"/>
      <c r="AD208" s="9"/>
      <c r="AE208" s="9"/>
      <c r="AF208" s="9"/>
    </row>
    <row r="209">
      <c r="A209" s="158">
        <v>1.0</v>
      </c>
      <c r="B209" s="159" t="s">
        <v>2350</v>
      </c>
      <c r="C209" s="44">
        <v>205.0</v>
      </c>
      <c r="D209" s="160">
        <v>1.0</v>
      </c>
      <c r="E209" s="160" t="s">
        <v>142</v>
      </c>
      <c r="F209" s="162" t="str">
        <f>HYPERLINK("https://news.detik.com/berita/d-4467586/rommy-ajak-kiai-sisipkan-materi-pemberantasan-hoax-di-majelis-taklim ","sumber")</f>
        <v>sumber</v>
      </c>
      <c r="G209" s="162" t="str">
        <f t="shared" si="1"/>
        <v>lokasi</v>
      </c>
      <c r="H209" s="159">
        <v>304.0</v>
      </c>
      <c r="I209" s="44">
        <v>4.0</v>
      </c>
      <c r="J209" s="160">
        <v>3.0</v>
      </c>
      <c r="K209" s="164" t="s">
        <v>2340</v>
      </c>
      <c r="L209" s="44">
        <v>0.0</v>
      </c>
      <c r="M209" s="44">
        <v>0.0</v>
      </c>
      <c r="N209" s="166">
        <v>0.0</v>
      </c>
      <c r="O209" s="44">
        <v>0.0</v>
      </c>
      <c r="P209" s="44">
        <v>0.0</v>
      </c>
      <c r="Q209" s="44">
        <v>0.0</v>
      </c>
      <c r="R209" s="44">
        <v>-1.0</v>
      </c>
      <c r="S209" s="175"/>
      <c r="T209" s="44">
        <v>0.0</v>
      </c>
      <c r="U209" s="44">
        <v>0.0</v>
      </c>
      <c r="V209" s="44">
        <v>0.0</v>
      </c>
      <c r="W209" s="45"/>
      <c r="X209" s="45"/>
      <c r="Y209" s="45"/>
      <c r="Z209" s="9"/>
      <c r="AA209" s="52"/>
      <c r="AB209" s="9"/>
      <c r="AC209" s="9"/>
      <c r="AD209" s="9"/>
      <c r="AE209" s="9"/>
      <c r="AF209" s="9"/>
    </row>
    <row r="210">
      <c r="A210" s="158">
        <v>1.0</v>
      </c>
      <c r="B210" s="159" t="s">
        <v>1458</v>
      </c>
      <c r="C210" s="44">
        <v>206.0</v>
      </c>
      <c r="D210" s="160">
        <v>9.0</v>
      </c>
      <c r="E210" s="160" t="s">
        <v>147</v>
      </c>
      <c r="F210" s="162" t="str">
        <f>HYPERLINK("https://nasional.republika.co.id/berita/nasional/umum/pog5rd423/prihatin-kondisi-bangsa-gerakan-nusantara-bertauhid-hadir ","sumber")</f>
        <v>sumber</v>
      </c>
      <c r="G210" s="162" t="str">
        <f t="shared" si="1"/>
        <v>lokasi</v>
      </c>
      <c r="H210" s="159">
        <v>434.0</v>
      </c>
      <c r="I210" s="44">
        <v>3.0</v>
      </c>
      <c r="J210" s="160">
        <v>3.0</v>
      </c>
      <c r="K210" s="164" t="s">
        <v>2351</v>
      </c>
      <c r="L210" s="44">
        <v>0.0</v>
      </c>
      <c r="M210" s="44">
        <v>0.0</v>
      </c>
      <c r="N210" s="166">
        <v>0.0</v>
      </c>
      <c r="O210" s="44">
        <v>0.0</v>
      </c>
      <c r="P210" s="44">
        <v>0.0</v>
      </c>
      <c r="Q210" s="44" t="s">
        <v>61</v>
      </c>
      <c r="R210" s="44" t="s">
        <v>85</v>
      </c>
      <c r="S210" s="175"/>
      <c r="T210" s="44">
        <v>0.0</v>
      </c>
      <c r="U210" s="44">
        <v>0.0</v>
      </c>
      <c r="V210" s="44">
        <v>1.0</v>
      </c>
      <c r="W210" s="45"/>
      <c r="X210" s="45"/>
      <c r="Y210" s="45"/>
      <c r="Z210" s="9"/>
      <c r="AA210" s="52"/>
      <c r="AB210" s="9"/>
      <c r="AC210" s="9"/>
      <c r="AD210" s="9"/>
      <c r="AE210" s="9"/>
      <c r="AF210" s="9"/>
    </row>
    <row r="211">
      <c r="A211" s="158">
        <v>1.0</v>
      </c>
      <c r="B211" s="159" t="s">
        <v>2352</v>
      </c>
      <c r="C211" s="44">
        <v>207.0</v>
      </c>
      <c r="D211" s="160">
        <v>8.0</v>
      </c>
      <c r="E211" s="160" t="s">
        <v>147</v>
      </c>
      <c r="F211" s="162" t="str">
        <f>HYPERLINK("https://www.suara.com/news/2019/03/16/091500/face-of-jakarta-malam-mingguan-plus-plus-di-bioskop-senen ","sumber")</f>
        <v>sumber</v>
      </c>
      <c r="G211" s="162" t="str">
        <f t="shared" si="1"/>
        <v>lokasi</v>
      </c>
      <c r="H211" s="159">
        <v>748.0</v>
      </c>
      <c r="I211" s="44">
        <v>2.0</v>
      </c>
      <c r="J211" s="160">
        <v>3.0</v>
      </c>
      <c r="K211" s="164" t="s">
        <v>2353</v>
      </c>
      <c r="L211" s="44">
        <v>0.0</v>
      </c>
      <c r="M211" s="44">
        <v>0.0</v>
      </c>
      <c r="N211" s="166">
        <v>0.0</v>
      </c>
      <c r="O211" s="44">
        <v>0.0</v>
      </c>
      <c r="P211" s="44">
        <v>0.0</v>
      </c>
      <c r="Q211" s="44" t="s">
        <v>53</v>
      </c>
      <c r="R211" s="44" t="s">
        <v>53</v>
      </c>
      <c r="S211" s="175"/>
      <c r="T211" s="44">
        <v>0.0</v>
      </c>
      <c r="U211" s="44">
        <v>0.0</v>
      </c>
      <c r="V211" s="44">
        <v>0.0</v>
      </c>
      <c r="W211" s="45"/>
      <c r="X211" s="45"/>
      <c r="Y211" s="45"/>
      <c r="Z211" s="9"/>
      <c r="AA211" s="52"/>
      <c r="AB211" s="9"/>
      <c r="AC211" s="9"/>
      <c r="AD211" s="9"/>
      <c r="AE211" s="9"/>
      <c r="AF211" s="9"/>
    </row>
    <row r="212">
      <c r="A212" s="189">
        <v>1.0</v>
      </c>
      <c r="B212" s="190" t="s">
        <v>2354</v>
      </c>
      <c r="C212" s="55">
        <v>208.0</v>
      </c>
      <c r="D212" s="169">
        <v>3.0</v>
      </c>
      <c r="E212" s="169" t="s">
        <v>536</v>
      </c>
      <c r="F212" s="171" t="str">
        <f>HYPERLINK("https://lifestyle.okezone.com/read/2019/03/29/194/2036680/mengenal-jazell-barbie-transgender-berkulit-hitam-pertama-juara-miss-internasional-2019 ","sumber")</f>
        <v>sumber</v>
      </c>
      <c r="G212" s="171" t="str">
        <f t="shared" si="1"/>
        <v>lokasi</v>
      </c>
      <c r="H212" s="168">
        <v>379.0</v>
      </c>
      <c r="I212" s="55">
        <v>3.0</v>
      </c>
      <c r="J212" s="169">
        <v>3.0</v>
      </c>
      <c r="K212" s="172" t="s">
        <v>2355</v>
      </c>
      <c r="L212" s="55">
        <v>0.0</v>
      </c>
      <c r="M212" s="55">
        <v>0.0</v>
      </c>
      <c r="N212" s="173">
        <v>0.0</v>
      </c>
      <c r="O212" s="55">
        <v>0.0</v>
      </c>
      <c r="P212" s="55">
        <v>0.0</v>
      </c>
      <c r="Q212" s="55">
        <v>2.0</v>
      </c>
      <c r="R212" s="55">
        <v>1.0</v>
      </c>
      <c r="S212" s="174"/>
      <c r="T212" s="55">
        <v>0.0</v>
      </c>
      <c r="U212" s="55">
        <v>0.0</v>
      </c>
      <c r="V212" s="55">
        <v>1.0</v>
      </c>
      <c r="W212" s="46"/>
      <c r="X212" s="46"/>
      <c r="Y212" s="55"/>
      <c r="Z212" s="30"/>
      <c r="AA212" s="30"/>
      <c r="AB212" s="31"/>
      <c r="AC212" s="31"/>
      <c r="AD212" s="31"/>
      <c r="AE212" s="31"/>
      <c r="AF212" s="31"/>
    </row>
    <row r="213">
      <c r="A213" s="158">
        <v>1.0</v>
      </c>
      <c r="B213" s="159" t="s">
        <v>2356</v>
      </c>
      <c r="C213" s="44">
        <v>209.0</v>
      </c>
      <c r="D213" s="160">
        <v>7.0</v>
      </c>
      <c r="E213" s="160" t="s">
        <v>525</v>
      </c>
      <c r="F213" s="162" t="str">
        <f>HYPERLINK("http://www.tribunnews.com/internasional/2019/03/22/ambisi-politisi-transgender-thailand-pauline-ngarmpring ","sumber")</f>
        <v>sumber</v>
      </c>
      <c r="G213" s="162" t="str">
        <f t="shared" si="1"/>
        <v>lokasi</v>
      </c>
      <c r="H213" s="159">
        <v>379.0</v>
      </c>
      <c r="I213" s="44">
        <v>3.0</v>
      </c>
      <c r="J213" s="160">
        <v>3.0</v>
      </c>
      <c r="K213" s="164" t="s">
        <v>2357</v>
      </c>
      <c r="L213" s="44">
        <v>0.0</v>
      </c>
      <c r="M213" s="44">
        <v>0.0</v>
      </c>
      <c r="N213" s="166">
        <v>0.0</v>
      </c>
      <c r="O213" s="44">
        <v>0.0</v>
      </c>
      <c r="P213" s="44">
        <v>0.0</v>
      </c>
      <c r="Q213" s="44">
        <v>2.0</v>
      </c>
      <c r="R213" s="44">
        <v>1.0</v>
      </c>
      <c r="S213" s="175"/>
      <c r="T213" s="44">
        <v>0.0</v>
      </c>
      <c r="U213" s="44">
        <v>0.0</v>
      </c>
      <c r="V213" s="44">
        <v>1.0</v>
      </c>
      <c r="W213" s="45"/>
      <c r="X213" s="45"/>
      <c r="Y213" s="45"/>
      <c r="Z213" s="9"/>
      <c r="AA213" s="52"/>
      <c r="AB213" s="9"/>
      <c r="AC213" s="9"/>
      <c r="AD213" s="9"/>
      <c r="AE213" s="9"/>
      <c r="AF213" s="9"/>
    </row>
    <row r="214">
      <c r="A214" s="158">
        <v>1.0</v>
      </c>
      <c r="B214" s="159" t="s">
        <v>2358</v>
      </c>
      <c r="C214" s="44">
        <v>210.0</v>
      </c>
      <c r="D214" s="160">
        <v>10.0</v>
      </c>
      <c r="E214" s="160" t="s">
        <v>506</v>
      </c>
      <c r="F214" s="162" t="str">
        <f>HYPERLINK("https://nasional.tempo.co/read/1189090/buntut-cerpen-berbau-lgbt-rektorat-bubarkan-redaksi-suara-usu ","sumber")</f>
        <v>sumber</v>
      </c>
      <c r="G214" s="162" t="str">
        <f t="shared" si="1"/>
        <v>lokasi</v>
      </c>
      <c r="H214" s="159">
        <v>98.0</v>
      </c>
      <c r="I214" s="44">
        <v>1.0</v>
      </c>
      <c r="J214" s="160">
        <v>3.0</v>
      </c>
      <c r="K214" s="164" t="s">
        <v>2359</v>
      </c>
      <c r="L214" s="44">
        <v>0.0</v>
      </c>
      <c r="M214" s="44">
        <v>-1.0</v>
      </c>
      <c r="N214" s="166">
        <v>0.0</v>
      </c>
      <c r="O214" s="44">
        <v>0.0</v>
      </c>
      <c r="P214" s="44">
        <v>0.0</v>
      </c>
      <c r="Q214" s="44">
        <v>0.0</v>
      </c>
      <c r="R214" s="44">
        <v>-1.0</v>
      </c>
      <c r="S214" s="175"/>
      <c r="T214" s="44">
        <v>0.0</v>
      </c>
      <c r="U214" s="44">
        <v>0.0</v>
      </c>
      <c r="V214" s="44">
        <v>0.0</v>
      </c>
      <c r="W214" s="45"/>
      <c r="X214" s="45"/>
      <c r="Y214" s="45"/>
      <c r="Z214" s="9"/>
      <c r="AA214" s="52"/>
      <c r="AB214" s="9"/>
      <c r="AC214" s="9"/>
      <c r="AD214" s="9"/>
      <c r="AE214" s="9"/>
      <c r="AF214" s="9"/>
    </row>
    <row r="215">
      <c r="A215" s="158">
        <v>1.0</v>
      </c>
      <c r="B215" s="159" t="s">
        <v>2360</v>
      </c>
      <c r="C215" s="44">
        <v>211.0</v>
      </c>
      <c r="D215" s="160">
        <v>1.0</v>
      </c>
      <c r="E215" s="160" t="s">
        <v>529</v>
      </c>
      <c r="F215" s="162" t="str">
        <f>HYPERLINK("https://news.detik.com/berita/d-4485269/wiranto-soal-hoax-jokowi-larang-azan-memangnya-dewa-larang-larang ","sumber")</f>
        <v>sumber</v>
      </c>
      <c r="G215" s="162" t="str">
        <f t="shared" si="1"/>
        <v>lokasi</v>
      </c>
      <c r="H215" s="159">
        <v>241.0</v>
      </c>
      <c r="I215" s="44">
        <v>4.0</v>
      </c>
      <c r="J215" s="160">
        <v>3.0</v>
      </c>
      <c r="K215" s="164" t="s">
        <v>2361</v>
      </c>
      <c r="L215" s="44">
        <v>0.0</v>
      </c>
      <c r="M215" s="44">
        <v>0.0</v>
      </c>
      <c r="N215" s="166">
        <v>0.0</v>
      </c>
      <c r="O215" s="44">
        <v>0.0</v>
      </c>
      <c r="P215" s="44">
        <v>0.0</v>
      </c>
      <c r="Q215" s="44">
        <v>0.0</v>
      </c>
      <c r="R215" s="44">
        <v>-1.0</v>
      </c>
      <c r="S215" s="175"/>
      <c r="T215" s="44">
        <v>0.0</v>
      </c>
      <c r="U215" s="44">
        <v>0.0</v>
      </c>
      <c r="V215" s="44">
        <v>1.0</v>
      </c>
      <c r="W215" s="45"/>
      <c r="X215" s="45"/>
      <c r="Y215" s="45"/>
      <c r="Z215" s="9"/>
      <c r="AA215" s="52"/>
      <c r="AB215" s="9"/>
      <c r="AC215" s="9"/>
      <c r="AD215" s="9"/>
      <c r="AE215" s="9"/>
      <c r="AF215" s="9"/>
    </row>
    <row r="216">
      <c r="A216" s="158">
        <v>1.0</v>
      </c>
      <c r="B216" s="159" t="s">
        <v>2362</v>
      </c>
      <c r="C216" s="44">
        <v>212.0</v>
      </c>
      <c r="D216" s="160">
        <v>6.0</v>
      </c>
      <c r="E216" s="160" t="s">
        <v>529</v>
      </c>
      <c r="F216" s="162" t="str">
        <f>HYPERLINK("https://internasional.kompas.com/read/2019/03/27/18292741/brunei-dikabarkan-akan-hukum-rajam-sampai-mati-pelaku-lgbt ","sumber")</f>
        <v>sumber</v>
      </c>
      <c r="G216" s="162" t="str">
        <f t="shared" si="1"/>
        <v>lokasi</v>
      </c>
      <c r="H216" s="159">
        <v>281.0</v>
      </c>
      <c r="I216" s="44">
        <v>1.0</v>
      </c>
      <c r="J216" s="160">
        <v>3.0</v>
      </c>
      <c r="K216" s="164" t="s">
        <v>2363</v>
      </c>
      <c r="L216" s="44">
        <v>0.0</v>
      </c>
      <c r="M216" s="44">
        <v>-1.0</v>
      </c>
      <c r="N216" s="166">
        <v>0.0</v>
      </c>
      <c r="O216" s="44">
        <v>0.0</v>
      </c>
      <c r="P216" s="44">
        <v>0.0</v>
      </c>
      <c r="Q216" s="44">
        <v>0.0</v>
      </c>
      <c r="R216" s="44">
        <v>1.0</v>
      </c>
      <c r="S216" s="175"/>
      <c r="T216" s="44">
        <v>0.0</v>
      </c>
      <c r="U216" s="44">
        <v>0.0</v>
      </c>
      <c r="V216" s="44">
        <v>1.0</v>
      </c>
      <c r="W216" s="45"/>
      <c r="X216" s="45"/>
      <c r="Y216" s="45"/>
      <c r="Z216" s="9"/>
      <c r="AA216" s="52"/>
      <c r="AB216" s="9"/>
      <c r="AC216" s="9"/>
      <c r="AD216" s="9"/>
      <c r="AE216" s="9"/>
      <c r="AF216" s="9"/>
    </row>
    <row r="217">
      <c r="A217" s="158">
        <v>1.0</v>
      </c>
      <c r="B217" s="159" t="s">
        <v>2364</v>
      </c>
      <c r="C217" s="44">
        <v>213.0</v>
      </c>
      <c r="D217" s="160">
        <v>2.0</v>
      </c>
      <c r="E217" s="160" t="s">
        <v>536</v>
      </c>
      <c r="F217" s="162" t="str">
        <f>HYPERLINK("https://www.cnnindonesia.com/gaya-hidup/20190329183439-269-381868/gay-dihukum-mati-george-clooney-serukan-boikot-hotel-brunei ","sumber")</f>
        <v>sumber</v>
      </c>
      <c r="G217" s="162" t="str">
        <f t="shared" si="1"/>
        <v>lokasi</v>
      </c>
      <c r="H217" s="159">
        <v>422.0</v>
      </c>
      <c r="I217" s="44">
        <v>1.0</v>
      </c>
      <c r="J217" s="160">
        <v>3.0</v>
      </c>
      <c r="K217" s="164" t="s">
        <v>2365</v>
      </c>
      <c r="L217" s="44">
        <v>0.0</v>
      </c>
      <c r="M217" s="44">
        <v>-1.0</v>
      </c>
      <c r="N217" s="166">
        <v>0.0</v>
      </c>
      <c r="O217" s="44">
        <v>0.0</v>
      </c>
      <c r="P217" s="44">
        <v>0.0</v>
      </c>
      <c r="Q217" s="44" t="s">
        <v>61</v>
      </c>
      <c r="R217" s="44" t="s">
        <v>192</v>
      </c>
      <c r="S217" s="175"/>
      <c r="T217" s="44">
        <v>0.0</v>
      </c>
      <c r="U217" s="44">
        <v>0.0</v>
      </c>
      <c r="V217" s="44">
        <v>1.0</v>
      </c>
      <c r="W217" s="45"/>
      <c r="X217" s="45"/>
      <c r="Y217" s="45"/>
      <c r="Z217" s="9"/>
      <c r="AA217" s="52"/>
      <c r="AB217" s="9"/>
      <c r="AC217" s="9"/>
      <c r="AD217" s="9"/>
      <c r="AE217" s="9"/>
      <c r="AF217" s="9"/>
    </row>
    <row r="218">
      <c r="A218" s="158">
        <v>1.0</v>
      </c>
      <c r="B218" s="159" t="s">
        <v>2366</v>
      </c>
      <c r="C218" s="44">
        <v>214.0</v>
      </c>
      <c r="D218" s="160">
        <v>7.0</v>
      </c>
      <c r="E218" s="161">
        <v>43469.0</v>
      </c>
      <c r="F218" s="162" t="str">
        <f>HYPERLINK("http://www.tribunnews.com/seleb/2019/04/01/lucinta-luna-tak-pernah-mengakui-barbie-kumalasari-justru-bongkar-identitasnya-sekarang-cewek ","sumber")</f>
        <v>sumber</v>
      </c>
      <c r="G218" s="162" t="str">
        <f t="shared" si="1"/>
        <v>lokasi</v>
      </c>
      <c r="H218" s="159">
        <v>295.0</v>
      </c>
      <c r="I218" s="44">
        <v>2.0</v>
      </c>
      <c r="J218" s="160">
        <v>3.0</v>
      </c>
      <c r="K218" s="164" t="s">
        <v>2367</v>
      </c>
      <c r="L218" s="44">
        <v>0.0</v>
      </c>
      <c r="M218" s="44">
        <v>0.0</v>
      </c>
      <c r="N218" s="166">
        <v>0.0</v>
      </c>
      <c r="O218" s="44">
        <v>0.0</v>
      </c>
      <c r="P218" s="44">
        <v>0.0</v>
      </c>
      <c r="Q218" s="44">
        <v>0.0</v>
      </c>
      <c r="R218" s="44">
        <v>0.0</v>
      </c>
      <c r="S218" s="175"/>
      <c r="T218" s="44">
        <v>0.0</v>
      </c>
      <c r="U218" s="44">
        <v>0.0</v>
      </c>
      <c r="V218" s="44">
        <v>0.0</v>
      </c>
      <c r="W218" s="45"/>
      <c r="X218" s="45"/>
      <c r="Y218" s="45"/>
      <c r="Z218" s="9"/>
      <c r="AA218" s="52"/>
      <c r="AB218" s="9"/>
      <c r="AC218" s="9"/>
      <c r="AD218" s="9"/>
      <c r="AE218" s="9"/>
      <c r="AF218" s="9"/>
    </row>
    <row r="219">
      <c r="A219" s="158">
        <v>1.0</v>
      </c>
      <c r="B219" s="159" t="s">
        <v>2368</v>
      </c>
      <c r="C219" s="44">
        <v>215.0</v>
      </c>
      <c r="D219" s="160">
        <v>4.0</v>
      </c>
      <c r="E219" s="161">
        <v>43500.0</v>
      </c>
      <c r="F219" s="162" t="str">
        <f>HYPERLINK("https://www.liputan6.com/global/read/3931715/pbb-kecam-sanksi-rajam-homoseksual-oleh-brunei-sebagai-tindakan-tidak-manusiawi ","sumber")</f>
        <v>sumber</v>
      </c>
      <c r="G219" s="162" t="str">
        <f t="shared" si="1"/>
        <v>lokasi</v>
      </c>
      <c r="H219" s="159">
        <v>407.0</v>
      </c>
      <c r="I219" s="44">
        <v>1.0</v>
      </c>
      <c r="J219" s="160">
        <v>3.0</v>
      </c>
      <c r="K219" s="164" t="s">
        <v>2369</v>
      </c>
      <c r="L219" s="44">
        <v>0.0</v>
      </c>
      <c r="M219" s="44">
        <v>-1.0</v>
      </c>
      <c r="N219" s="166">
        <v>0.0</v>
      </c>
      <c r="O219" s="44">
        <v>0.0</v>
      </c>
      <c r="P219" s="44">
        <v>0.0</v>
      </c>
      <c r="Q219" s="44">
        <v>0.0</v>
      </c>
      <c r="R219" s="44">
        <v>1.0</v>
      </c>
      <c r="S219" s="175"/>
      <c r="T219" s="44">
        <v>0.0</v>
      </c>
      <c r="U219" s="44">
        <v>0.0</v>
      </c>
      <c r="V219" s="44">
        <v>1.0</v>
      </c>
      <c r="W219" s="45"/>
      <c r="X219" s="45"/>
      <c r="Y219" s="45"/>
      <c r="Z219" s="9"/>
      <c r="AA219" s="52"/>
      <c r="AB219" s="9"/>
      <c r="AC219" s="9"/>
      <c r="AD219" s="9"/>
      <c r="AE219" s="9"/>
      <c r="AF219" s="9"/>
    </row>
    <row r="220">
      <c r="A220" s="158">
        <v>1.0</v>
      </c>
      <c r="B220" s="159" t="s">
        <v>2370</v>
      </c>
      <c r="C220" s="44">
        <v>216.0</v>
      </c>
      <c r="D220" s="160">
        <v>2.0</v>
      </c>
      <c r="E220" s="161">
        <v>43559.0</v>
      </c>
      <c r="F220" s="162" t="str">
        <f>HYPERLINK("https://www.cnnindonesia.com/internasional/20190404095039-134-383295/uni-eropa-turut-menentang-hukuman-mati-lgbt-di-brunei ","sumber")</f>
        <v>sumber</v>
      </c>
      <c r="G220" s="162" t="str">
        <f t="shared" si="1"/>
        <v>lokasi</v>
      </c>
      <c r="H220" s="159">
        <v>316.0</v>
      </c>
      <c r="I220" s="44">
        <v>1.0</v>
      </c>
      <c r="J220" s="160">
        <v>3.0</v>
      </c>
      <c r="K220" s="164" t="s">
        <v>2371</v>
      </c>
      <c r="L220" s="44">
        <v>0.0</v>
      </c>
      <c r="M220" s="44">
        <v>1.0</v>
      </c>
      <c r="N220" s="166">
        <v>0.0</v>
      </c>
      <c r="O220" s="44">
        <v>0.0</v>
      </c>
      <c r="P220" s="44">
        <v>0.0</v>
      </c>
      <c r="Q220" s="44" t="s">
        <v>53</v>
      </c>
      <c r="R220" s="44" t="s">
        <v>869</v>
      </c>
      <c r="S220" s="175"/>
      <c r="T220" s="44">
        <v>0.0</v>
      </c>
      <c r="U220" s="44">
        <v>0.0</v>
      </c>
      <c r="V220" s="44">
        <v>1.0</v>
      </c>
      <c r="W220" s="45"/>
      <c r="X220" s="45"/>
      <c r="Y220" s="45"/>
      <c r="Z220" s="9"/>
      <c r="AA220" s="52"/>
      <c r="AB220" s="9"/>
      <c r="AC220" s="9"/>
      <c r="AD220" s="9"/>
      <c r="AE220" s="9"/>
      <c r="AF220" s="9"/>
    </row>
    <row r="221">
      <c r="A221" s="158">
        <v>1.0</v>
      </c>
      <c r="B221" s="159" t="s">
        <v>2372</v>
      </c>
      <c r="C221" s="44">
        <v>217.0</v>
      </c>
      <c r="D221" s="160">
        <v>6.0</v>
      </c>
      <c r="E221" s="161">
        <v>43559.0</v>
      </c>
      <c r="F221" s="162" t="str">
        <f>HYPERLINK("https://nasional.kompas.com/read/2019/04/04/19213161/melihat-massa-basah-kuyup-ikuti-kampanye-jokowi-optimis-menang-di-tegal ","sumber")</f>
        <v>sumber</v>
      </c>
      <c r="G221" s="162" t="str">
        <f t="shared" si="1"/>
        <v>lokasi</v>
      </c>
      <c r="H221" s="159">
        <v>231.0</v>
      </c>
      <c r="I221" s="44">
        <v>1.0</v>
      </c>
      <c r="J221" s="160">
        <v>3.0</v>
      </c>
      <c r="K221" s="164" t="s">
        <v>2373</v>
      </c>
      <c r="L221" s="44">
        <v>0.0</v>
      </c>
      <c r="M221" s="44">
        <v>-1.0</v>
      </c>
      <c r="N221" s="166">
        <v>0.0</v>
      </c>
      <c r="O221" s="44">
        <v>0.0</v>
      </c>
      <c r="P221" s="44">
        <v>0.0</v>
      </c>
      <c r="Q221" s="44">
        <v>0.0</v>
      </c>
      <c r="R221" s="44">
        <v>-1.0</v>
      </c>
      <c r="S221" s="175"/>
      <c r="T221" s="44">
        <v>0.0</v>
      </c>
      <c r="U221" s="44">
        <v>0.0</v>
      </c>
      <c r="V221" s="44">
        <v>1.0</v>
      </c>
      <c r="W221" s="45"/>
      <c r="X221" s="45"/>
      <c r="Y221" s="45"/>
      <c r="Z221" s="9"/>
      <c r="AA221" s="52"/>
      <c r="AB221" s="9"/>
      <c r="AC221" s="9"/>
      <c r="AD221" s="9"/>
      <c r="AE221" s="9"/>
      <c r="AF221" s="9"/>
    </row>
    <row r="222">
      <c r="A222" s="158">
        <v>1.0</v>
      </c>
      <c r="B222" s="159" t="s">
        <v>1481</v>
      </c>
      <c r="C222" s="44">
        <v>218.0</v>
      </c>
      <c r="D222" s="160">
        <v>4.0</v>
      </c>
      <c r="E222" s="161">
        <v>43589.0</v>
      </c>
      <c r="F222" s="162" t="str">
        <f>HYPERLINK("https://www.liputan6.com/global/read/3934837/dikecam-netizen-soal-uu-rajam-sejumlah-medsos-hotel-milik-brunei-non-aktif ","sumber")</f>
        <v>sumber</v>
      </c>
      <c r="G222" s="162" t="str">
        <f t="shared" si="1"/>
        <v>lokasi</v>
      </c>
      <c r="H222" s="159">
        <v>387.0</v>
      </c>
      <c r="I222" s="44">
        <v>1.0</v>
      </c>
      <c r="J222" s="160">
        <v>3.0</v>
      </c>
      <c r="K222" s="164" t="s">
        <v>2374</v>
      </c>
      <c r="L222" s="44">
        <v>0.0</v>
      </c>
      <c r="M222" s="44">
        <v>-1.0</v>
      </c>
      <c r="N222" s="166">
        <v>0.0</v>
      </c>
      <c r="O222" s="44">
        <v>0.0</v>
      </c>
      <c r="P222" s="44">
        <v>0.0</v>
      </c>
      <c r="Q222" s="44">
        <v>0.0</v>
      </c>
      <c r="R222" s="44">
        <v>-1.0</v>
      </c>
      <c r="S222" s="175"/>
      <c r="T222" s="44">
        <v>0.0</v>
      </c>
      <c r="U222" s="44">
        <v>0.0</v>
      </c>
      <c r="V222" s="44">
        <v>1.0</v>
      </c>
      <c r="W222" s="45"/>
      <c r="X222" s="45"/>
      <c r="Y222" s="45"/>
      <c r="Z222" s="9"/>
      <c r="AA222" s="52"/>
      <c r="AB222" s="9"/>
      <c r="AC222" s="9"/>
      <c r="AD222" s="9"/>
      <c r="AE222" s="9"/>
      <c r="AF222" s="9"/>
    </row>
    <row r="223">
      <c r="A223" s="158">
        <v>1.0</v>
      </c>
      <c r="B223" s="159" t="s">
        <v>2375</v>
      </c>
      <c r="C223" s="44">
        <v>219.0</v>
      </c>
      <c r="D223" s="160">
        <v>7.0</v>
      </c>
      <c r="E223" s="161">
        <v>43589.0</v>
      </c>
      <c r="F223" s="162" t="str">
        <f>HYPERLINK("http://www.tribunnews.com/regional/2019/04/05/polres-tasikmalaya-kota-gelar-rekonstruksi-pembunuhan-janda-oleh-teman-kencan-begini-kronologinya ","sumber")</f>
        <v>sumber</v>
      </c>
      <c r="G223" s="162" t="str">
        <f t="shared" si="1"/>
        <v>lokasi</v>
      </c>
      <c r="H223" s="159">
        <v>164.0</v>
      </c>
      <c r="I223" s="44">
        <v>1.0</v>
      </c>
      <c r="J223" s="160">
        <v>1.0</v>
      </c>
      <c r="K223" s="164" t="s">
        <v>2376</v>
      </c>
      <c r="L223" s="44">
        <v>0.0</v>
      </c>
      <c r="M223" s="44">
        <v>-1.0</v>
      </c>
      <c r="N223" s="166">
        <v>0.0</v>
      </c>
      <c r="O223" s="44">
        <v>0.0</v>
      </c>
      <c r="P223" s="44">
        <v>0.0</v>
      </c>
      <c r="Q223" s="44">
        <v>0.0</v>
      </c>
      <c r="R223" s="44">
        <v>0.0</v>
      </c>
      <c r="S223" s="175"/>
      <c r="T223" s="44">
        <v>0.0</v>
      </c>
      <c r="U223" s="44">
        <v>0.0</v>
      </c>
      <c r="V223" s="44">
        <v>0.0</v>
      </c>
      <c r="W223" s="45"/>
      <c r="X223" s="45"/>
      <c r="Y223" s="45"/>
      <c r="Z223" s="9"/>
      <c r="AA223" s="52"/>
      <c r="AB223" s="9"/>
      <c r="AC223" s="9"/>
      <c r="AD223" s="9"/>
      <c r="AE223" s="9"/>
      <c r="AF223" s="9"/>
    </row>
    <row r="224">
      <c r="A224" s="176">
        <v>1.0</v>
      </c>
      <c r="B224" s="196" t="s">
        <v>2377</v>
      </c>
      <c r="C224" s="178">
        <v>220.0</v>
      </c>
      <c r="D224" s="179">
        <v>10.0</v>
      </c>
      <c r="E224" s="179" t="s">
        <v>2053</v>
      </c>
      <c r="F224" s="180" t="str">
        <f>HYPERLINK("https://seleb.tempo.co/read/1199929/mui-kota-depok-turut-larang-penayangan-film-kucumbu-tubuh-indahku ","sumber")</f>
        <v>sumber</v>
      </c>
      <c r="G224" s="180" t="str">
        <f t="shared" si="1"/>
        <v>lokasi</v>
      </c>
      <c r="H224" s="177">
        <v>290.0</v>
      </c>
      <c r="I224" s="178">
        <v>1.0</v>
      </c>
      <c r="J224" s="179">
        <v>3.0</v>
      </c>
      <c r="K224" s="181" t="s">
        <v>2378</v>
      </c>
      <c r="L224" s="178">
        <v>0.0</v>
      </c>
      <c r="M224" s="178">
        <v>-1.0</v>
      </c>
      <c r="N224" s="182">
        <v>0.0</v>
      </c>
      <c r="O224" s="178">
        <v>0.0</v>
      </c>
      <c r="P224" s="178">
        <v>0.0</v>
      </c>
      <c r="Q224" s="178" t="s">
        <v>61</v>
      </c>
      <c r="R224" s="178" t="s">
        <v>685</v>
      </c>
      <c r="S224" s="181" t="s">
        <v>875</v>
      </c>
      <c r="T224" s="178">
        <v>1.0</v>
      </c>
      <c r="U224" s="178">
        <v>0.0</v>
      </c>
      <c r="V224" s="178">
        <v>0.0</v>
      </c>
      <c r="W224" s="184"/>
      <c r="X224" s="184"/>
      <c r="Y224" s="178"/>
      <c r="Z224" s="185"/>
      <c r="AA224" s="185"/>
      <c r="AB224" s="186"/>
      <c r="AC224" s="186"/>
      <c r="AD224" s="186"/>
      <c r="AE224" s="186"/>
      <c r="AF224" s="186"/>
    </row>
    <row r="225">
      <c r="A225" s="176">
        <v>1.0</v>
      </c>
      <c r="B225" s="196" t="s">
        <v>2379</v>
      </c>
      <c r="C225" s="178">
        <v>221.0</v>
      </c>
      <c r="D225" s="179">
        <v>9.0</v>
      </c>
      <c r="E225" s="179" t="s">
        <v>194</v>
      </c>
      <c r="F225" s="180" t="str">
        <f>HYPERLINK("https://internasional.republika.co.id/berita/internasional/abc-australia-network/pqetdu366/surati-parlemen-eropa-brunei-bela-hukuman-mati-untuk-ltemgtgayltemgt ","sumber")</f>
        <v>sumber</v>
      </c>
      <c r="G225" s="180" t="str">
        <f t="shared" si="1"/>
        <v>lokasi</v>
      </c>
      <c r="H225" s="177">
        <v>451.0</v>
      </c>
      <c r="I225" s="178">
        <v>1.0</v>
      </c>
      <c r="J225" s="179">
        <v>3.0</v>
      </c>
      <c r="K225" s="181" t="s">
        <v>2380</v>
      </c>
      <c r="L225" s="178">
        <v>0.0</v>
      </c>
      <c r="M225" s="178">
        <v>1.0</v>
      </c>
      <c r="N225" s="182">
        <v>0.0</v>
      </c>
      <c r="O225" s="178">
        <v>0.0</v>
      </c>
      <c r="P225" s="178">
        <v>0.0</v>
      </c>
      <c r="Q225" s="178" t="s">
        <v>53</v>
      </c>
      <c r="R225" s="178" t="s">
        <v>771</v>
      </c>
      <c r="S225" s="183"/>
      <c r="T225" s="178">
        <v>0.0</v>
      </c>
      <c r="U225" s="178">
        <v>0.0</v>
      </c>
      <c r="V225" s="178">
        <v>1.0</v>
      </c>
      <c r="W225" s="184"/>
      <c r="X225" s="184"/>
      <c r="Y225" s="178"/>
      <c r="Z225" s="185"/>
      <c r="AA225" s="185"/>
      <c r="AB225" s="186"/>
      <c r="AC225" s="186"/>
      <c r="AD225" s="186"/>
      <c r="AE225" s="186"/>
      <c r="AF225" s="186"/>
    </row>
    <row r="226">
      <c r="A226" s="152">
        <v>2.0</v>
      </c>
      <c r="B226" s="153" t="s">
        <v>2381</v>
      </c>
      <c r="C226" s="47">
        <v>222.0</v>
      </c>
      <c r="D226" s="154">
        <v>2.0</v>
      </c>
      <c r="E226" s="154" t="s">
        <v>2382</v>
      </c>
      <c r="F226" s="156" t="str">
        <f>HYPERLINK("https://www.cnnindonesia.com/olahraga/20190415122225-156-386457/sebut-rossi-idola-rins-bisa-jadi-musuh-the-doctor-di-motogp ","sumber")</f>
        <v>sumber</v>
      </c>
      <c r="G226" s="156" t="str">
        <f t="shared" si="1"/>
        <v>lokasi</v>
      </c>
      <c r="H226" s="153">
        <v>313.0</v>
      </c>
      <c r="I226" s="48"/>
      <c r="J226" s="154">
        <v>3.0</v>
      </c>
      <c r="K226" s="165"/>
      <c r="L226" s="48"/>
      <c r="M226" s="48"/>
      <c r="N226" s="48"/>
      <c r="O226" s="48"/>
      <c r="P226" s="48"/>
      <c r="Q226" s="48"/>
      <c r="R226" s="48"/>
      <c r="S226" s="165"/>
      <c r="T226" s="48"/>
      <c r="U226" s="48"/>
      <c r="V226" s="48"/>
      <c r="W226" s="48"/>
      <c r="X226" s="48"/>
      <c r="Y226" s="47"/>
      <c r="Z226" s="43"/>
      <c r="AA226" s="51"/>
      <c r="AB226" s="51"/>
      <c r="AC226" s="51"/>
      <c r="AD226" s="51"/>
      <c r="AE226" s="51"/>
      <c r="AF226" s="51"/>
    </row>
    <row r="227">
      <c r="A227" s="158">
        <v>1.0</v>
      </c>
      <c r="B227" s="159" t="s">
        <v>2383</v>
      </c>
      <c r="C227" s="44">
        <v>223.0</v>
      </c>
      <c r="D227" s="160">
        <v>7.0</v>
      </c>
      <c r="E227" s="160" t="s">
        <v>2053</v>
      </c>
      <c r="F227" s="162" t="str">
        <f>HYPERLINK("http://www.tribunnews.com/metropolitan/2019/04/28/polisi-gadungan-di-bekasi-peras-pasangan-sesama-jenis-yang-sedang-berkencan-korbannya-banyak ","sumber")</f>
        <v>sumber</v>
      </c>
      <c r="G227" s="162" t="str">
        <f t="shared" si="1"/>
        <v>lokasi</v>
      </c>
      <c r="H227" s="159">
        <v>213.0</v>
      </c>
      <c r="I227" s="44">
        <v>1.0</v>
      </c>
      <c r="J227" s="160">
        <v>3.0</v>
      </c>
      <c r="K227" s="164" t="s">
        <v>2384</v>
      </c>
      <c r="L227" s="44">
        <v>0.0</v>
      </c>
      <c r="M227" s="44">
        <v>-1.0</v>
      </c>
      <c r="N227" s="166">
        <v>0.0</v>
      </c>
      <c r="O227" s="44">
        <v>0.0</v>
      </c>
      <c r="P227" s="44">
        <v>0.0</v>
      </c>
      <c r="Q227" s="44" t="s">
        <v>53</v>
      </c>
      <c r="R227" s="44" t="s">
        <v>53</v>
      </c>
      <c r="S227" s="175"/>
      <c r="T227" s="44">
        <v>0.0</v>
      </c>
      <c r="U227" s="44">
        <v>0.0</v>
      </c>
      <c r="V227" s="44">
        <v>0.0</v>
      </c>
      <c r="W227" s="45"/>
      <c r="X227" s="45"/>
      <c r="Y227" s="45"/>
      <c r="Z227" s="9"/>
      <c r="AA227" s="52"/>
      <c r="AB227" s="9"/>
      <c r="AC227" s="9"/>
      <c r="AD227" s="9"/>
      <c r="AE227" s="9"/>
      <c r="AF227" s="9"/>
    </row>
    <row r="228">
      <c r="A228" s="158">
        <v>1.0</v>
      </c>
      <c r="B228" s="159" t="s">
        <v>2385</v>
      </c>
      <c r="C228" s="44">
        <v>224.0</v>
      </c>
      <c r="D228" s="160">
        <v>8.0</v>
      </c>
      <c r="E228" s="161">
        <v>43470.0</v>
      </c>
      <c r="F228" s="162" t="str">
        <f>HYPERLINK("https://www.suara.com/news/2019/05/01/134204/sebut-jokowi-luluskan-sensor-film-homo-tengku-zul-diskakmat-sutradara ","sumber")</f>
        <v>sumber</v>
      </c>
      <c r="G228" s="162" t="str">
        <f t="shared" si="1"/>
        <v>lokasi</v>
      </c>
      <c r="H228" s="159">
        <v>308.0</v>
      </c>
      <c r="I228" s="44">
        <v>1.0</v>
      </c>
      <c r="J228" s="160">
        <v>3.0</v>
      </c>
      <c r="K228" s="164" t="s">
        <v>2386</v>
      </c>
      <c r="L228" s="44">
        <v>0.0</v>
      </c>
      <c r="M228" s="44">
        <v>1.0</v>
      </c>
      <c r="N228" s="166">
        <v>0.0</v>
      </c>
      <c r="O228" s="44">
        <v>0.0</v>
      </c>
      <c r="P228" s="44">
        <v>0.0</v>
      </c>
      <c r="Q228" s="44" t="s">
        <v>61</v>
      </c>
      <c r="R228" s="44" t="s">
        <v>173</v>
      </c>
      <c r="S228" s="175"/>
      <c r="T228" s="44">
        <v>0.0</v>
      </c>
      <c r="U228" s="44">
        <v>0.0</v>
      </c>
      <c r="V228" s="44">
        <v>0.0</v>
      </c>
      <c r="W228" s="45"/>
      <c r="X228" s="45"/>
      <c r="Y228" s="45"/>
      <c r="Z228" s="9"/>
      <c r="AA228" s="52"/>
      <c r="AB228" s="9"/>
      <c r="AC228" s="9"/>
      <c r="AD228" s="9"/>
      <c r="AE228" s="9"/>
      <c r="AF228" s="9"/>
    </row>
    <row r="229">
      <c r="A229" s="158">
        <v>1.0</v>
      </c>
      <c r="B229" s="159" t="s">
        <v>2387</v>
      </c>
      <c r="C229" s="44">
        <v>225.0</v>
      </c>
      <c r="D229" s="160">
        <v>4.0</v>
      </c>
      <c r="E229" s="161">
        <v>43529.0</v>
      </c>
      <c r="F229" s="162" t="str">
        <f>HYPERLINK("https://www.liputan6.com/showbiz/read/3956601/kontroversi-film-kucumbu-tubuh-indahku-ini-kata-joko-anwar ","sumber")</f>
        <v>sumber</v>
      </c>
      <c r="G229" s="162" t="str">
        <f t="shared" si="1"/>
        <v>lokasi</v>
      </c>
      <c r="H229" s="159">
        <v>264.0</v>
      </c>
      <c r="I229" s="44">
        <v>1.0</v>
      </c>
      <c r="J229" s="160">
        <v>3.0</v>
      </c>
      <c r="K229" s="164" t="s">
        <v>2388</v>
      </c>
      <c r="L229" s="44">
        <v>0.0</v>
      </c>
      <c r="M229" s="44">
        <v>-1.0</v>
      </c>
      <c r="N229" s="166">
        <v>0.0</v>
      </c>
      <c r="O229" s="44">
        <v>0.0</v>
      </c>
      <c r="P229" s="44">
        <v>0.0</v>
      </c>
      <c r="Q229" s="44">
        <v>0.0</v>
      </c>
      <c r="R229" s="44">
        <v>1.0</v>
      </c>
      <c r="S229" s="175"/>
      <c r="T229" s="44">
        <v>0.0</v>
      </c>
      <c r="U229" s="44">
        <v>0.0</v>
      </c>
      <c r="V229" s="44">
        <v>1.0</v>
      </c>
      <c r="W229" s="45"/>
      <c r="X229" s="45"/>
      <c r="Y229" s="45"/>
      <c r="Z229" s="9"/>
      <c r="AA229" s="52"/>
      <c r="AB229" s="9"/>
      <c r="AC229" s="9"/>
      <c r="AD229" s="9"/>
      <c r="AE229" s="9"/>
      <c r="AF229" s="9"/>
    </row>
    <row r="230">
      <c r="A230" s="158">
        <v>1.0</v>
      </c>
      <c r="B230" s="159" t="s">
        <v>2389</v>
      </c>
      <c r="C230" s="44">
        <v>226.0</v>
      </c>
      <c r="D230" s="160">
        <v>6.0</v>
      </c>
      <c r="E230" s="161">
        <v>43621.0</v>
      </c>
      <c r="F230" s="162" t="str">
        <f>HYPERLINK("https://internasional.kompas.com/read/2019/05/06/06264811/dapat-tekanan-dunia-sultan-brunei-tak-hukum-mati-pelaku-seks-lgbt ","sumber")</f>
        <v>sumber</v>
      </c>
      <c r="G230" s="162" t="str">
        <f t="shared" si="1"/>
        <v>lokasi</v>
      </c>
      <c r="H230" s="159">
        <v>285.0</v>
      </c>
      <c r="I230" s="44">
        <v>1.0</v>
      </c>
      <c r="J230" s="160">
        <v>3.0</v>
      </c>
      <c r="K230" s="164" t="s">
        <v>2390</v>
      </c>
      <c r="L230" s="44">
        <v>0.0</v>
      </c>
      <c r="M230" s="44">
        <v>-1.0</v>
      </c>
      <c r="N230" s="166">
        <v>0.0</v>
      </c>
      <c r="O230" s="44">
        <v>0.0</v>
      </c>
      <c r="P230" s="44">
        <v>0.0</v>
      </c>
      <c r="Q230" s="44">
        <v>0.0</v>
      </c>
      <c r="R230" s="44">
        <v>-1.0</v>
      </c>
      <c r="S230" s="175"/>
      <c r="T230" s="44">
        <v>0.0</v>
      </c>
      <c r="U230" s="44">
        <v>0.0</v>
      </c>
      <c r="V230" s="44">
        <v>1.0</v>
      </c>
      <c r="W230" s="45"/>
      <c r="X230" s="45"/>
      <c r="Y230" s="45"/>
      <c r="Z230" s="9"/>
      <c r="AA230" s="52"/>
      <c r="AB230" s="9"/>
      <c r="AC230" s="9"/>
      <c r="AD230" s="9"/>
      <c r="AE230" s="9"/>
      <c r="AF230" s="9"/>
    </row>
    <row r="231">
      <c r="A231" s="176">
        <v>1.0</v>
      </c>
      <c r="B231" s="196" t="s">
        <v>2391</v>
      </c>
      <c r="C231" s="178">
        <v>227.0</v>
      </c>
      <c r="D231" s="179">
        <v>2.0</v>
      </c>
      <c r="E231" s="179" t="s">
        <v>237</v>
      </c>
      <c r="F231" s="180" t="str">
        <f>HYPERLINK("https://www.cnnindonesia.com/nasional/20190521022454-20-396688/polisi-dipecat-karena-penyuka-sesama-jenis-menggugat-ke-ptun ","sumber")</f>
        <v>sumber</v>
      </c>
      <c r="G231" s="180" t="str">
        <f t="shared" si="1"/>
        <v>lokasi</v>
      </c>
      <c r="H231" s="177">
        <v>421.0</v>
      </c>
      <c r="I231" s="178">
        <v>1.0</v>
      </c>
      <c r="J231" s="179"/>
      <c r="K231" s="181" t="s">
        <v>2392</v>
      </c>
      <c r="L231" s="178">
        <v>0.0</v>
      </c>
      <c r="M231" s="178">
        <v>1.0</v>
      </c>
      <c r="N231" s="182">
        <v>0.0</v>
      </c>
      <c r="O231" s="178">
        <v>0.0</v>
      </c>
      <c r="P231" s="178">
        <v>0.0</v>
      </c>
      <c r="Q231" s="178" t="s">
        <v>61</v>
      </c>
      <c r="R231" s="178" t="s">
        <v>192</v>
      </c>
      <c r="S231" s="181" t="s">
        <v>2393</v>
      </c>
      <c r="T231" s="178">
        <v>1.0</v>
      </c>
      <c r="U231" s="178">
        <v>0.0</v>
      </c>
      <c r="V231" s="178">
        <v>0.0</v>
      </c>
      <c r="W231" s="184"/>
      <c r="X231" s="184"/>
      <c r="Y231" s="178"/>
      <c r="Z231" s="185"/>
      <c r="AA231" s="185"/>
      <c r="AB231" s="186"/>
      <c r="AC231" s="186"/>
      <c r="AD231" s="186"/>
      <c r="AE231" s="186"/>
      <c r="AF231" s="186"/>
    </row>
    <row r="232">
      <c r="A232" s="158">
        <v>1.0</v>
      </c>
      <c r="B232" s="159" t="s">
        <v>2394</v>
      </c>
      <c r="C232" s="44">
        <v>228.0</v>
      </c>
      <c r="D232" s="160">
        <v>3.0</v>
      </c>
      <c r="E232" s="160" t="s">
        <v>394</v>
      </c>
      <c r="F232" s="162" t="str">
        <f>HYPERLINK("https://celebrity.okezone.com/read/2019/05/15/33/2055884/lucinta-luna-rencanakan-operasi-pinggang-netizen-nanti-body-nya-kayak-pulpen ","sumber")</f>
        <v>sumber</v>
      </c>
      <c r="G232" s="162" t="str">
        <f t="shared" si="1"/>
        <v>lokasi</v>
      </c>
      <c r="H232" s="159">
        <v>374.0</v>
      </c>
      <c r="I232" s="44">
        <v>2.0</v>
      </c>
      <c r="J232" s="160">
        <v>3.0</v>
      </c>
      <c r="K232" s="164" t="s">
        <v>2395</v>
      </c>
      <c r="L232" s="44">
        <v>0.0</v>
      </c>
      <c r="M232" s="44">
        <v>0.0</v>
      </c>
      <c r="N232" s="166">
        <v>0.0</v>
      </c>
      <c r="O232" s="44">
        <v>0.0</v>
      </c>
      <c r="P232" s="44">
        <v>0.0</v>
      </c>
      <c r="Q232" s="44">
        <v>2.0</v>
      </c>
      <c r="R232" s="44">
        <v>0.0</v>
      </c>
      <c r="S232" s="175"/>
      <c r="T232" s="44">
        <v>0.0</v>
      </c>
      <c r="U232" s="44">
        <v>-1.0</v>
      </c>
      <c r="V232" s="44">
        <v>0.0</v>
      </c>
      <c r="W232" s="45"/>
      <c r="X232" s="45"/>
      <c r="Y232" s="45"/>
      <c r="Z232" s="9"/>
      <c r="AA232" s="52"/>
      <c r="AB232" s="9"/>
      <c r="AC232" s="9"/>
      <c r="AD232" s="9"/>
      <c r="AE232" s="9"/>
      <c r="AF232" s="9"/>
    </row>
    <row r="233">
      <c r="A233" s="158">
        <v>1.0</v>
      </c>
      <c r="B233" s="159" t="s">
        <v>2396</v>
      </c>
      <c r="C233" s="44">
        <v>229.0</v>
      </c>
      <c r="D233" s="160">
        <v>1.0</v>
      </c>
      <c r="E233" s="160" t="s">
        <v>793</v>
      </c>
      <c r="F233" s="162" t="str">
        <f>HYPERLINK("https://news.detik.com/berita/d-4553734/polisi-pecat-anggota-gay-komisi-iii-dpr-akan-crosscheck-ke-jateng ","sumber")</f>
        <v>sumber</v>
      </c>
      <c r="G233" s="162" t="str">
        <f t="shared" si="1"/>
        <v>lokasi</v>
      </c>
      <c r="H233" s="159">
        <v>361.0</v>
      </c>
      <c r="I233" s="44">
        <v>1.0</v>
      </c>
      <c r="J233" s="160">
        <v>3.0</v>
      </c>
      <c r="K233" s="164" t="s">
        <v>2397</v>
      </c>
      <c r="L233" s="44">
        <v>0.0</v>
      </c>
      <c r="M233" s="44">
        <v>1.0</v>
      </c>
      <c r="N233" s="166">
        <v>0.0</v>
      </c>
      <c r="O233" s="44">
        <v>0.0</v>
      </c>
      <c r="P233" s="44">
        <v>0.0</v>
      </c>
      <c r="Q233" s="44" t="s">
        <v>61</v>
      </c>
      <c r="R233" s="44" t="s">
        <v>85</v>
      </c>
      <c r="S233" s="175"/>
      <c r="T233" s="44">
        <v>0.0</v>
      </c>
      <c r="U233" s="44">
        <v>0.0</v>
      </c>
      <c r="V233" s="44">
        <v>0.0</v>
      </c>
      <c r="W233" s="45"/>
      <c r="X233" s="45"/>
      <c r="Y233" s="45"/>
      <c r="Z233" s="9"/>
      <c r="AA233" s="52"/>
      <c r="AB233" s="9"/>
      <c r="AC233" s="9"/>
      <c r="AD233" s="9"/>
      <c r="AE233" s="9"/>
      <c r="AF233" s="9"/>
    </row>
    <row r="234">
      <c r="A234" s="152">
        <v>2.0</v>
      </c>
      <c r="B234" s="153" t="s">
        <v>2398</v>
      </c>
      <c r="C234" s="47">
        <v>230.0</v>
      </c>
      <c r="D234" s="154">
        <v>3.0</v>
      </c>
      <c r="E234" s="154" t="s">
        <v>390</v>
      </c>
      <c r="F234" s="156" t="str">
        <f>HYPERLINK("https://lifestyle.okezone.com/read/2019/05/19/194/2057543/transgender-ini-nekat-operasi-vagina-pakai-kulit-ikan ","sumber")</f>
        <v>sumber</v>
      </c>
      <c r="G234" s="156" t="str">
        <f t="shared" si="1"/>
        <v>lokasi</v>
      </c>
      <c r="H234" s="153">
        <v>505.0</v>
      </c>
      <c r="I234" s="48"/>
      <c r="J234" s="154">
        <v>3.0</v>
      </c>
      <c r="K234" s="165"/>
      <c r="L234" s="48"/>
      <c r="M234" s="48"/>
      <c r="N234" s="48"/>
      <c r="O234" s="48"/>
      <c r="P234" s="48"/>
      <c r="Q234" s="48"/>
      <c r="R234" s="48"/>
      <c r="S234" s="165"/>
      <c r="T234" s="48"/>
      <c r="U234" s="48"/>
      <c r="V234" s="48"/>
      <c r="W234" s="48"/>
      <c r="X234" s="48"/>
      <c r="Y234" s="47"/>
      <c r="Z234" s="43"/>
      <c r="AA234" s="51"/>
      <c r="AB234" s="51"/>
      <c r="AC234" s="51"/>
      <c r="AD234" s="51"/>
      <c r="AE234" s="51"/>
      <c r="AF234" s="51"/>
    </row>
    <row r="235">
      <c r="A235" s="189">
        <v>1.0</v>
      </c>
      <c r="B235" s="190" t="s">
        <v>2399</v>
      </c>
      <c r="C235" s="55">
        <v>231.0</v>
      </c>
      <c r="D235" s="169">
        <v>10.0</v>
      </c>
      <c r="E235" s="170">
        <v>43470.0</v>
      </c>
      <c r="F235" s="171" t="str">
        <f>HYPERLINK("https://seleb.tempo.co/read/1200850/dianggap-berbahaya-film-kucumbu-tubuh-indahku-aman-secara-legal ","sumber")</f>
        <v>sumber</v>
      </c>
      <c r="G235" s="171" t="str">
        <f t="shared" si="1"/>
        <v>lokasi</v>
      </c>
      <c r="H235" s="168">
        <v>407.0</v>
      </c>
      <c r="I235" s="55">
        <v>3.0</v>
      </c>
      <c r="J235" s="169">
        <v>3.0</v>
      </c>
      <c r="K235" s="172" t="s">
        <v>2400</v>
      </c>
      <c r="L235" s="55">
        <v>0.0</v>
      </c>
      <c r="M235" s="55">
        <v>0.0</v>
      </c>
      <c r="N235" s="173">
        <v>0.0</v>
      </c>
      <c r="O235" s="55">
        <v>0.0</v>
      </c>
      <c r="P235" s="55">
        <v>0.0</v>
      </c>
      <c r="Q235" s="55" t="s">
        <v>61</v>
      </c>
      <c r="R235" s="55" t="s">
        <v>100</v>
      </c>
      <c r="S235" s="174"/>
      <c r="T235" s="55">
        <v>0.0</v>
      </c>
      <c r="U235" s="55">
        <v>0.0</v>
      </c>
      <c r="V235" s="55">
        <v>0.0</v>
      </c>
      <c r="W235" s="46"/>
      <c r="X235" s="46"/>
      <c r="Y235" s="55"/>
      <c r="Z235" s="30"/>
      <c r="AA235" s="30"/>
      <c r="AB235" s="31"/>
      <c r="AC235" s="31"/>
      <c r="AD235" s="31"/>
      <c r="AE235" s="31"/>
      <c r="AF235" s="31"/>
    </row>
    <row r="236">
      <c r="A236" s="176">
        <v>1.0</v>
      </c>
      <c r="B236" s="196" t="s">
        <v>809</v>
      </c>
      <c r="C236" s="178">
        <v>232.0</v>
      </c>
      <c r="D236" s="179">
        <v>9.0</v>
      </c>
      <c r="E236" s="195">
        <v>43682.0</v>
      </c>
      <c r="F236" s="180" t="str">
        <f>HYPERLINK("https://senggang.republika.co.id/berita/senggang/film/pr6ngu459/ltemgtkucumbu-tubuh-indahkultemgt-dinilai-tak-sesuai-adat-basandi-syara ","sumber")</f>
        <v>sumber</v>
      </c>
      <c r="G236" s="180" t="str">
        <f t="shared" si="1"/>
        <v>lokasi</v>
      </c>
      <c r="H236" s="177">
        <v>334.0</v>
      </c>
      <c r="I236" s="178">
        <v>1.0</v>
      </c>
      <c r="J236" s="179">
        <v>3.0</v>
      </c>
      <c r="K236" s="181" t="s">
        <v>2401</v>
      </c>
      <c r="L236" s="178">
        <v>0.0</v>
      </c>
      <c r="M236" s="178">
        <v>1.0</v>
      </c>
      <c r="N236" s="182">
        <v>0.0</v>
      </c>
      <c r="O236" s="178">
        <v>0.0</v>
      </c>
      <c r="P236" s="178">
        <v>0.0</v>
      </c>
      <c r="Q236" s="178">
        <v>0.0</v>
      </c>
      <c r="R236" s="178">
        <v>-1.0</v>
      </c>
      <c r="S236" s="181" t="s">
        <v>1431</v>
      </c>
      <c r="T236" s="178">
        <v>1.0</v>
      </c>
      <c r="U236" s="178">
        <v>0.0</v>
      </c>
      <c r="V236" s="178">
        <v>0.0</v>
      </c>
      <c r="W236" s="184"/>
      <c r="X236" s="184"/>
      <c r="Y236" s="178"/>
      <c r="Z236" s="185"/>
      <c r="AA236" s="185"/>
      <c r="AB236" s="186"/>
      <c r="AC236" s="186"/>
      <c r="AD236" s="186"/>
      <c r="AE236" s="186"/>
      <c r="AF236" s="186"/>
    </row>
    <row r="237">
      <c r="A237" s="189">
        <v>1.0</v>
      </c>
      <c r="B237" s="190" t="s">
        <v>2402</v>
      </c>
      <c r="C237" s="55">
        <v>233.0</v>
      </c>
      <c r="D237" s="169">
        <v>6.0</v>
      </c>
      <c r="E237" s="170">
        <v>43775.0</v>
      </c>
      <c r="F237" s="171" t="str">
        <f>HYPERLINK("https://internasional.kompas.com/read/2019/06/11/18484041/ma-bostwana-putuskan-menjadi-gay-bukan-tindakan-kriminal ","sumber")</f>
        <v>sumber</v>
      </c>
      <c r="G237" s="171" t="str">
        <f t="shared" si="1"/>
        <v>lokasi</v>
      </c>
      <c r="H237" s="168">
        <v>290.0</v>
      </c>
      <c r="I237" s="55">
        <v>4.0</v>
      </c>
      <c r="J237" s="169">
        <v>3.0</v>
      </c>
      <c r="K237" s="172" t="s">
        <v>2403</v>
      </c>
      <c r="L237" s="55">
        <v>0.0</v>
      </c>
      <c r="M237" s="55">
        <v>0.0</v>
      </c>
      <c r="N237" s="173">
        <v>0.0</v>
      </c>
      <c r="O237" s="55">
        <v>0.0</v>
      </c>
      <c r="P237" s="55">
        <v>0.0</v>
      </c>
      <c r="Q237" s="55">
        <v>0.0</v>
      </c>
      <c r="R237" s="55">
        <v>1.0</v>
      </c>
      <c r="S237" s="174"/>
      <c r="T237" s="55">
        <v>0.0</v>
      </c>
      <c r="U237" s="55">
        <v>0.0</v>
      </c>
      <c r="V237" s="55">
        <v>1.0</v>
      </c>
      <c r="W237" s="46"/>
      <c r="X237" s="46"/>
      <c r="Y237" s="55"/>
      <c r="Z237" s="30"/>
      <c r="AA237" s="30"/>
      <c r="AB237" s="31"/>
      <c r="AC237" s="31"/>
      <c r="AD237" s="31"/>
      <c r="AE237" s="31"/>
      <c r="AF237" s="31"/>
    </row>
    <row r="238">
      <c r="A238" s="176">
        <v>1.0</v>
      </c>
      <c r="B238" s="196" t="s">
        <v>2404</v>
      </c>
      <c r="C238" s="178">
        <v>234.0</v>
      </c>
      <c r="D238" s="179">
        <v>9.0</v>
      </c>
      <c r="E238" s="179" t="s">
        <v>2405</v>
      </c>
      <c r="F238" s="180" t="str">
        <f>HYPERLINK("https://nasional.republika.co.id/berita/nasional/daerah/pt6qfn423/pendidikan-agama-cara-ampuh-tekan-penyakit-masyarakat ","sumber")</f>
        <v>sumber</v>
      </c>
      <c r="G238" s="180" t="str">
        <f t="shared" si="1"/>
        <v>lokasi</v>
      </c>
      <c r="H238" s="177">
        <v>269.0</v>
      </c>
      <c r="I238" s="178">
        <v>1.0</v>
      </c>
      <c r="J238" s="179">
        <v>3.0</v>
      </c>
      <c r="K238" s="181" t="s">
        <v>2406</v>
      </c>
      <c r="L238" s="178">
        <v>0.0</v>
      </c>
      <c r="M238" s="178">
        <v>-1.0</v>
      </c>
      <c r="N238" s="182">
        <v>0.0</v>
      </c>
      <c r="O238" s="178">
        <v>0.0</v>
      </c>
      <c r="P238" s="178">
        <v>0.0</v>
      </c>
      <c r="Q238" s="178">
        <v>0.0</v>
      </c>
      <c r="R238" s="178">
        <v>-1.0</v>
      </c>
      <c r="S238" s="181" t="s">
        <v>2407</v>
      </c>
      <c r="T238" s="178">
        <v>1.0</v>
      </c>
      <c r="U238" s="178">
        <v>0.0</v>
      </c>
      <c r="V238" s="178">
        <v>1.0</v>
      </c>
      <c r="W238" s="184"/>
      <c r="X238" s="184"/>
      <c r="Y238" s="178"/>
      <c r="Z238" s="185"/>
      <c r="AA238" s="185"/>
      <c r="AB238" s="186"/>
      <c r="AC238" s="186"/>
      <c r="AD238" s="186"/>
      <c r="AE238" s="186"/>
      <c r="AF238" s="186"/>
    </row>
    <row r="239">
      <c r="A239" s="158">
        <v>1.0</v>
      </c>
      <c r="B239" s="159" t="s">
        <v>2408</v>
      </c>
      <c r="C239" s="44">
        <v>235.0</v>
      </c>
      <c r="D239" s="160">
        <v>3.0</v>
      </c>
      <c r="E239" s="161">
        <v>43530.0</v>
      </c>
      <c r="F239" s="162" t="str">
        <f>HYPERLINK("https://news.okezone.com/read/2019/06/03/510/2063425/para-pencari-tuhan-di-pesantren-waria-yogyakarta-yang-sempat-ditutup ","sumber")</f>
        <v>sumber</v>
      </c>
      <c r="G239" s="162" t="str">
        <f t="shared" si="1"/>
        <v>lokasi</v>
      </c>
      <c r="H239" s="159">
        <v>941.0</v>
      </c>
      <c r="I239" s="44">
        <v>2.0</v>
      </c>
      <c r="J239" s="160">
        <v>3.0</v>
      </c>
      <c r="K239" s="164" t="s">
        <v>2409</v>
      </c>
      <c r="L239" s="44">
        <v>0.0</v>
      </c>
      <c r="M239" s="44">
        <v>0.0</v>
      </c>
      <c r="N239" s="166">
        <v>0.0</v>
      </c>
      <c r="O239" s="44">
        <v>0.0</v>
      </c>
      <c r="P239" s="44">
        <v>0.0</v>
      </c>
      <c r="Q239" s="44" t="s">
        <v>2410</v>
      </c>
      <c r="R239" s="44" t="s">
        <v>1058</v>
      </c>
      <c r="S239" s="175"/>
      <c r="T239" s="44">
        <v>0.0</v>
      </c>
      <c r="U239" s="44">
        <v>0.0</v>
      </c>
      <c r="V239" s="44">
        <v>0.0</v>
      </c>
      <c r="W239" s="45"/>
      <c r="X239" s="45"/>
      <c r="Y239" s="45"/>
      <c r="Z239" s="9"/>
      <c r="AA239" s="52"/>
      <c r="AB239" s="9"/>
      <c r="AC239" s="9"/>
      <c r="AD239" s="9"/>
      <c r="AE239" s="9"/>
      <c r="AF239" s="9"/>
    </row>
    <row r="240">
      <c r="A240" s="158">
        <v>1.0</v>
      </c>
      <c r="B240" s="159" t="s">
        <v>812</v>
      </c>
      <c r="C240" s="44">
        <v>236.0</v>
      </c>
      <c r="D240" s="160">
        <v>7.0</v>
      </c>
      <c r="E240" s="161">
        <v>43561.0</v>
      </c>
      <c r="F240" s="162" t="str">
        <f>HYPERLINK("http://www.tribunnews.com/seleb/2019/06/04/posting-foto-diri-gendong-balita-yang-diklaim-anaknya-lucinta-luna-membayangkan-jadi-seorang-ibu ","sumber")</f>
        <v>sumber</v>
      </c>
      <c r="G240" s="162" t="str">
        <f t="shared" si="1"/>
        <v>lokasi</v>
      </c>
      <c r="H240" s="159">
        <v>195.0</v>
      </c>
      <c r="I240" s="44">
        <v>2.0</v>
      </c>
      <c r="J240" s="160">
        <v>3.0</v>
      </c>
      <c r="K240" s="164" t="s">
        <v>2395</v>
      </c>
      <c r="L240" s="44">
        <v>0.0</v>
      </c>
      <c r="M240" s="44">
        <v>0.0</v>
      </c>
      <c r="N240" s="166">
        <v>0.0</v>
      </c>
      <c r="O240" s="44">
        <v>0.0</v>
      </c>
      <c r="P240" s="44">
        <v>0.0</v>
      </c>
      <c r="Q240" s="44">
        <v>2.0</v>
      </c>
      <c r="R240" s="44">
        <v>0.0</v>
      </c>
      <c r="S240" s="175"/>
      <c r="T240" s="44">
        <v>0.0</v>
      </c>
      <c r="U240" s="44">
        <v>0.0</v>
      </c>
      <c r="V240" s="44">
        <v>0.0</v>
      </c>
      <c r="W240" s="45"/>
      <c r="X240" s="45"/>
      <c r="Y240" s="45"/>
      <c r="Z240" s="9"/>
      <c r="AA240" s="52"/>
      <c r="AB240" s="9"/>
      <c r="AC240" s="9"/>
      <c r="AD240" s="9"/>
      <c r="AE240" s="9"/>
      <c r="AF240" s="9"/>
    </row>
    <row r="241">
      <c r="A241" s="158">
        <v>1.0</v>
      </c>
      <c r="B241" s="159" t="s">
        <v>2411</v>
      </c>
      <c r="C241" s="44">
        <v>237.0</v>
      </c>
      <c r="D241" s="160">
        <v>4.0</v>
      </c>
      <c r="E241" s="161">
        <v>43744.0</v>
      </c>
      <c r="F241" s="162" t="str">
        <f>HYPERLINK("https://www.liputan6.com/global/read/3986092/cicit-pertama-lahir-presiden-filipina-resmi-jadi-kakek-buyut ","sumber")</f>
        <v>sumber</v>
      </c>
      <c r="G241" s="162" t="str">
        <f t="shared" si="1"/>
        <v>lokasi</v>
      </c>
      <c r="H241" s="159">
        <v>393.0</v>
      </c>
      <c r="I241" s="44">
        <v>2.0</v>
      </c>
      <c r="J241" s="160">
        <v>3.0</v>
      </c>
      <c r="K241" s="164" t="s">
        <v>2412</v>
      </c>
      <c r="L241" s="44">
        <v>0.0</v>
      </c>
      <c r="M241" s="44">
        <v>0.0</v>
      </c>
      <c r="N241" s="166">
        <v>0.0</v>
      </c>
      <c r="O241" s="44">
        <v>0.0</v>
      </c>
      <c r="P241" s="44">
        <v>0.0</v>
      </c>
      <c r="Q241" s="44">
        <v>0.0</v>
      </c>
      <c r="R241" s="44">
        <v>-1.0</v>
      </c>
      <c r="S241" s="175"/>
      <c r="T241" s="44">
        <v>0.0</v>
      </c>
      <c r="U241" s="44">
        <v>0.0</v>
      </c>
      <c r="V241" s="44">
        <v>0.0</v>
      </c>
      <c r="W241" s="45"/>
      <c r="X241" s="45"/>
      <c r="Y241" s="45"/>
      <c r="Z241" s="9"/>
      <c r="AA241" s="52"/>
      <c r="AB241" s="9"/>
      <c r="AC241" s="9"/>
      <c r="AD241" s="9"/>
      <c r="AE241" s="9"/>
      <c r="AF241" s="9"/>
    </row>
    <row r="242">
      <c r="A242" s="158">
        <v>1.0</v>
      </c>
      <c r="B242" s="159" t="s">
        <v>2413</v>
      </c>
      <c r="C242" s="44">
        <v>238.0</v>
      </c>
      <c r="D242" s="160">
        <v>4.0</v>
      </c>
      <c r="E242" s="161">
        <v>43775.0</v>
      </c>
      <c r="F242" s="162" t="str">
        <f>HYPERLINK("https://www.liputan6.com/health/read/3987071/who-transgender-bukan-lagi-gangguan-mental ","sumber")</f>
        <v>sumber</v>
      </c>
      <c r="G242" s="162" t="str">
        <f t="shared" si="1"/>
        <v>lokasi</v>
      </c>
      <c r="H242" s="159">
        <v>270.0</v>
      </c>
      <c r="I242" s="44">
        <v>4.0</v>
      </c>
      <c r="J242" s="160">
        <v>3.0</v>
      </c>
      <c r="K242" s="164" t="s">
        <v>2414</v>
      </c>
      <c r="L242" s="44">
        <v>0.0</v>
      </c>
      <c r="M242" s="44">
        <v>0.0</v>
      </c>
      <c r="N242" s="166">
        <v>0.0</v>
      </c>
      <c r="O242" s="44">
        <v>0.0</v>
      </c>
      <c r="P242" s="44">
        <v>0.0</v>
      </c>
      <c r="Q242" s="44" t="s">
        <v>100</v>
      </c>
      <c r="R242" s="44" t="s">
        <v>192</v>
      </c>
      <c r="S242" s="175"/>
      <c r="T242" s="44">
        <v>0.0</v>
      </c>
      <c r="U242" s="44">
        <v>0.0</v>
      </c>
      <c r="V242" s="44">
        <v>1.0</v>
      </c>
      <c r="W242" s="45"/>
      <c r="X242" s="45"/>
      <c r="Y242" s="45"/>
      <c r="Z242" s="9"/>
      <c r="AA242" s="52"/>
      <c r="AB242" s="9"/>
      <c r="AC242" s="9"/>
      <c r="AD242" s="9"/>
      <c r="AE242" s="9"/>
      <c r="AF242" s="9"/>
    </row>
    <row r="243">
      <c r="A243" s="152">
        <v>2.0</v>
      </c>
      <c r="B243" s="153" t="s">
        <v>2415</v>
      </c>
      <c r="C243" s="47">
        <v>239.0</v>
      </c>
      <c r="D243" s="154">
        <v>9.0</v>
      </c>
      <c r="E243" s="154" t="s">
        <v>831</v>
      </c>
      <c r="F243" s="156" t="str">
        <f>HYPERLINK("https://gayahidup.republika.co.id/berita/gaya-hidup/tips/pt4do1/ini-25-universitas-terbaik-di-dunia ","sumber")</f>
        <v>sumber</v>
      </c>
      <c r="G243" s="156" t="str">
        <f t="shared" si="1"/>
        <v>lokasi</v>
      </c>
      <c r="H243" s="153">
        <v>2444.0</v>
      </c>
      <c r="I243" s="48"/>
      <c r="J243" s="154">
        <v>3.0</v>
      </c>
      <c r="K243" s="165"/>
      <c r="L243" s="48"/>
      <c r="M243" s="48"/>
      <c r="N243" s="48"/>
      <c r="O243" s="48"/>
      <c r="P243" s="48"/>
      <c r="Q243" s="48"/>
      <c r="R243" s="48"/>
      <c r="S243" s="165"/>
      <c r="T243" s="48"/>
      <c r="U243" s="48"/>
      <c r="V243" s="48"/>
      <c r="W243" s="48"/>
      <c r="X243" s="48"/>
      <c r="Y243" s="47"/>
      <c r="Z243" s="43"/>
      <c r="AA243" s="51"/>
      <c r="AB243" s="51"/>
      <c r="AC243" s="51"/>
      <c r="AD243" s="51"/>
      <c r="AE243" s="51"/>
      <c r="AF243" s="51"/>
    </row>
    <row r="244">
      <c r="A244" s="158">
        <v>1.0</v>
      </c>
      <c r="B244" s="159" t="s">
        <v>2416</v>
      </c>
      <c r="C244" s="44">
        <v>240.0</v>
      </c>
      <c r="D244" s="160">
        <v>1.0</v>
      </c>
      <c r="E244" s="160" t="s">
        <v>2070</v>
      </c>
      <c r="F244" s="162" t="str">
        <f>HYPERLINK("https://hot.detik.com/movie/d-4597704/kontroversi-karakter-gay-pertama-di-mcu-bos-marvel-akhirnya-bicara ","sumber")</f>
        <v>sumber</v>
      </c>
      <c r="G244" s="162" t="str">
        <f t="shared" si="1"/>
        <v>lokasi</v>
      </c>
      <c r="H244" s="159">
        <v>1940.0</v>
      </c>
      <c r="I244" s="44">
        <v>3.0</v>
      </c>
      <c r="J244" s="160">
        <v>3.0</v>
      </c>
      <c r="K244" s="164" t="s">
        <v>2417</v>
      </c>
      <c r="L244" s="44">
        <v>0.0</v>
      </c>
      <c r="M244" s="44">
        <v>0.0</v>
      </c>
      <c r="N244" s="166">
        <v>0.0</v>
      </c>
      <c r="O244" s="44">
        <v>0.0</v>
      </c>
      <c r="P244" s="44">
        <v>0.0</v>
      </c>
      <c r="Q244" s="44" t="s">
        <v>61</v>
      </c>
      <c r="R244" s="44" t="s">
        <v>100</v>
      </c>
      <c r="S244" s="175"/>
      <c r="T244" s="44">
        <v>0.0</v>
      </c>
      <c r="U244" s="44">
        <v>0.0</v>
      </c>
      <c r="V244" s="44">
        <v>0.0</v>
      </c>
      <c r="W244" s="45"/>
      <c r="X244" s="45"/>
      <c r="Y244" s="45"/>
      <c r="Z244" s="9"/>
      <c r="AA244" s="52"/>
      <c r="AB244" s="9"/>
      <c r="AC244" s="9"/>
      <c r="AD244" s="9"/>
      <c r="AE244" s="9"/>
      <c r="AF244" s="9"/>
    </row>
    <row r="245">
      <c r="A245" s="158">
        <v>1.0</v>
      </c>
      <c r="B245" s="159" t="s">
        <v>1557</v>
      </c>
      <c r="C245" s="44">
        <v>241.0</v>
      </c>
      <c r="D245" s="160">
        <v>6.0</v>
      </c>
      <c r="E245" s="160" t="s">
        <v>616</v>
      </c>
      <c r="F245" s="162" t="str">
        <f>HYPERLINK("https://internasional.kompas.com/read/2019/06/27/07464391/pangeran-william-mengaku-tak-keberatan-jika-anaknya-menjadi-gay ","sumber")</f>
        <v>sumber</v>
      </c>
      <c r="G245" s="162" t="str">
        <f t="shared" si="1"/>
        <v>lokasi</v>
      </c>
      <c r="H245" s="159">
        <v>478.0</v>
      </c>
      <c r="I245" s="44">
        <v>2.0</v>
      </c>
      <c r="J245" s="160">
        <v>3.0</v>
      </c>
      <c r="K245" s="164" t="s">
        <v>2418</v>
      </c>
      <c r="L245" s="44">
        <v>0.0</v>
      </c>
      <c r="M245" s="44">
        <v>0.0</v>
      </c>
      <c r="N245" s="166">
        <v>0.0</v>
      </c>
      <c r="O245" s="44">
        <v>0.0</v>
      </c>
      <c r="P245" s="44">
        <v>0.0</v>
      </c>
      <c r="Q245" s="44">
        <v>0.0</v>
      </c>
      <c r="R245" s="44">
        <v>1.0</v>
      </c>
      <c r="S245" s="175"/>
      <c r="T245" s="44">
        <v>0.0</v>
      </c>
      <c r="U245" s="44">
        <v>0.0</v>
      </c>
      <c r="V245" s="44">
        <v>0.0</v>
      </c>
      <c r="W245" s="45"/>
      <c r="X245" s="45"/>
      <c r="Y245" s="45"/>
      <c r="Z245" s="9"/>
      <c r="AA245" s="52"/>
      <c r="AB245" s="9"/>
      <c r="AC245" s="9"/>
      <c r="AD245" s="9"/>
      <c r="AE245" s="9"/>
      <c r="AF245" s="9"/>
    </row>
    <row r="246">
      <c r="A246" s="158">
        <v>1.0</v>
      </c>
      <c r="B246" s="159" t="s">
        <v>2419</v>
      </c>
      <c r="C246" s="44">
        <v>242.0</v>
      </c>
      <c r="D246" s="160">
        <v>8.0</v>
      </c>
      <c r="E246" s="160" t="s">
        <v>273</v>
      </c>
      <c r="F246" s="162" t="str">
        <f>HYPERLINK("https://www.suara.com/lifestyle/2019/06/28/063500/andai-anaknya-lgbt-sikap-pangeran-william-ini-bikin-takjub ","sumber")</f>
        <v>sumber</v>
      </c>
      <c r="G246" s="162" t="str">
        <f t="shared" si="1"/>
        <v>lokasi</v>
      </c>
      <c r="H246" s="159">
        <v>270.0</v>
      </c>
      <c r="I246" s="44">
        <v>2.0</v>
      </c>
      <c r="J246" s="160">
        <v>3.0</v>
      </c>
      <c r="K246" s="164" t="s">
        <v>2418</v>
      </c>
      <c r="L246" s="44">
        <v>0.0</v>
      </c>
      <c r="M246" s="44">
        <v>0.0</v>
      </c>
      <c r="N246" s="166">
        <v>0.0</v>
      </c>
      <c r="O246" s="44">
        <v>0.0</v>
      </c>
      <c r="P246" s="44">
        <v>0.0</v>
      </c>
      <c r="Q246" s="44">
        <v>0.0</v>
      </c>
      <c r="R246" s="44">
        <v>1.0</v>
      </c>
      <c r="S246" s="175"/>
      <c r="T246" s="44">
        <v>0.0</v>
      </c>
      <c r="U246" s="44">
        <v>0.0</v>
      </c>
      <c r="V246" s="44">
        <v>0.0</v>
      </c>
      <c r="W246" s="45"/>
      <c r="X246" s="45"/>
      <c r="Y246" s="45"/>
      <c r="Z246" s="9"/>
      <c r="AA246" s="52"/>
      <c r="AB246" s="9"/>
      <c r="AC246" s="9"/>
      <c r="AD246" s="9"/>
      <c r="AE246" s="9"/>
      <c r="AF246" s="9"/>
    </row>
    <row r="247">
      <c r="A247" s="176">
        <v>1.0</v>
      </c>
      <c r="B247" s="196" t="s">
        <v>2420</v>
      </c>
      <c r="C247" s="178">
        <v>243.0</v>
      </c>
      <c r="D247" s="179">
        <v>7.0</v>
      </c>
      <c r="E247" s="179" t="s">
        <v>273</v>
      </c>
      <c r="F247" s="180" t="str">
        <f>HYPERLINK("http://www.tribunnews.com/metropolitan/2019/06/28/polisi-ringkus-muncikari-pijat-plus-plus-gay ","sumber")</f>
        <v>sumber</v>
      </c>
      <c r="G247" s="180" t="str">
        <f t="shared" si="1"/>
        <v>lokasi</v>
      </c>
      <c r="H247" s="177">
        <v>277.0</v>
      </c>
      <c r="I247" s="178">
        <v>1.0</v>
      </c>
      <c r="J247" s="179">
        <v>3.0</v>
      </c>
      <c r="K247" s="181" t="s">
        <v>2421</v>
      </c>
      <c r="L247" s="178">
        <v>0.0</v>
      </c>
      <c r="M247" s="178">
        <v>-1.0</v>
      </c>
      <c r="N247" s="182">
        <v>0.0</v>
      </c>
      <c r="O247" s="178">
        <v>0.0</v>
      </c>
      <c r="P247" s="178">
        <v>-1.0</v>
      </c>
      <c r="Q247" s="178">
        <v>0.0</v>
      </c>
      <c r="R247" s="178">
        <v>0.0</v>
      </c>
      <c r="S247" s="181" t="s">
        <v>748</v>
      </c>
      <c r="T247" s="178">
        <v>1.0</v>
      </c>
      <c r="U247" s="178">
        <v>0.0</v>
      </c>
      <c r="V247" s="178">
        <v>0.0</v>
      </c>
      <c r="W247" s="184"/>
      <c r="X247" s="184"/>
      <c r="Y247" s="178"/>
      <c r="Z247" s="185"/>
      <c r="AA247" s="185"/>
      <c r="AB247" s="186"/>
      <c r="AC247" s="186"/>
      <c r="AD247" s="186"/>
      <c r="AE247" s="186"/>
      <c r="AF247" s="186"/>
    </row>
    <row r="248">
      <c r="A248" s="158">
        <v>1.0</v>
      </c>
      <c r="B248" s="159" t="s">
        <v>2422</v>
      </c>
      <c r="C248" s="44">
        <v>244.0</v>
      </c>
      <c r="D248" s="160">
        <v>7.0</v>
      </c>
      <c r="E248" s="160" t="s">
        <v>621</v>
      </c>
      <c r="F248" s="162" t="str">
        <f>HYPERLINK("http://www.tribunnews.com/superskor/2019/06/30/kapten-timnas-putri-as-anda-tak-bisa-juara-tanpa-pemain-gay ","sumber")</f>
        <v>sumber</v>
      </c>
      <c r="G248" s="162" t="str">
        <f t="shared" si="1"/>
        <v>lokasi</v>
      </c>
      <c r="H248" s="159">
        <v>92.0</v>
      </c>
      <c r="I248" s="44">
        <v>2.0</v>
      </c>
      <c r="J248" s="160">
        <v>3.0</v>
      </c>
      <c r="K248" s="164" t="s">
        <v>2423</v>
      </c>
      <c r="L248" s="44">
        <v>0.0</v>
      </c>
      <c r="M248" s="44">
        <v>0.0</v>
      </c>
      <c r="N248" s="166">
        <v>0.0</v>
      </c>
      <c r="O248" s="44">
        <v>0.0</v>
      </c>
      <c r="P248" s="44">
        <v>0.0</v>
      </c>
      <c r="Q248" s="44">
        <v>2.0</v>
      </c>
      <c r="R248" s="44">
        <v>1.0</v>
      </c>
      <c r="S248" s="175"/>
      <c r="T248" s="44">
        <v>0.0</v>
      </c>
      <c r="U248" s="44">
        <v>0.0</v>
      </c>
      <c r="V248" s="44">
        <v>0.0</v>
      </c>
      <c r="W248" s="45"/>
      <c r="X248" s="45"/>
      <c r="Y248" s="45"/>
      <c r="Z248" s="9"/>
      <c r="AA248" s="52"/>
      <c r="AB248" s="9"/>
      <c r="AC248" s="9"/>
      <c r="AD248" s="9"/>
      <c r="AE248" s="9"/>
      <c r="AF248" s="9"/>
    </row>
    <row r="249">
      <c r="A249" s="158">
        <v>1.0</v>
      </c>
      <c r="B249" s="159" t="s">
        <v>2424</v>
      </c>
      <c r="C249" s="44">
        <v>245.0</v>
      </c>
      <c r="D249" s="160">
        <v>6.0</v>
      </c>
      <c r="E249" s="161">
        <v>43472.0</v>
      </c>
      <c r="F249" s="162" t="str">
        <f>HYPERLINK("https://regional.kompas.com/read/2019/07/01/18063211/waria-perias-pengantin-cabuli-50-pria-2-orang-masih-pelajar ","sumber")</f>
        <v>sumber</v>
      </c>
      <c r="G249" s="162" t="str">
        <f t="shared" si="1"/>
        <v>lokasi</v>
      </c>
      <c r="H249" s="159">
        <v>281.0</v>
      </c>
      <c r="I249" s="44">
        <v>1.0</v>
      </c>
      <c r="J249" s="160">
        <v>3.0</v>
      </c>
      <c r="K249" s="164" t="s">
        <v>2425</v>
      </c>
      <c r="L249" s="44">
        <v>0.0</v>
      </c>
      <c r="M249" s="44">
        <v>-1.0</v>
      </c>
      <c r="N249" s="166">
        <v>0.0</v>
      </c>
      <c r="O249" s="44">
        <v>0.0</v>
      </c>
      <c r="P249" s="44">
        <v>0.0</v>
      </c>
      <c r="Q249" s="44">
        <v>0.0</v>
      </c>
      <c r="R249" s="44">
        <v>0.0</v>
      </c>
      <c r="S249" s="175"/>
      <c r="T249" s="44">
        <v>0.0</v>
      </c>
      <c r="U249" s="44">
        <v>0.0</v>
      </c>
      <c r="V249" s="44">
        <v>0.0</v>
      </c>
      <c r="W249" s="45"/>
      <c r="X249" s="45"/>
      <c r="Y249" s="45"/>
      <c r="Z249" s="9"/>
      <c r="AA249" s="52"/>
      <c r="AB249" s="9"/>
      <c r="AC249" s="9"/>
      <c r="AD249" s="9"/>
      <c r="AE249" s="9"/>
      <c r="AF249" s="9"/>
    </row>
    <row r="250">
      <c r="A250" s="158">
        <v>1.0</v>
      </c>
      <c r="B250" s="159" t="s">
        <v>2426</v>
      </c>
      <c r="C250" s="44">
        <v>246.0</v>
      </c>
      <c r="D250" s="160">
        <v>7.0</v>
      </c>
      <c r="E250" s="161">
        <v>43472.0</v>
      </c>
      <c r="F250" s="162" t="str">
        <f>HYPERLINK("http://www.tribunnews.com/regional/2019/07/01/sukses-tiduri-16-wanita-hingga-ambil-perhiasan-anggota-tni-al-ini-ternyata-hanya-seorang-satpam ","sumber")</f>
        <v>sumber</v>
      </c>
      <c r="G250" s="162" t="str">
        <f t="shared" si="1"/>
        <v>lokasi</v>
      </c>
      <c r="H250" s="159">
        <v>226.0</v>
      </c>
      <c r="I250" s="44">
        <v>1.0</v>
      </c>
      <c r="J250" s="160">
        <v>3.0</v>
      </c>
      <c r="K250" s="164" t="s">
        <v>2427</v>
      </c>
      <c r="L250" s="44">
        <v>0.0</v>
      </c>
      <c r="M250" s="44">
        <v>-1.0</v>
      </c>
      <c r="N250" s="166">
        <v>0.0</v>
      </c>
      <c r="O250" s="44">
        <v>0.0</v>
      </c>
      <c r="P250" s="44">
        <v>0.0</v>
      </c>
      <c r="Q250" s="44">
        <v>0.0</v>
      </c>
      <c r="R250" s="44">
        <v>0.0</v>
      </c>
      <c r="S250" s="175"/>
      <c r="T250" s="44">
        <v>0.0</v>
      </c>
      <c r="U250" s="44">
        <v>0.0</v>
      </c>
      <c r="V250" s="44">
        <v>0.0</v>
      </c>
      <c r="W250" s="45"/>
      <c r="X250" s="45"/>
      <c r="Y250" s="45"/>
      <c r="Z250" s="9"/>
      <c r="AA250" s="52"/>
      <c r="AB250" s="9"/>
      <c r="AC250" s="9"/>
      <c r="AD250" s="9"/>
      <c r="AE250" s="9"/>
      <c r="AF250" s="9"/>
    </row>
    <row r="251">
      <c r="A251" s="176">
        <v>1.0</v>
      </c>
      <c r="B251" s="196" t="s">
        <v>2428</v>
      </c>
      <c r="C251" s="178">
        <v>247.0</v>
      </c>
      <c r="D251" s="179">
        <v>1.0</v>
      </c>
      <c r="E251" s="179" t="s">
        <v>2429</v>
      </c>
      <c r="F251" s="180" t="str">
        <f>HYPERLINK("https://news.detik.com/bbc-world/d-4627771/di-irak-pelecehan-seksual-lebih-banyak-dialami-pria-daripada-wanita ","sumber")</f>
        <v>sumber</v>
      </c>
      <c r="G251" s="180" t="str">
        <f t="shared" si="1"/>
        <v>lokasi</v>
      </c>
      <c r="H251" s="177">
        <v>768.0</v>
      </c>
      <c r="I251" s="178">
        <v>1.0</v>
      </c>
      <c r="J251" s="179">
        <v>3.0</v>
      </c>
      <c r="K251" s="181" t="s">
        <v>2430</v>
      </c>
      <c r="L251" s="178">
        <v>0.0</v>
      </c>
      <c r="M251" s="178">
        <v>1.0</v>
      </c>
      <c r="N251" s="182">
        <v>0.0</v>
      </c>
      <c r="O251" s="178">
        <v>0.0</v>
      </c>
      <c r="P251" s="178">
        <v>0.0</v>
      </c>
      <c r="Q251" s="178" t="s">
        <v>2431</v>
      </c>
      <c r="R251" s="178" t="s">
        <v>2432</v>
      </c>
      <c r="S251" s="183"/>
      <c r="T251" s="178">
        <v>0.0</v>
      </c>
      <c r="U251" s="178">
        <v>0.0</v>
      </c>
      <c r="V251" s="178">
        <v>0.0</v>
      </c>
      <c r="W251" s="184"/>
      <c r="X251" s="184"/>
      <c r="Y251" s="178"/>
      <c r="Z251" s="185"/>
      <c r="AA251" s="185"/>
      <c r="AB251" s="186"/>
      <c r="AC251" s="186"/>
      <c r="AD251" s="186"/>
      <c r="AE251" s="186"/>
      <c r="AF251" s="186"/>
    </row>
    <row r="252">
      <c r="A252" s="158">
        <v>1.0</v>
      </c>
      <c r="B252" s="159" t="s">
        <v>2433</v>
      </c>
      <c r="C252" s="44">
        <v>248.0</v>
      </c>
      <c r="D252" s="160">
        <v>3.0</v>
      </c>
      <c r="E252" s="161">
        <v>43562.0</v>
      </c>
      <c r="F252" s="162" t="str">
        <f>HYPERLINK("https://news.okezone.com/read/2019/07/04/18/2074654/gigit-penis-transgender-ini-lolos-dari-3-pria-yang-memperkosanya ","sumber")</f>
        <v>sumber</v>
      </c>
      <c r="G252" s="162" t="str">
        <f t="shared" si="1"/>
        <v>lokasi</v>
      </c>
      <c r="H252" s="159">
        <v>226.0</v>
      </c>
      <c r="I252" s="44">
        <v>1.0</v>
      </c>
      <c r="J252" s="160">
        <v>3.0</v>
      </c>
      <c r="K252" s="164" t="s">
        <v>2434</v>
      </c>
      <c r="L252" s="44">
        <v>0.0</v>
      </c>
      <c r="M252" s="44">
        <v>-1.0</v>
      </c>
      <c r="N252" s="166">
        <v>0.0</v>
      </c>
      <c r="O252" s="44">
        <v>0.0</v>
      </c>
      <c r="P252" s="44">
        <v>0.0</v>
      </c>
      <c r="Q252" s="44">
        <v>0.0</v>
      </c>
      <c r="R252" s="44">
        <v>1.0</v>
      </c>
      <c r="S252" s="175"/>
      <c r="T252" s="44">
        <v>0.0</v>
      </c>
      <c r="U252" s="44">
        <v>-1.0</v>
      </c>
      <c r="V252" s="44">
        <v>0.0</v>
      </c>
      <c r="W252" s="45"/>
      <c r="X252" s="45"/>
      <c r="Y252" s="45"/>
      <c r="Z252" s="9"/>
      <c r="AA252" s="52"/>
      <c r="AB252" s="9"/>
      <c r="AC252" s="9"/>
      <c r="AD252" s="9"/>
      <c r="AE252" s="9"/>
      <c r="AF252" s="9"/>
    </row>
    <row r="253">
      <c r="A253" s="158">
        <v>1.0</v>
      </c>
      <c r="B253" s="159" t="s">
        <v>2435</v>
      </c>
      <c r="C253" s="44">
        <v>249.0</v>
      </c>
      <c r="D253" s="160">
        <v>1.0</v>
      </c>
      <c r="E253" s="161">
        <v>43592.0</v>
      </c>
      <c r="F253" s="162" t="str">
        <f>HYPERLINK("https://news.detik.com/bbc-world/d-4611888/3-tahun-hilang-suami-ditemukan-istri-di-aplikasi-tiktok ","sumber")</f>
        <v>sumber</v>
      </c>
      <c r="G253" s="162" t="str">
        <f t="shared" si="1"/>
        <v>lokasi</v>
      </c>
      <c r="H253" s="159">
        <v>117.0</v>
      </c>
      <c r="I253" s="44">
        <v>2.0</v>
      </c>
      <c r="J253" s="160">
        <v>3.0</v>
      </c>
      <c r="K253" s="164" t="s">
        <v>2436</v>
      </c>
      <c r="L253" s="44">
        <v>0.0</v>
      </c>
      <c r="M253" s="44">
        <v>0.0</v>
      </c>
      <c r="N253" s="166">
        <v>0.0</v>
      </c>
      <c r="O253" s="44">
        <v>0.0</v>
      </c>
      <c r="P253" s="44">
        <v>0.0</v>
      </c>
      <c r="Q253" s="44">
        <v>0.0</v>
      </c>
      <c r="R253" s="44">
        <v>0.0</v>
      </c>
      <c r="S253" s="175"/>
      <c r="T253" s="44">
        <v>0.0</v>
      </c>
      <c r="U253" s="44">
        <v>-1.0</v>
      </c>
      <c r="V253" s="44">
        <v>0.0</v>
      </c>
      <c r="W253" s="45"/>
      <c r="X253" s="45"/>
      <c r="Y253" s="45"/>
      <c r="Z253" s="9"/>
      <c r="AA253" s="52"/>
      <c r="AB253" s="9"/>
      <c r="AC253" s="9"/>
      <c r="AD253" s="9"/>
      <c r="AE253" s="9"/>
      <c r="AF253" s="9"/>
    </row>
    <row r="254">
      <c r="A254" s="211">
        <v>1.0</v>
      </c>
      <c r="B254" s="212" t="s">
        <v>2437</v>
      </c>
      <c r="C254" s="44">
        <v>250.0</v>
      </c>
      <c r="D254" s="160">
        <v>4.0</v>
      </c>
      <c r="E254" s="161">
        <v>43715.0</v>
      </c>
      <c r="F254" s="162" t="str">
        <f>HYPERLINK("https://hot.liputan6.com/read/4004766/7-potret-anggun-dena-rachman-saat-memakai-kebaya ","sumber")</f>
        <v>sumber</v>
      </c>
      <c r="G254" s="162" t="str">
        <f t="shared" si="1"/>
        <v>lokasi</v>
      </c>
      <c r="H254" s="159">
        <v>179.0</v>
      </c>
      <c r="I254" s="44">
        <v>3.0</v>
      </c>
      <c r="J254" s="160">
        <v>3.0</v>
      </c>
      <c r="K254" s="164"/>
      <c r="L254" s="44">
        <v>0.0</v>
      </c>
      <c r="M254" s="44">
        <v>0.0</v>
      </c>
      <c r="N254" s="166">
        <v>0.0</v>
      </c>
      <c r="O254" s="44">
        <v>0.0</v>
      </c>
      <c r="P254" s="44">
        <v>0.0</v>
      </c>
      <c r="Q254" s="44"/>
      <c r="R254" s="44"/>
      <c r="S254" s="175"/>
      <c r="T254" s="44">
        <v>0.0</v>
      </c>
      <c r="U254" s="44">
        <v>0.0</v>
      </c>
      <c r="V254" s="44">
        <v>0.0</v>
      </c>
      <c r="W254" s="45"/>
      <c r="X254" s="45"/>
      <c r="Y254" s="44"/>
      <c r="Z254" s="52"/>
      <c r="AA254" s="52"/>
      <c r="AB254" s="9"/>
      <c r="AC254" s="9"/>
      <c r="AD254" s="9"/>
      <c r="AE254" s="9"/>
      <c r="AF254" s="9"/>
    </row>
    <row r="255">
      <c r="A255" s="189">
        <v>1.0</v>
      </c>
      <c r="B255" s="190" t="s">
        <v>2438</v>
      </c>
      <c r="C255" s="55">
        <v>251.0</v>
      </c>
      <c r="D255" s="169">
        <v>6.0</v>
      </c>
      <c r="E255" s="170">
        <v>43562.0</v>
      </c>
      <c r="F255" s="171" t="str">
        <f>HYPERLINK("https://olahraga.kompas.com/read/2019/07/04/23475698/petenis-gay-diminta-lebih-terbuka ","sumber")</f>
        <v>sumber</v>
      </c>
      <c r="G255" s="171" t="str">
        <f t="shared" si="1"/>
        <v>lokasi</v>
      </c>
      <c r="H255" s="168">
        <v>265.0</v>
      </c>
      <c r="I255" s="55">
        <v>3.0</v>
      </c>
      <c r="J255" s="169">
        <v>3.0</v>
      </c>
      <c r="K255" s="172" t="s">
        <v>2439</v>
      </c>
      <c r="L255" s="55">
        <v>0.0</v>
      </c>
      <c r="M255" s="55">
        <v>0.0</v>
      </c>
      <c r="N255" s="173">
        <v>0.0</v>
      </c>
      <c r="O255" s="55">
        <v>0.0</v>
      </c>
      <c r="P255" s="55">
        <v>0.0</v>
      </c>
      <c r="Q255" s="55">
        <v>2.0</v>
      </c>
      <c r="R255" s="55">
        <v>1.0</v>
      </c>
      <c r="S255" s="174"/>
      <c r="T255" s="55">
        <v>0.0</v>
      </c>
      <c r="U255" s="55">
        <v>0.0</v>
      </c>
      <c r="V255" s="55">
        <v>1.0</v>
      </c>
      <c r="W255" s="46"/>
      <c r="X255" s="46"/>
      <c r="Y255" s="55"/>
      <c r="Z255" s="30"/>
      <c r="AA255" s="30"/>
      <c r="AB255" s="31"/>
      <c r="AC255" s="31"/>
      <c r="AD255" s="31"/>
      <c r="AE255" s="31"/>
      <c r="AF255" s="31"/>
    </row>
    <row r="256">
      <c r="A256" s="189">
        <v>1.0</v>
      </c>
      <c r="B256" s="190" t="s">
        <v>2440</v>
      </c>
      <c r="C256" s="55">
        <v>252.0</v>
      </c>
      <c r="D256" s="169">
        <v>10.0</v>
      </c>
      <c r="E256" s="169" t="s">
        <v>2441</v>
      </c>
      <c r="F256" s="171" t="str">
        <f>HYPERLINK("https://nasional.tempo.co/read/1226461/pemimpin-pesantren-waria-yogya-terima-penghargaan-pembela-ham ","sumber")</f>
        <v>sumber</v>
      </c>
      <c r="G256" s="171" t="str">
        <f t="shared" si="1"/>
        <v>lokasi</v>
      </c>
      <c r="H256" s="168">
        <v>616.0</v>
      </c>
      <c r="I256" s="55">
        <v>3.0</v>
      </c>
      <c r="J256" s="169">
        <v>3.0</v>
      </c>
      <c r="K256" s="172" t="s">
        <v>2442</v>
      </c>
      <c r="L256" s="55">
        <v>0.0</v>
      </c>
      <c r="M256" s="55">
        <v>0.0</v>
      </c>
      <c r="N256" s="173">
        <v>0.0</v>
      </c>
      <c r="O256" s="55">
        <v>0.0</v>
      </c>
      <c r="P256" s="55">
        <v>0.0</v>
      </c>
      <c r="Q256" s="55" t="s">
        <v>89</v>
      </c>
      <c r="R256" s="55" t="s">
        <v>1058</v>
      </c>
      <c r="S256" s="174"/>
      <c r="T256" s="55">
        <v>0.0</v>
      </c>
      <c r="U256" s="55">
        <v>0.0</v>
      </c>
      <c r="V256" s="55">
        <v>1.0</v>
      </c>
      <c r="W256" s="46"/>
      <c r="X256" s="46"/>
      <c r="Y256" s="55"/>
      <c r="Z256" s="30"/>
      <c r="AA256" s="30"/>
      <c r="AB256" s="31"/>
      <c r="AC256" s="31"/>
      <c r="AD256" s="31"/>
      <c r="AE256" s="31"/>
      <c r="AF256" s="31"/>
    </row>
    <row r="257">
      <c r="A257" s="189">
        <v>1.0</v>
      </c>
      <c r="B257" s="190" t="s">
        <v>2443</v>
      </c>
      <c r="C257" s="55">
        <v>253.0</v>
      </c>
      <c r="D257" s="169">
        <v>5.0</v>
      </c>
      <c r="E257" s="170">
        <v>43623.0</v>
      </c>
      <c r="F257" s="171" t="str">
        <f>HYPERLINK("https://tirto.id/jejak-pertama-lesbianisme-dalam-film-indonesia-edFe ","sumber")</f>
        <v>sumber</v>
      </c>
      <c r="G257" s="171" t="str">
        <f t="shared" si="1"/>
        <v>lokasi</v>
      </c>
      <c r="H257" s="168">
        <v>1034.0</v>
      </c>
      <c r="I257" s="55">
        <v>3.0</v>
      </c>
      <c r="J257" s="169">
        <v>3.0</v>
      </c>
      <c r="K257" s="172" t="s">
        <v>2444</v>
      </c>
      <c r="L257" s="55">
        <v>0.0</v>
      </c>
      <c r="M257" s="55">
        <v>0.0</v>
      </c>
      <c r="N257" s="173">
        <v>0.0</v>
      </c>
      <c r="O257" s="55">
        <v>0.0</v>
      </c>
      <c r="P257" s="55">
        <v>0.0</v>
      </c>
      <c r="Q257" s="55" t="s">
        <v>89</v>
      </c>
      <c r="R257" s="55" t="s">
        <v>89</v>
      </c>
      <c r="S257" s="174"/>
      <c r="T257" s="55">
        <v>0.0</v>
      </c>
      <c r="U257" s="55">
        <v>0.0</v>
      </c>
      <c r="V257" s="55">
        <v>1.0</v>
      </c>
      <c r="W257" s="46"/>
      <c r="X257" s="46"/>
      <c r="Y257" s="55"/>
      <c r="Z257" s="30"/>
      <c r="AA257" s="30"/>
      <c r="AB257" s="31"/>
      <c r="AC257" s="31"/>
      <c r="AD257" s="31"/>
      <c r="AE257" s="31"/>
      <c r="AF257" s="31"/>
    </row>
    <row r="258">
      <c r="A258" s="152">
        <v>2.0</v>
      </c>
      <c r="B258" s="153" t="s">
        <v>2445</v>
      </c>
      <c r="C258" s="47">
        <v>254.0</v>
      </c>
      <c r="D258" s="154">
        <v>2.0</v>
      </c>
      <c r="E258" s="154" t="s">
        <v>2446</v>
      </c>
      <c r="F258" s="156" t="str">
        <f>HYPERLINK("https://www.cnnindonesia.com/hiburan/20190716101834-220-412468/far-from-home-cetak-rekor-film-spider-man ","sumber")</f>
        <v>sumber</v>
      </c>
      <c r="G258" s="156" t="str">
        <f t="shared" si="1"/>
        <v>lokasi</v>
      </c>
      <c r="H258" s="153">
        <v>465.0</v>
      </c>
      <c r="I258" s="48"/>
      <c r="J258" s="154">
        <v>3.0</v>
      </c>
      <c r="K258" s="165"/>
      <c r="L258" s="48"/>
      <c r="M258" s="48"/>
      <c r="N258" s="48"/>
      <c r="O258" s="48"/>
      <c r="P258" s="48"/>
      <c r="Q258" s="48"/>
      <c r="R258" s="48"/>
      <c r="S258" s="165"/>
      <c r="T258" s="48"/>
      <c r="U258" s="48"/>
      <c r="V258" s="48"/>
      <c r="W258" s="48"/>
      <c r="X258" s="48"/>
      <c r="Y258" s="47"/>
      <c r="Z258" s="43"/>
      <c r="AA258" s="43"/>
      <c r="AB258" s="51"/>
      <c r="AC258" s="51"/>
      <c r="AD258" s="51"/>
      <c r="AE258" s="51"/>
      <c r="AF258" s="51"/>
    </row>
    <row r="259">
      <c r="A259" s="158">
        <v>1.0</v>
      </c>
      <c r="B259" s="159" t="s">
        <v>2447</v>
      </c>
      <c r="C259" s="44">
        <v>255.0</v>
      </c>
      <c r="D259" s="160">
        <v>8.0</v>
      </c>
      <c r="E259" s="160" t="s">
        <v>2446</v>
      </c>
      <c r="F259" s="162" t="str">
        <f>HYPERLINK("https://www.suara.com/entertainment/2019/07/16/103848/laporan-pablo-benua-ditolak-mentah-mentah-polisi-hotman-paris-amin ","sumber")</f>
        <v>sumber</v>
      </c>
      <c r="G259" s="162" t="str">
        <f t="shared" si="1"/>
        <v>lokasi</v>
      </c>
      <c r="H259" s="159">
        <v>222.0</v>
      </c>
      <c r="I259" s="44">
        <v>2.0</v>
      </c>
      <c r="J259" s="160">
        <v>1.0</v>
      </c>
      <c r="K259" s="164" t="s">
        <v>2448</v>
      </c>
      <c r="L259" s="44">
        <v>0.0</v>
      </c>
      <c r="M259" s="44">
        <v>0.0</v>
      </c>
      <c r="N259" s="166">
        <v>0.0</v>
      </c>
      <c r="O259" s="44">
        <v>0.0</v>
      </c>
      <c r="P259" s="44">
        <v>0.0</v>
      </c>
      <c r="Q259" s="44">
        <v>0.0</v>
      </c>
      <c r="R259" s="44">
        <v>0.0</v>
      </c>
      <c r="S259" s="164" t="s">
        <v>1567</v>
      </c>
      <c r="T259" s="44">
        <v>1.0</v>
      </c>
      <c r="U259" s="44">
        <v>0.0</v>
      </c>
      <c r="V259" s="44">
        <v>0.0</v>
      </c>
      <c r="W259" s="45"/>
      <c r="X259" s="45"/>
      <c r="Y259" s="45"/>
      <c r="Z259" s="9"/>
      <c r="AA259" s="52"/>
      <c r="AB259" s="9"/>
      <c r="AC259" s="9"/>
      <c r="AD259" s="9"/>
      <c r="AE259" s="9"/>
      <c r="AF259" s="9"/>
    </row>
    <row r="260">
      <c r="A260" s="158">
        <v>1.0</v>
      </c>
      <c r="B260" s="159" t="s">
        <v>2449</v>
      </c>
      <c r="C260" s="44">
        <v>256.0</v>
      </c>
      <c r="D260" s="160">
        <v>6.0</v>
      </c>
      <c r="E260" s="160" t="s">
        <v>2429</v>
      </c>
      <c r="F260" s="162" t="str">
        <f>HYPERLINK("https://olahraga.kompas.com/read/2019/07/17/00492878/didominasi-lgbt-tim-sepakbola-putri-as-dituduh-anti-kristen ","sumber")</f>
        <v>sumber</v>
      </c>
      <c r="G260" s="162" t="str">
        <f t="shared" si="1"/>
        <v>lokasi</v>
      </c>
      <c r="H260" s="159">
        <v>351.0</v>
      </c>
      <c r="I260" s="44">
        <v>1.0</v>
      </c>
      <c r="J260" s="160">
        <v>3.0</v>
      </c>
      <c r="K260" s="164" t="s">
        <v>2450</v>
      </c>
      <c r="L260" s="44">
        <v>0.0</v>
      </c>
      <c r="M260" s="44">
        <v>1.0</v>
      </c>
      <c r="N260" s="166">
        <v>0.0</v>
      </c>
      <c r="O260" s="44">
        <v>0.0</v>
      </c>
      <c r="P260" s="44">
        <v>0.0</v>
      </c>
      <c r="Q260" s="44" t="s">
        <v>210</v>
      </c>
      <c r="R260" s="44" t="s">
        <v>780</v>
      </c>
      <c r="S260" s="175"/>
      <c r="T260" s="44">
        <v>0.0</v>
      </c>
      <c r="U260" s="44">
        <v>0.0</v>
      </c>
      <c r="V260" s="44">
        <v>0.0</v>
      </c>
      <c r="W260" s="45"/>
      <c r="X260" s="45"/>
      <c r="Y260" s="45"/>
      <c r="Z260" s="9"/>
      <c r="AA260" s="52"/>
      <c r="AB260" s="9"/>
      <c r="AC260" s="9"/>
      <c r="AD260" s="9"/>
      <c r="AE260" s="9"/>
      <c r="AF260" s="9"/>
    </row>
    <row r="261">
      <c r="A261" s="158">
        <v>1.0</v>
      </c>
      <c r="B261" s="159" t="s">
        <v>2451</v>
      </c>
      <c r="C261" s="44">
        <v>257.0</v>
      </c>
      <c r="D261" s="160">
        <v>3.0</v>
      </c>
      <c r="E261" s="160" t="s">
        <v>2429</v>
      </c>
      <c r="F261" s="162" t="str">
        <f>HYPERLINK("https://celebrity.okezone.com/read/2019/07/17/33/2079892/dilamar-pria-bule-dena-rachman-bakal-menikah-tahun-depan ","sumber")</f>
        <v>sumber</v>
      </c>
      <c r="G261" s="162" t="str">
        <f t="shared" si="1"/>
        <v>lokasi</v>
      </c>
      <c r="H261" s="159">
        <v>316.0</v>
      </c>
      <c r="I261" s="44">
        <v>2.0</v>
      </c>
      <c r="J261" s="160">
        <v>3.0</v>
      </c>
      <c r="K261" s="164" t="s">
        <v>2452</v>
      </c>
      <c r="L261" s="44">
        <v>0.0</v>
      </c>
      <c r="M261" s="44">
        <v>0.0</v>
      </c>
      <c r="N261" s="166">
        <v>0.0</v>
      </c>
      <c r="O261" s="44">
        <v>0.0</v>
      </c>
      <c r="P261" s="44">
        <v>0.0</v>
      </c>
      <c r="Q261" s="44">
        <v>0.0</v>
      </c>
      <c r="R261" s="44">
        <v>0.0</v>
      </c>
      <c r="S261" s="175"/>
      <c r="T261" s="44">
        <v>0.0</v>
      </c>
      <c r="U261" s="44">
        <v>0.0</v>
      </c>
      <c r="V261" s="44">
        <v>0.0</v>
      </c>
      <c r="W261" s="45"/>
      <c r="X261" s="45"/>
      <c r="Y261" s="45"/>
      <c r="Z261" s="9"/>
      <c r="AA261" s="52"/>
      <c r="AB261" s="9"/>
      <c r="AC261" s="9"/>
      <c r="AD261" s="9"/>
      <c r="AE261" s="9"/>
      <c r="AF261" s="9"/>
    </row>
    <row r="262">
      <c r="A262" s="158">
        <v>1.0</v>
      </c>
      <c r="B262" s="159" t="s">
        <v>2453</v>
      </c>
      <c r="C262" s="44">
        <v>258.0</v>
      </c>
      <c r="D262" s="160">
        <v>8.0</v>
      </c>
      <c r="E262" s="160" t="s">
        <v>2429</v>
      </c>
      <c r="F262" s="162" t="str">
        <f>HYPERLINK("https://www.suara.com/entertainment/2019/07/17/111830/hotman-paris-rela-beri-farhat-abbas-berlian-kalau-bisa-buktikan-hal-ini ","sumber")</f>
        <v>sumber</v>
      </c>
      <c r="G262" s="162" t="str">
        <f t="shared" si="1"/>
        <v>lokasi</v>
      </c>
      <c r="H262" s="159">
        <v>239.0</v>
      </c>
      <c r="I262" s="44">
        <v>1.0</v>
      </c>
      <c r="J262" s="160">
        <v>1.0</v>
      </c>
      <c r="K262" s="164" t="s">
        <v>2454</v>
      </c>
      <c r="L262" s="44">
        <v>0.0</v>
      </c>
      <c r="M262" s="44">
        <v>-1.0</v>
      </c>
      <c r="N262" s="166">
        <v>0.0</v>
      </c>
      <c r="O262" s="44">
        <v>0.0</v>
      </c>
      <c r="P262" s="44">
        <v>0.0</v>
      </c>
      <c r="Q262" s="44">
        <v>0.0</v>
      </c>
      <c r="R262" s="44">
        <v>1.0</v>
      </c>
      <c r="S262" s="175"/>
      <c r="T262" s="44">
        <v>0.0</v>
      </c>
      <c r="U262" s="44">
        <v>0.0</v>
      </c>
      <c r="V262" s="44">
        <v>0.0</v>
      </c>
      <c r="W262" s="45"/>
      <c r="X262" s="45"/>
      <c r="Y262" s="45"/>
      <c r="Z262" s="9"/>
      <c r="AA262" s="52"/>
      <c r="AB262" s="9"/>
      <c r="AC262" s="9"/>
      <c r="AD262" s="9"/>
      <c r="AE262" s="9"/>
      <c r="AF262" s="9"/>
    </row>
    <row r="263">
      <c r="A263" s="189">
        <v>1.0</v>
      </c>
      <c r="B263" s="190" t="s">
        <v>2455</v>
      </c>
      <c r="C263" s="55">
        <v>259.0</v>
      </c>
      <c r="D263" s="169">
        <v>1.0</v>
      </c>
      <c r="E263" s="170">
        <v>43776.0</v>
      </c>
      <c r="F263" s="171" t="str">
        <f>HYPERLINK("https://news.detik.com/berita/d-4619370/fenomena-gay-lesbian-di-lapas-komisi-iii-dukung-sarana-bilik-asmara ","sumber")</f>
        <v>sumber</v>
      </c>
      <c r="G263" s="171" t="str">
        <f t="shared" si="1"/>
        <v>lokasi</v>
      </c>
      <c r="H263" s="168">
        <v>373.0</v>
      </c>
      <c r="I263" s="55">
        <v>4.0</v>
      </c>
      <c r="J263" s="169">
        <v>3.0</v>
      </c>
      <c r="K263" s="172" t="s">
        <v>2456</v>
      </c>
      <c r="L263" s="55">
        <v>0.0</v>
      </c>
      <c r="M263" s="55">
        <v>0.0</v>
      </c>
      <c r="N263" s="173">
        <v>0.0</v>
      </c>
      <c r="O263" s="55">
        <v>0.0</v>
      </c>
      <c r="P263" s="55">
        <v>0.0</v>
      </c>
      <c r="Q263" s="55" t="s">
        <v>61</v>
      </c>
      <c r="R263" s="55" t="s">
        <v>192</v>
      </c>
      <c r="S263" s="174"/>
      <c r="T263" s="55">
        <v>0.0</v>
      </c>
      <c r="U263" s="55">
        <v>0.0</v>
      </c>
      <c r="V263" s="55">
        <v>1.0</v>
      </c>
      <c r="W263" s="46"/>
      <c r="X263" s="46"/>
      <c r="Y263" s="55"/>
      <c r="Z263" s="30"/>
      <c r="AA263" s="30"/>
      <c r="AB263" s="31"/>
      <c r="AC263" s="31"/>
      <c r="AD263" s="31"/>
      <c r="AE263" s="31"/>
      <c r="AF263" s="31"/>
    </row>
    <row r="264">
      <c r="A264" s="158">
        <v>1.0</v>
      </c>
      <c r="B264" s="159" t="s">
        <v>2457</v>
      </c>
      <c r="C264" s="44">
        <v>260.0</v>
      </c>
      <c r="D264" s="160">
        <v>4.0</v>
      </c>
      <c r="E264" s="160" t="s">
        <v>2458</v>
      </c>
      <c r="F264" s="162" t="str">
        <f>HYPERLINK("https://www.liputan6.com/health/read/4023078/hari-hepatitis-sedunia-sudah-ada-obat-untuk-hepatitis-c ","sumber")</f>
        <v>sumber</v>
      </c>
      <c r="G264" s="162" t="str">
        <f t="shared" si="1"/>
        <v>lokasi</v>
      </c>
      <c r="H264" s="159">
        <v>295.0</v>
      </c>
      <c r="I264" s="44">
        <v>5.0</v>
      </c>
      <c r="J264" s="160">
        <v>3.0</v>
      </c>
      <c r="K264" s="164" t="s">
        <v>2459</v>
      </c>
      <c r="L264" s="44">
        <v>0.0</v>
      </c>
      <c r="M264" s="44">
        <v>0.0</v>
      </c>
      <c r="N264" s="166">
        <v>0.0</v>
      </c>
      <c r="O264" s="44">
        <v>0.0</v>
      </c>
      <c r="P264" s="44">
        <v>0.0</v>
      </c>
      <c r="Q264" s="44" t="s">
        <v>61</v>
      </c>
      <c r="R264" s="44" t="s">
        <v>62</v>
      </c>
      <c r="S264" s="175"/>
      <c r="T264" s="44">
        <v>0.0</v>
      </c>
      <c r="U264" s="44">
        <v>0.0</v>
      </c>
      <c r="V264" s="44">
        <v>1.0</v>
      </c>
      <c r="W264" s="45"/>
      <c r="X264" s="45"/>
      <c r="Y264" s="45"/>
      <c r="Z264" s="9"/>
      <c r="AA264" s="52"/>
      <c r="AB264" s="9"/>
      <c r="AC264" s="9"/>
      <c r="AD264" s="9"/>
      <c r="AE264" s="9"/>
      <c r="AF264" s="9"/>
    </row>
    <row r="265">
      <c r="A265" s="158">
        <v>1.0</v>
      </c>
      <c r="B265" s="159" t="s">
        <v>2460</v>
      </c>
      <c r="C265" s="44">
        <v>261.0</v>
      </c>
      <c r="D265" s="160">
        <v>3.0</v>
      </c>
      <c r="E265" s="161">
        <v>43473.0</v>
      </c>
      <c r="F265" s="162" t="str">
        <f>HYPERLINK("https://celebrity.okezone.com/read/2019/08/01/33/2086273/dipanggil-muhammad-fatah-lucinta-luna-iya ","sumber")</f>
        <v>sumber</v>
      </c>
      <c r="G265" s="162" t="str">
        <f t="shared" si="1"/>
        <v>lokasi</v>
      </c>
      <c r="H265" s="159">
        <v>325.0</v>
      </c>
      <c r="I265" s="44">
        <v>2.0</v>
      </c>
      <c r="J265" s="160">
        <v>3.0</v>
      </c>
      <c r="K265" s="164" t="s">
        <v>2395</v>
      </c>
      <c r="L265" s="44">
        <v>0.0</v>
      </c>
      <c r="M265" s="44">
        <v>0.0</v>
      </c>
      <c r="N265" s="166">
        <v>0.0</v>
      </c>
      <c r="O265" s="44">
        <v>0.0</v>
      </c>
      <c r="P265" s="44">
        <v>0.0</v>
      </c>
      <c r="Q265" s="44">
        <v>2.0</v>
      </c>
      <c r="R265" s="44">
        <v>0.0</v>
      </c>
      <c r="S265" s="175"/>
      <c r="T265" s="44">
        <v>0.0</v>
      </c>
      <c r="U265" s="44">
        <v>0.0</v>
      </c>
      <c r="V265" s="44">
        <v>0.0</v>
      </c>
      <c r="W265" s="45"/>
      <c r="X265" s="45"/>
      <c r="Y265" s="45"/>
      <c r="Z265" s="9"/>
      <c r="AA265" s="52"/>
      <c r="AB265" s="9"/>
      <c r="AC265" s="9"/>
      <c r="AD265" s="9"/>
      <c r="AE265" s="9"/>
      <c r="AF265" s="9"/>
    </row>
    <row r="266">
      <c r="A266" s="189">
        <v>1.0</v>
      </c>
      <c r="B266" s="190" t="s">
        <v>2461</v>
      </c>
      <c r="C266" s="55">
        <v>262.0</v>
      </c>
      <c r="D266" s="169">
        <v>8.0</v>
      </c>
      <c r="E266" s="170">
        <v>43473.0</v>
      </c>
      <c r="F266" s="171" t="str">
        <f>HYPERLINK("https://www.suara.com/health/2019/08/01/152000/millendaru-sudah-cangkok-rahim-hati-hati-risikonya-bisa-mengancam-jiwa ","sumber")</f>
        <v>sumber</v>
      </c>
      <c r="G266" s="171" t="str">
        <f t="shared" si="1"/>
        <v>lokasi</v>
      </c>
      <c r="H266" s="168">
        <v>307.0</v>
      </c>
      <c r="I266" s="55">
        <v>2.0</v>
      </c>
      <c r="J266" s="169">
        <v>3.0</v>
      </c>
      <c r="K266" s="172" t="s">
        <v>2462</v>
      </c>
      <c r="L266" s="55">
        <v>0.0</v>
      </c>
      <c r="M266" s="55">
        <v>0.0</v>
      </c>
      <c r="N266" s="173">
        <v>0.0</v>
      </c>
      <c r="O266" s="55">
        <v>0.0</v>
      </c>
      <c r="P266" s="55">
        <v>-1.0</v>
      </c>
      <c r="Q266" s="55" t="s">
        <v>119</v>
      </c>
      <c r="R266" s="55" t="s">
        <v>62</v>
      </c>
      <c r="S266" s="174"/>
      <c r="T266" s="55">
        <v>0.0</v>
      </c>
      <c r="U266" s="55">
        <v>0.0</v>
      </c>
      <c r="V266" s="55">
        <v>0.0</v>
      </c>
      <c r="W266" s="46"/>
      <c r="X266" s="46"/>
      <c r="Y266" s="55"/>
      <c r="Z266" s="30"/>
      <c r="AA266" s="30"/>
      <c r="AB266" s="31"/>
      <c r="AC266" s="31"/>
      <c r="AD266" s="31"/>
      <c r="AE266" s="31"/>
      <c r="AF266" s="31"/>
    </row>
    <row r="267">
      <c r="A267" s="176">
        <v>1.0</v>
      </c>
      <c r="B267" s="196" t="s">
        <v>40</v>
      </c>
      <c r="C267" s="178">
        <v>263.0</v>
      </c>
      <c r="D267" s="179">
        <v>2.0</v>
      </c>
      <c r="E267" s="179" t="s">
        <v>665</v>
      </c>
      <c r="F267" s="180" t="str">
        <f>HYPERLINK("https://www.cnnindonesia.com/internasional/20190823130811-134-424068/as-eksekusi-mati-pelaku-pembunuhan-tiga-gay ","sumber")</f>
        <v>sumber</v>
      </c>
      <c r="G267" s="180" t="str">
        <f t="shared" si="1"/>
        <v>lokasi</v>
      </c>
      <c r="H267" s="177">
        <v>297.0</v>
      </c>
      <c r="I267" s="178">
        <v>1.0</v>
      </c>
      <c r="J267" s="179">
        <v>3.0</v>
      </c>
      <c r="K267" s="181"/>
      <c r="L267" s="178">
        <v>0.0</v>
      </c>
      <c r="M267" s="188">
        <v>0.0</v>
      </c>
      <c r="N267" s="182">
        <v>0.0</v>
      </c>
      <c r="O267" s="178">
        <v>0.0</v>
      </c>
      <c r="P267" s="178">
        <v>0.0</v>
      </c>
      <c r="Q267" s="178"/>
      <c r="R267" s="178"/>
      <c r="S267" s="183"/>
      <c r="T267" s="178">
        <v>0.0</v>
      </c>
      <c r="U267" s="178">
        <v>0.0</v>
      </c>
      <c r="V267" s="178">
        <v>0.0</v>
      </c>
      <c r="W267" s="184"/>
      <c r="X267" s="184"/>
      <c r="Y267" s="178"/>
      <c r="Z267" s="185"/>
      <c r="AA267" s="185"/>
      <c r="AB267" s="186"/>
      <c r="AC267" s="186"/>
      <c r="AD267" s="186"/>
      <c r="AE267" s="186"/>
      <c r="AF267" s="186"/>
    </row>
    <row r="268">
      <c r="A268" s="158">
        <v>1.0</v>
      </c>
      <c r="B268" s="159" t="s">
        <v>1589</v>
      </c>
      <c r="C268" s="44">
        <v>264.0</v>
      </c>
      <c r="D268" s="160">
        <v>3.0</v>
      </c>
      <c r="E268" s="161">
        <v>43532.0</v>
      </c>
      <c r="F268" s="162" t="str">
        <f>HYPERLINK("https://nasional.okezone.com/read/2019/08/03/337/2087270/90-persen-pelaku-kejahatan-seksual-pada-anak-merupakan-orang-terdekat ","sumber")</f>
        <v>sumber</v>
      </c>
      <c r="G268" s="162" t="str">
        <f t="shared" si="1"/>
        <v>lokasi</v>
      </c>
      <c r="H268" s="159">
        <v>190.0</v>
      </c>
      <c r="I268" s="44">
        <v>3.0</v>
      </c>
      <c r="J268" s="160">
        <v>1.0</v>
      </c>
      <c r="K268" s="164" t="s">
        <v>2463</v>
      </c>
      <c r="L268" s="44">
        <v>0.0</v>
      </c>
      <c r="M268" s="44">
        <v>0.0</v>
      </c>
      <c r="N268" s="166">
        <v>0.0</v>
      </c>
      <c r="O268" s="44">
        <v>0.0</v>
      </c>
      <c r="P268" s="44">
        <v>0.0</v>
      </c>
      <c r="Q268" s="44">
        <v>0.0</v>
      </c>
      <c r="R268" s="44">
        <v>0.0</v>
      </c>
      <c r="S268" s="175"/>
      <c r="T268" s="44">
        <v>0.0</v>
      </c>
      <c r="U268" s="44">
        <v>0.0</v>
      </c>
      <c r="V268" s="44">
        <v>1.0</v>
      </c>
      <c r="W268" s="45"/>
      <c r="X268" s="45"/>
      <c r="Y268" s="45"/>
      <c r="Z268" s="9"/>
      <c r="AA268" s="52"/>
      <c r="AB268" s="9"/>
      <c r="AC268" s="9"/>
      <c r="AD268" s="9"/>
      <c r="AE268" s="9"/>
      <c r="AF268" s="9"/>
    </row>
    <row r="269">
      <c r="A269" s="152">
        <v>2.0</v>
      </c>
      <c r="B269" s="153" t="s">
        <v>2464</v>
      </c>
      <c r="C269" s="47">
        <v>265.0</v>
      </c>
      <c r="D269" s="154">
        <v>7.0</v>
      </c>
      <c r="E269" s="155">
        <v>43716.0</v>
      </c>
      <c r="F269" s="156" t="str">
        <f>HYPERLINK("https://www.tribunnews.com/metropolitan/2019/08/09/terapis-terbaik-dari-berbagai-daerah-ikut-lomba-teknik-spa-tingkat-nasional-di-jakarta ","sumber")</f>
        <v>sumber</v>
      </c>
      <c r="G269" s="156" t="str">
        <f t="shared" si="1"/>
        <v>lokasi</v>
      </c>
      <c r="H269" s="153">
        <v>220.0</v>
      </c>
      <c r="I269" s="48"/>
      <c r="J269" s="154">
        <v>3.0</v>
      </c>
      <c r="K269" s="165"/>
      <c r="L269" s="48"/>
      <c r="M269" s="48"/>
      <c r="N269" s="48"/>
      <c r="O269" s="48"/>
      <c r="P269" s="48"/>
      <c r="Q269" s="48"/>
      <c r="R269" s="48"/>
      <c r="S269" s="165"/>
      <c r="T269" s="48"/>
      <c r="U269" s="48"/>
      <c r="V269" s="48"/>
      <c r="W269" s="48"/>
      <c r="X269" s="48"/>
      <c r="Y269" s="47"/>
      <c r="Z269" s="43"/>
      <c r="AA269" s="51"/>
      <c r="AB269" s="51"/>
      <c r="AC269" s="51"/>
      <c r="AD269" s="51"/>
      <c r="AE269" s="51"/>
      <c r="AF269" s="51"/>
    </row>
    <row r="270">
      <c r="A270" s="152">
        <v>2.0</v>
      </c>
      <c r="B270" s="153" t="s">
        <v>2465</v>
      </c>
      <c r="C270" s="47">
        <v>266.0</v>
      </c>
      <c r="D270" s="154">
        <v>5.0</v>
      </c>
      <c r="E270" s="155">
        <v>43777.0</v>
      </c>
      <c r="F270" s="156" t="str">
        <f>HYPERLINK("https://tirto.id/sinopsis-my-only-one-ep-51-52-trans-tv-do-ran-tahu-siapa-ayahnya-ef4M ","sumber")</f>
        <v>sumber</v>
      </c>
      <c r="G270" s="156" t="str">
        <f t="shared" si="1"/>
        <v>lokasi</v>
      </c>
      <c r="H270" s="153">
        <v>545.0</v>
      </c>
      <c r="I270" s="48"/>
      <c r="J270" s="154">
        <v>3.0</v>
      </c>
      <c r="K270" s="165"/>
      <c r="L270" s="48"/>
      <c r="M270" s="48"/>
      <c r="N270" s="48"/>
      <c r="O270" s="48"/>
      <c r="P270" s="48"/>
      <c r="Q270" s="48"/>
      <c r="R270" s="48"/>
      <c r="S270" s="165"/>
      <c r="T270" s="48"/>
      <c r="U270" s="48"/>
      <c r="V270" s="48"/>
      <c r="W270" s="48"/>
      <c r="X270" s="48"/>
      <c r="Y270" s="47"/>
      <c r="Z270" s="43"/>
      <c r="AA270" s="51"/>
      <c r="AB270" s="51"/>
      <c r="AC270" s="51"/>
      <c r="AD270" s="51"/>
      <c r="AE270" s="51"/>
      <c r="AF270" s="51"/>
    </row>
    <row r="271">
      <c r="A271" s="158">
        <v>1.0</v>
      </c>
      <c r="B271" s="159" t="s">
        <v>2466</v>
      </c>
      <c r="C271" s="44">
        <v>267.0</v>
      </c>
      <c r="D271" s="160">
        <v>8.0</v>
      </c>
      <c r="E271" s="160" t="s">
        <v>2090</v>
      </c>
      <c r="F271" s="162" t="str">
        <f>HYPERLINK("https://jateng.suara.com/read/2019/08/13/151633/waria-se-solo-dukung-gibran-putra-jokowi-ikut-pilkada-2020-dia-peduli-kami ","sumber")</f>
        <v>sumber</v>
      </c>
      <c r="G271" s="162" t="str">
        <f t="shared" si="1"/>
        <v>lokasi</v>
      </c>
      <c r="H271" s="159">
        <v>398.0</v>
      </c>
      <c r="I271" s="44">
        <v>3.0</v>
      </c>
      <c r="J271" s="160">
        <v>3.0</v>
      </c>
      <c r="K271" s="164" t="s">
        <v>2467</v>
      </c>
      <c r="L271" s="44">
        <v>0.0</v>
      </c>
      <c r="M271" s="44">
        <v>0.0</v>
      </c>
      <c r="N271" s="166">
        <v>0.0</v>
      </c>
      <c r="O271" s="44">
        <v>0.0</v>
      </c>
      <c r="P271" s="44">
        <v>0.0</v>
      </c>
      <c r="Q271" s="44">
        <v>2.0</v>
      </c>
      <c r="R271" s="44">
        <v>1.0</v>
      </c>
      <c r="S271" s="164" t="s">
        <v>2468</v>
      </c>
      <c r="T271" s="44">
        <v>1.0</v>
      </c>
      <c r="U271" s="44">
        <v>0.0</v>
      </c>
      <c r="V271" s="44">
        <v>1.0</v>
      </c>
      <c r="W271" s="45"/>
      <c r="X271" s="45"/>
      <c r="Y271" s="45"/>
      <c r="Z271" s="9"/>
      <c r="AA271" s="52"/>
      <c r="AB271" s="9"/>
      <c r="AC271" s="9"/>
      <c r="AD271" s="9"/>
      <c r="AE271" s="9"/>
      <c r="AF271" s="9"/>
    </row>
    <row r="272">
      <c r="A272" s="158">
        <v>1.0</v>
      </c>
      <c r="B272" s="159" t="s">
        <v>2469</v>
      </c>
      <c r="C272" s="44">
        <v>268.0</v>
      </c>
      <c r="D272" s="160">
        <v>5.0</v>
      </c>
      <c r="E272" s="160" t="s">
        <v>2090</v>
      </c>
      <c r="F272" s="162" t="str">
        <f>HYPERLINK("https://tirto.id/imdb-revisi-kebijakan-soal-nama-lahir-profesional-industri-hiburan-egcS ","sumber")</f>
        <v>sumber</v>
      </c>
      <c r="G272" s="162" t="str">
        <f t="shared" si="1"/>
        <v>lokasi</v>
      </c>
      <c r="H272" s="159">
        <v>388.0</v>
      </c>
      <c r="I272" s="44">
        <v>4.0</v>
      </c>
      <c r="J272" s="160">
        <v>3.0</v>
      </c>
      <c r="K272" s="164" t="s">
        <v>2470</v>
      </c>
      <c r="L272" s="44">
        <v>0.0</v>
      </c>
      <c r="M272" s="44">
        <v>0.0</v>
      </c>
      <c r="N272" s="166">
        <v>0.0</v>
      </c>
      <c r="O272" s="44">
        <v>0.0</v>
      </c>
      <c r="P272" s="44">
        <v>0.0</v>
      </c>
      <c r="Q272" s="44">
        <v>0.0</v>
      </c>
      <c r="R272" s="44">
        <v>0.0</v>
      </c>
      <c r="S272" s="175"/>
      <c r="T272" s="44">
        <v>0.0</v>
      </c>
      <c r="U272" s="44">
        <v>0.0</v>
      </c>
      <c r="V272" s="44">
        <v>1.0</v>
      </c>
      <c r="W272" s="45"/>
      <c r="X272" s="45"/>
      <c r="Y272" s="45"/>
      <c r="Z272" s="9"/>
      <c r="AA272" s="52"/>
      <c r="AB272" s="9"/>
      <c r="AC272" s="9"/>
      <c r="AD272" s="9"/>
      <c r="AE272" s="9"/>
      <c r="AF272" s="9"/>
    </row>
    <row r="273">
      <c r="A273" s="152">
        <v>2.0</v>
      </c>
      <c r="B273" s="153" t="s">
        <v>2471</v>
      </c>
      <c r="C273" s="47">
        <v>269.0</v>
      </c>
      <c r="D273" s="154">
        <v>1.0</v>
      </c>
      <c r="E273" s="154" t="s">
        <v>2472</v>
      </c>
      <c r="F273" s="156" t="str">
        <f>HYPERLINK("https://hot.detik.com/celeb/d-4671908/liburan-bareng-rezky-aditya-masih-rindu-citra-kirana ","sumber")</f>
        <v>sumber</v>
      </c>
      <c r="G273" s="156" t="str">
        <f t="shared" si="1"/>
        <v>lokasi</v>
      </c>
      <c r="H273" s="153">
        <v>1514.0</v>
      </c>
      <c r="I273" s="48"/>
      <c r="J273" s="154">
        <v>3.0</v>
      </c>
      <c r="K273" s="165"/>
      <c r="L273" s="48"/>
      <c r="M273" s="48"/>
      <c r="N273" s="48"/>
      <c r="O273" s="48"/>
      <c r="P273" s="48"/>
      <c r="Q273" s="48"/>
      <c r="R273" s="48"/>
      <c r="S273" s="165"/>
      <c r="T273" s="48"/>
      <c r="U273" s="48"/>
      <c r="V273" s="48"/>
      <c r="W273" s="48"/>
      <c r="X273" s="48"/>
      <c r="Y273" s="47"/>
      <c r="Z273" s="43"/>
      <c r="AA273" s="43"/>
      <c r="AB273" s="51"/>
      <c r="AC273" s="51"/>
      <c r="AD273" s="51"/>
      <c r="AE273" s="51"/>
      <c r="AF273" s="51"/>
    </row>
    <row r="274">
      <c r="A274" s="158">
        <v>1.0</v>
      </c>
      <c r="B274" s="159" t="s">
        <v>2473</v>
      </c>
      <c r="C274" s="44">
        <v>270.0</v>
      </c>
      <c r="D274" s="160">
        <v>4.0</v>
      </c>
      <c r="E274" s="160" t="s">
        <v>306</v>
      </c>
      <c r="F274" s="162" t="str">
        <f>HYPERLINK("https://hot.liputan6.com/read/4046518/pelaku-kejahatan-seksual-bakal-dihukum-kebiri-kimia-ini-4-faktanya ","sumber")</f>
        <v>sumber</v>
      </c>
      <c r="G274" s="162" t="str">
        <f t="shared" si="1"/>
        <v>lokasi</v>
      </c>
      <c r="H274" s="159">
        <v>775.0</v>
      </c>
      <c r="I274" s="44">
        <v>4.0</v>
      </c>
      <c r="J274" s="160">
        <v>3.0</v>
      </c>
      <c r="K274" s="164" t="s">
        <v>2474</v>
      </c>
      <c r="L274" s="44">
        <v>0.0</v>
      </c>
      <c r="M274" s="44">
        <v>0.0</v>
      </c>
      <c r="N274" s="166">
        <v>0.0</v>
      </c>
      <c r="O274" s="44">
        <v>0.0</v>
      </c>
      <c r="P274" s="44">
        <v>0.0</v>
      </c>
      <c r="Q274" s="44" t="s">
        <v>202</v>
      </c>
      <c r="R274" s="44" t="s">
        <v>202</v>
      </c>
      <c r="S274" s="175"/>
      <c r="T274" s="44">
        <v>0.0</v>
      </c>
      <c r="U274" s="44">
        <v>0.0</v>
      </c>
      <c r="V274" s="44">
        <v>1.0</v>
      </c>
      <c r="W274" s="45"/>
      <c r="X274" s="45"/>
      <c r="Y274" s="45"/>
      <c r="Z274" s="9"/>
      <c r="AA274" s="52"/>
      <c r="AB274" s="9"/>
      <c r="AC274" s="9"/>
      <c r="AD274" s="9"/>
      <c r="AE274" s="9"/>
      <c r="AF274" s="9"/>
    </row>
    <row r="275">
      <c r="A275" s="152">
        <v>2.0</v>
      </c>
      <c r="B275" s="153" t="s">
        <v>2475</v>
      </c>
      <c r="C275" s="47">
        <v>271.0</v>
      </c>
      <c r="D275" s="154">
        <v>4.0</v>
      </c>
      <c r="E275" s="154" t="s">
        <v>315</v>
      </c>
      <c r="F275" s="156" t="str">
        <f>HYPERLINK("https://www.liputan6.com/showbiz/read/4047574/pernah-jadi-presiden-hingga-gay-peran-apa-lagi-yang-dicari-mathias-muchus ","sumber")</f>
        <v>sumber</v>
      </c>
      <c r="G275" s="156" t="str">
        <f t="shared" si="1"/>
        <v>lokasi</v>
      </c>
      <c r="H275" s="153">
        <v>302.0</v>
      </c>
      <c r="I275" s="48"/>
      <c r="J275" s="154">
        <v>3.0</v>
      </c>
      <c r="K275" s="165"/>
      <c r="L275" s="48"/>
      <c r="M275" s="48"/>
      <c r="N275" s="48"/>
      <c r="O275" s="48"/>
      <c r="P275" s="48"/>
      <c r="Q275" s="48"/>
      <c r="R275" s="48"/>
      <c r="S275" s="165"/>
      <c r="T275" s="48"/>
      <c r="U275" s="48"/>
      <c r="V275" s="48"/>
      <c r="W275" s="48"/>
      <c r="X275" s="48"/>
      <c r="Y275" s="47"/>
      <c r="Z275" s="43"/>
      <c r="AA275" s="51"/>
      <c r="AB275" s="51"/>
      <c r="AC275" s="51"/>
      <c r="AD275" s="51"/>
      <c r="AE275" s="51"/>
      <c r="AF275" s="51"/>
    </row>
    <row r="276">
      <c r="A276" s="158">
        <v>1.0</v>
      </c>
      <c r="B276" s="159" t="s">
        <v>2476</v>
      </c>
      <c r="C276" s="44">
        <v>272.0</v>
      </c>
      <c r="D276" s="160">
        <v>7.0</v>
      </c>
      <c r="E276" s="160" t="s">
        <v>315</v>
      </c>
      <c r="F276" s="162" t="str">
        <f>HYPERLINK("https://www.tribunnews.com/regional/2019/08/27/waria-lubuklinggau-ungkap-detik-detik-pembunuhan-pukul-kepala-korban-lalu-hujani-tusukan ","sumber")</f>
        <v>sumber</v>
      </c>
      <c r="G276" s="162" t="str">
        <f t="shared" si="1"/>
        <v>lokasi</v>
      </c>
      <c r="H276" s="159">
        <v>107.0</v>
      </c>
      <c r="I276" s="44">
        <v>1.0</v>
      </c>
      <c r="J276" s="160">
        <v>3.0</v>
      </c>
      <c r="K276" s="164" t="s">
        <v>2477</v>
      </c>
      <c r="L276" s="44">
        <v>0.0</v>
      </c>
      <c r="M276" s="44">
        <v>1.0</v>
      </c>
      <c r="N276" s="44">
        <v>-1.0</v>
      </c>
      <c r="O276" s="44">
        <v>0.0</v>
      </c>
      <c r="P276" s="44">
        <v>0.0</v>
      </c>
      <c r="Q276" s="44" t="s">
        <v>814</v>
      </c>
      <c r="R276" s="44" t="s">
        <v>202</v>
      </c>
      <c r="S276" s="175"/>
      <c r="T276" s="44">
        <v>0.0</v>
      </c>
      <c r="U276" s="44">
        <v>0.0</v>
      </c>
      <c r="V276" s="44">
        <v>0.0</v>
      </c>
      <c r="W276" s="45"/>
      <c r="X276" s="45"/>
      <c r="Y276" s="45"/>
      <c r="Z276" s="9"/>
      <c r="AA276" s="52"/>
      <c r="AB276" s="9"/>
      <c r="AC276" s="9"/>
      <c r="AD276" s="9"/>
      <c r="AE276" s="9"/>
      <c r="AF276" s="9"/>
    </row>
    <row r="277">
      <c r="A277" s="158">
        <v>1.0</v>
      </c>
      <c r="B277" s="159" t="s">
        <v>2478</v>
      </c>
      <c r="C277" s="44">
        <v>273.0</v>
      </c>
      <c r="D277" s="160">
        <v>3.0</v>
      </c>
      <c r="E277" s="160" t="s">
        <v>2479</v>
      </c>
      <c r="F277" s="162" t="str">
        <f>HYPERLINK("https://news.okezone.com/read/2019/08/28/610/2097625/ini-motif-waria-tega-habisi-nyawa-pemilik-salon-kecantikan-di-lubuk-linggau ","sumber")</f>
        <v>sumber</v>
      </c>
      <c r="G277" s="162" t="str">
        <f t="shared" si="1"/>
        <v>lokasi</v>
      </c>
      <c r="H277" s="159">
        <v>272.0</v>
      </c>
      <c r="I277" s="44">
        <v>1.0</v>
      </c>
      <c r="J277" s="160">
        <v>3.0</v>
      </c>
      <c r="K277" s="164" t="s">
        <v>2480</v>
      </c>
      <c r="L277" s="44">
        <v>0.0</v>
      </c>
      <c r="M277" s="44">
        <v>-1.0</v>
      </c>
      <c r="N277" s="44">
        <v>-1.0</v>
      </c>
      <c r="O277" s="44">
        <v>0.0</v>
      </c>
      <c r="P277" s="44">
        <v>-1.0</v>
      </c>
      <c r="Q277" s="44">
        <v>0.0</v>
      </c>
      <c r="R277" s="44">
        <v>0.0</v>
      </c>
      <c r="S277" s="175"/>
      <c r="T277" s="44">
        <v>0.0</v>
      </c>
      <c r="U277" s="44">
        <v>-1.0</v>
      </c>
      <c r="V277" s="44">
        <v>0.0</v>
      </c>
      <c r="W277" s="45"/>
      <c r="X277" s="45"/>
      <c r="Y277" s="45"/>
      <c r="Z277" s="9"/>
      <c r="AA277" s="52"/>
      <c r="AB277" s="9"/>
      <c r="AC277" s="9"/>
      <c r="AD277" s="9"/>
      <c r="AE277" s="9"/>
      <c r="AF277" s="9"/>
    </row>
    <row r="278">
      <c r="A278" s="189">
        <v>1.0</v>
      </c>
      <c r="B278" s="190" t="s">
        <v>2481</v>
      </c>
      <c r="C278" s="55">
        <v>274.0</v>
      </c>
      <c r="D278" s="169">
        <v>8.0</v>
      </c>
      <c r="E278" s="170">
        <v>43654.0</v>
      </c>
      <c r="F278" s="171" t="str">
        <f>HYPERLINK("https://www.suara.com/lifestyle/2019/08/07/150346/viral-pasangan-gay-india-menikah-dengan-tradisi-hindu-kental ","sumber")</f>
        <v>sumber</v>
      </c>
      <c r="G278" s="171" t="str">
        <f t="shared" si="1"/>
        <v>lokasi</v>
      </c>
      <c r="H278" s="168">
        <v>294.0</v>
      </c>
      <c r="I278" s="55">
        <v>3.0</v>
      </c>
      <c r="J278" s="169">
        <v>3.0</v>
      </c>
      <c r="K278" s="172" t="s">
        <v>2482</v>
      </c>
      <c r="L278" s="55">
        <v>0.0</v>
      </c>
      <c r="M278" s="55">
        <v>0.0</v>
      </c>
      <c r="N278" s="173">
        <v>0.0</v>
      </c>
      <c r="O278" s="55">
        <v>0.0</v>
      </c>
      <c r="P278" s="55">
        <v>-1.0</v>
      </c>
      <c r="Q278" s="55">
        <v>2.0</v>
      </c>
      <c r="R278" s="55">
        <v>1.0</v>
      </c>
      <c r="S278" s="174"/>
      <c r="T278" s="55">
        <v>0.0</v>
      </c>
      <c r="U278" s="55">
        <v>0.0</v>
      </c>
      <c r="V278" s="55">
        <v>1.0</v>
      </c>
      <c r="W278" s="46"/>
      <c r="X278" s="46"/>
      <c r="Y278" s="55"/>
      <c r="Z278" s="30"/>
      <c r="AA278" s="30"/>
      <c r="AB278" s="31"/>
      <c r="AC278" s="31"/>
      <c r="AD278" s="31"/>
      <c r="AE278" s="31"/>
      <c r="AF278" s="31"/>
    </row>
    <row r="279">
      <c r="A279" s="152">
        <v>2.0</v>
      </c>
      <c r="B279" s="153" t="s">
        <v>2483</v>
      </c>
      <c r="C279" s="47">
        <v>275.0</v>
      </c>
      <c r="D279" s="154">
        <v>2.0</v>
      </c>
      <c r="E279" s="155">
        <v>43474.0</v>
      </c>
      <c r="F279" s="156" t="str">
        <f>HYPERLINK("https://www.cnnindonesia.com/internasional/20190901202432-113-426627/paus-berencana-angkat-kardinal-dari-indonesia ","sumber")</f>
        <v>sumber</v>
      </c>
      <c r="G279" s="156" t="str">
        <f t="shared" si="1"/>
        <v>lokasi</v>
      </c>
      <c r="H279" s="153">
        <v>260.0</v>
      </c>
      <c r="I279" s="48"/>
      <c r="J279" s="154">
        <v>3.0</v>
      </c>
      <c r="K279" s="165"/>
      <c r="L279" s="48"/>
      <c r="M279" s="48"/>
      <c r="N279" s="48"/>
      <c r="O279" s="48"/>
      <c r="P279" s="48"/>
      <c r="Q279" s="48"/>
      <c r="R279" s="48"/>
      <c r="S279" s="165"/>
      <c r="T279" s="48"/>
      <c r="U279" s="48"/>
      <c r="V279" s="48"/>
      <c r="W279" s="48"/>
      <c r="X279" s="48"/>
      <c r="Y279" s="47"/>
      <c r="Z279" s="43"/>
      <c r="AA279" s="51"/>
      <c r="AB279" s="51"/>
      <c r="AC279" s="51"/>
      <c r="AD279" s="51"/>
      <c r="AE279" s="51"/>
      <c r="AF279" s="51"/>
    </row>
    <row r="280">
      <c r="A280" s="158">
        <v>1.0</v>
      </c>
      <c r="B280" s="159" t="s">
        <v>2484</v>
      </c>
      <c r="C280" s="44">
        <v>276.0</v>
      </c>
      <c r="D280" s="160">
        <v>1.0</v>
      </c>
      <c r="E280" s="161">
        <v>43533.0</v>
      </c>
      <c r="F280" s="162" t="str">
        <f>HYPERLINK("https://hot.detik.com/celeb/d-4691764/dulu-berkoar-intim-dengan-youtuber-kini-dj-bebby-fey-kok-diam ","sumber")</f>
        <v>sumber</v>
      </c>
      <c r="G280" s="162" t="str">
        <f t="shared" si="1"/>
        <v>lokasi</v>
      </c>
      <c r="H280" s="159">
        <v>1478.0</v>
      </c>
      <c r="I280" s="44">
        <v>1.0</v>
      </c>
      <c r="J280" s="160">
        <v>1.0</v>
      </c>
      <c r="K280" s="164" t="s">
        <v>2485</v>
      </c>
      <c r="L280" s="44">
        <v>0.0</v>
      </c>
      <c r="M280" s="188">
        <v>0.0</v>
      </c>
      <c r="N280" s="166">
        <v>0.0</v>
      </c>
      <c r="O280" s="44">
        <v>0.0</v>
      </c>
      <c r="P280" s="44">
        <v>0.0</v>
      </c>
      <c r="Q280" s="44">
        <v>0.0</v>
      </c>
      <c r="R280" s="44">
        <v>0.0</v>
      </c>
      <c r="S280" s="175"/>
      <c r="T280" s="44">
        <v>0.0</v>
      </c>
      <c r="U280" s="44">
        <v>0.0</v>
      </c>
      <c r="V280" s="44">
        <v>0.0</v>
      </c>
      <c r="W280" s="45"/>
      <c r="X280" s="45"/>
      <c r="Y280" s="45"/>
      <c r="Z280" s="9"/>
      <c r="AA280" s="52"/>
      <c r="AB280" s="9"/>
      <c r="AC280" s="9"/>
      <c r="AD280" s="9"/>
      <c r="AE280" s="9"/>
      <c r="AF280" s="9"/>
    </row>
    <row r="281">
      <c r="A281" s="152">
        <v>2.0</v>
      </c>
      <c r="B281" s="153" t="s">
        <v>2486</v>
      </c>
      <c r="C281" s="47">
        <v>277.0</v>
      </c>
      <c r="D281" s="154">
        <v>10.0</v>
      </c>
      <c r="E281" s="155">
        <v>43533.0</v>
      </c>
      <c r="F281" s="156" t="str">
        <f>HYPERLINK("https://nasional.tempo.co/read/1243313/banser-laporkan-pembicara-parade-ukhuwah-ke-polisi ","sumber")</f>
        <v>sumber</v>
      </c>
      <c r="G281" s="156" t="str">
        <f t="shared" si="1"/>
        <v>lokasi</v>
      </c>
      <c r="H281" s="153">
        <v>251.0</v>
      </c>
      <c r="I281" s="48"/>
      <c r="J281" s="154">
        <v>3.0</v>
      </c>
      <c r="K281" s="165"/>
      <c r="L281" s="48"/>
      <c r="M281" s="48"/>
      <c r="N281" s="48"/>
      <c r="O281" s="48"/>
      <c r="P281" s="48"/>
      <c r="Q281" s="48"/>
      <c r="R281" s="48"/>
      <c r="S281" s="165"/>
      <c r="T281" s="48"/>
      <c r="U281" s="48"/>
      <c r="V281" s="48"/>
      <c r="W281" s="48"/>
      <c r="X281" s="48"/>
      <c r="Y281" s="47"/>
      <c r="Z281" s="43"/>
      <c r="AA281" s="51"/>
      <c r="AB281" s="51"/>
      <c r="AC281" s="51"/>
      <c r="AD281" s="51"/>
      <c r="AE281" s="51"/>
      <c r="AF281" s="51"/>
    </row>
    <row r="282">
      <c r="A282" s="158">
        <v>1.0</v>
      </c>
      <c r="B282" s="159" t="s">
        <v>2487</v>
      </c>
      <c r="C282" s="44">
        <v>278.0</v>
      </c>
      <c r="D282" s="160">
        <v>8.0</v>
      </c>
      <c r="E282" s="160" t="s">
        <v>2488</v>
      </c>
      <c r="F282" s="162" t="str">
        <f>HYPERLINK("https://www.suara.com/news/2019/09/21/194641/ciuman-di-hadapan-demonstran-anti-lgbt-pasangan-gay-ini-viral ","sumber")</f>
        <v>sumber</v>
      </c>
      <c r="G282" s="162" t="str">
        <f t="shared" si="1"/>
        <v>lokasi</v>
      </c>
      <c r="H282" s="159">
        <v>238.0</v>
      </c>
      <c r="I282" s="44">
        <v>2.0</v>
      </c>
      <c r="J282" s="160">
        <v>3.0</v>
      </c>
      <c r="K282" s="164" t="s">
        <v>2489</v>
      </c>
      <c r="L282" s="44">
        <v>0.0</v>
      </c>
      <c r="M282" s="44">
        <v>0.0</v>
      </c>
      <c r="N282" s="166">
        <v>0.0</v>
      </c>
      <c r="O282" s="44">
        <v>0.0</v>
      </c>
      <c r="P282" s="44">
        <v>0.0</v>
      </c>
      <c r="Q282" s="44">
        <v>2.0</v>
      </c>
      <c r="R282" s="44">
        <v>1.0</v>
      </c>
      <c r="S282" s="175"/>
      <c r="T282" s="44">
        <v>0.0</v>
      </c>
      <c r="U282" s="44">
        <v>0.0</v>
      </c>
      <c r="V282" s="44">
        <v>0.0</v>
      </c>
      <c r="W282" s="45"/>
      <c r="X282" s="45"/>
      <c r="Y282" s="45"/>
      <c r="Z282" s="9"/>
      <c r="AA282" s="52"/>
      <c r="AB282" s="9"/>
      <c r="AC282" s="9"/>
      <c r="AD282" s="9"/>
      <c r="AE282" s="9"/>
      <c r="AF282" s="9"/>
    </row>
    <row r="283">
      <c r="A283" s="152">
        <v>2.0</v>
      </c>
      <c r="B283" s="153" t="s">
        <v>2490</v>
      </c>
      <c r="C283" s="47">
        <v>279.0</v>
      </c>
      <c r="D283" s="154">
        <v>8.0</v>
      </c>
      <c r="E283" s="154" t="s">
        <v>2491</v>
      </c>
      <c r="F283" s="156" t="str">
        <f>HYPERLINK("https://www.suara.com/news/2019/09/27/104301/jadi-buronan-anak-stm-ini-komentar-lucu-denny-siregar ","sumber")</f>
        <v>sumber</v>
      </c>
      <c r="G283" s="156" t="str">
        <f t="shared" si="1"/>
        <v>lokasi</v>
      </c>
      <c r="H283" s="153">
        <v>273.0</v>
      </c>
      <c r="I283" s="48"/>
      <c r="J283" s="154">
        <v>3.0</v>
      </c>
      <c r="K283" s="165"/>
      <c r="L283" s="48"/>
      <c r="M283" s="48"/>
      <c r="N283" s="48"/>
      <c r="O283" s="48"/>
      <c r="P283" s="48"/>
      <c r="Q283" s="48"/>
      <c r="R283" s="48"/>
      <c r="S283" s="165"/>
      <c r="T283" s="48"/>
      <c r="U283" s="48"/>
      <c r="V283" s="48"/>
      <c r="W283" s="48"/>
      <c r="X283" s="48"/>
      <c r="Y283" s="47"/>
      <c r="Z283" s="43"/>
      <c r="AA283" s="51"/>
      <c r="AB283" s="51"/>
      <c r="AC283" s="51"/>
      <c r="AD283" s="51"/>
      <c r="AE283" s="51"/>
      <c r="AF283" s="51"/>
    </row>
    <row r="284">
      <c r="A284" s="158">
        <v>1.0</v>
      </c>
      <c r="B284" s="159" t="s">
        <v>2492</v>
      </c>
      <c r="C284" s="44">
        <v>280.0</v>
      </c>
      <c r="D284" s="160">
        <v>4.0</v>
      </c>
      <c r="E284" s="161">
        <v>43586.0</v>
      </c>
      <c r="F284" s="162" t="str">
        <f>HYPERLINK("https://www.liputan6.com/regional/read/3863980/ungkap-rantai-prostitusi-online-artis-va-menginap-di-polda-jatim-malam-ini ","sumber")</f>
        <v>sumber</v>
      </c>
      <c r="G284" s="162" t="str">
        <f t="shared" si="1"/>
        <v>lokasi</v>
      </c>
      <c r="H284" s="159">
        <v>166.0</v>
      </c>
      <c r="I284" s="44">
        <v>1.0</v>
      </c>
      <c r="J284" s="160">
        <v>1.0</v>
      </c>
      <c r="K284" s="164" t="s">
        <v>2493</v>
      </c>
      <c r="L284" s="44">
        <v>0.0</v>
      </c>
      <c r="M284" s="44">
        <v>-1.0</v>
      </c>
      <c r="N284" s="166">
        <v>0.0</v>
      </c>
      <c r="O284" s="44">
        <v>0.0</v>
      </c>
      <c r="P284" s="44">
        <v>0.0</v>
      </c>
      <c r="Q284" s="44">
        <v>0.0</v>
      </c>
      <c r="R284" s="44">
        <v>0.0</v>
      </c>
      <c r="S284" s="175"/>
      <c r="T284" s="44">
        <v>0.0</v>
      </c>
      <c r="U284" s="44">
        <v>0.0</v>
      </c>
      <c r="V284" s="44">
        <v>0.0</v>
      </c>
      <c r="W284" s="45"/>
      <c r="X284" s="45"/>
      <c r="Y284" s="45"/>
      <c r="Z284" s="9"/>
      <c r="AA284" s="52"/>
      <c r="AB284" s="9"/>
      <c r="AC284" s="9"/>
      <c r="AD284" s="9"/>
      <c r="AE284" s="9"/>
      <c r="AF284" s="9"/>
    </row>
    <row r="285">
      <c r="A285" s="158">
        <v>1.0</v>
      </c>
      <c r="B285" s="159" t="s">
        <v>2494</v>
      </c>
      <c r="C285" s="44">
        <v>281.0</v>
      </c>
      <c r="D285" s="160">
        <v>5.0</v>
      </c>
      <c r="E285" s="161">
        <v>43678.0</v>
      </c>
      <c r="F285" s="162" t="str">
        <f>HYPERLINK("https://tirto.id/menyimpan-rahasia-bisa-tingkatkan-stres-turunkan-kesehatan-mental-ddG5 ","sumber")</f>
        <v>sumber</v>
      </c>
      <c r="G285" s="162" t="str">
        <f t="shared" si="1"/>
        <v>lokasi</v>
      </c>
      <c r="H285" s="159">
        <v>524.0</v>
      </c>
      <c r="I285" s="44">
        <v>2.0</v>
      </c>
      <c r="J285" s="160">
        <v>2.0</v>
      </c>
      <c r="K285" s="164" t="s">
        <v>2495</v>
      </c>
      <c r="L285" s="44">
        <v>0.0</v>
      </c>
      <c r="M285" s="44">
        <v>0.0</v>
      </c>
      <c r="N285" s="166">
        <v>0.0</v>
      </c>
      <c r="O285" s="44">
        <v>0.0</v>
      </c>
      <c r="P285" s="44">
        <v>0.0</v>
      </c>
      <c r="Q285" s="44" t="s">
        <v>61</v>
      </c>
      <c r="R285" s="44" t="s">
        <v>61</v>
      </c>
      <c r="S285" s="175"/>
      <c r="T285" s="44">
        <v>0.0</v>
      </c>
      <c r="U285" s="44">
        <v>0.0</v>
      </c>
      <c r="V285" s="44">
        <v>0.0</v>
      </c>
      <c r="W285" s="45"/>
      <c r="X285" s="45"/>
      <c r="Y285" s="45"/>
      <c r="Z285" s="9"/>
      <c r="AA285" s="52"/>
      <c r="AB285" s="9"/>
      <c r="AC285" s="9"/>
      <c r="AD285" s="9"/>
      <c r="AE285" s="9"/>
      <c r="AF285" s="9"/>
    </row>
    <row r="286">
      <c r="A286" s="158">
        <v>1.0</v>
      </c>
      <c r="B286" s="159" t="s">
        <v>2496</v>
      </c>
      <c r="C286" s="44">
        <v>282.0</v>
      </c>
      <c r="D286" s="160">
        <v>8.0</v>
      </c>
      <c r="E286" s="161">
        <v>43770.0</v>
      </c>
      <c r="F286" s="162" t="str">
        <f>HYPERLINK("https://www.suara.com/entertainment/2019/01/11/113257/artis-ac-hingga-bs-bakal-diperiksa-kasus-prostitusi-siapa-mereka ","sumber")</f>
        <v>sumber</v>
      </c>
      <c r="G286" s="162" t="str">
        <f t="shared" si="1"/>
        <v>lokasi</v>
      </c>
      <c r="H286" s="159">
        <v>160.0</v>
      </c>
      <c r="I286" s="44">
        <v>1.0</v>
      </c>
      <c r="J286" s="160">
        <v>1.0</v>
      </c>
      <c r="K286" s="164" t="s">
        <v>2497</v>
      </c>
      <c r="L286" s="44">
        <v>0.0</v>
      </c>
      <c r="M286" s="44">
        <v>-1.0</v>
      </c>
      <c r="N286" s="166">
        <v>0.0</v>
      </c>
      <c r="O286" s="44">
        <v>0.0</v>
      </c>
      <c r="P286" s="44">
        <v>0.0</v>
      </c>
      <c r="Q286" s="44">
        <v>0.0</v>
      </c>
      <c r="R286" s="44">
        <v>0.0</v>
      </c>
      <c r="S286" s="175"/>
      <c r="T286" s="44">
        <v>0.0</v>
      </c>
      <c r="U286" s="44">
        <v>0.0</v>
      </c>
      <c r="V286" s="44">
        <v>0.0</v>
      </c>
      <c r="W286" s="45"/>
      <c r="X286" s="45"/>
      <c r="Y286" s="45"/>
      <c r="Z286" s="9"/>
      <c r="AA286" s="52"/>
      <c r="AB286" s="9"/>
      <c r="AC286" s="9"/>
      <c r="AD286" s="9"/>
      <c r="AE286" s="9"/>
      <c r="AF286" s="9"/>
    </row>
    <row r="287">
      <c r="A287" s="158">
        <v>1.0</v>
      </c>
      <c r="B287" s="159" t="s">
        <v>2498</v>
      </c>
      <c r="C287" s="44">
        <v>283.0</v>
      </c>
      <c r="D287" s="160">
        <v>10.0</v>
      </c>
      <c r="E287" s="161">
        <v>43770.0</v>
      </c>
      <c r="F287" s="162" t="str">
        <f>HYPERLINK("https://bisnis.tempo.co/read/1164035/bpjs-ketenagakerjaan-skandal-eks-pejabat-tak-pengaruhi-kinerja ","sumber")</f>
        <v>sumber</v>
      </c>
      <c r="G287" s="162" t="str">
        <f t="shared" si="1"/>
        <v>lokasi</v>
      </c>
      <c r="H287" s="159">
        <v>230.0</v>
      </c>
      <c r="I287" s="44">
        <v>1.0</v>
      </c>
      <c r="J287" s="160">
        <v>1.0</v>
      </c>
      <c r="K287" s="164" t="s">
        <v>2499</v>
      </c>
      <c r="L287" s="44">
        <v>0.0</v>
      </c>
      <c r="M287" s="44">
        <v>-1.0</v>
      </c>
      <c r="N287" s="166">
        <v>0.0</v>
      </c>
      <c r="O287" s="44">
        <v>0.0</v>
      </c>
      <c r="P287" s="44">
        <v>0.0</v>
      </c>
      <c r="Q287" s="44">
        <v>0.0</v>
      </c>
      <c r="R287" s="44">
        <v>0.0</v>
      </c>
      <c r="S287" s="175"/>
      <c r="T287" s="44">
        <v>0.0</v>
      </c>
      <c r="U287" s="44">
        <v>0.0</v>
      </c>
      <c r="V287" s="44">
        <v>0.0</v>
      </c>
      <c r="W287" s="45"/>
      <c r="X287" s="45"/>
      <c r="Y287" s="45"/>
      <c r="Z287" s="9"/>
      <c r="AA287" s="52"/>
      <c r="AB287" s="9"/>
      <c r="AC287" s="9"/>
      <c r="AD287" s="9"/>
      <c r="AE287" s="9"/>
      <c r="AF287" s="9"/>
    </row>
    <row r="288">
      <c r="A288" s="158">
        <v>1.0</v>
      </c>
      <c r="B288" s="159" t="s">
        <v>2500</v>
      </c>
      <c r="C288" s="44">
        <v>284.0</v>
      </c>
      <c r="D288" s="160">
        <v>10.0</v>
      </c>
      <c r="E288" s="213">
        <v>43800.0</v>
      </c>
      <c r="F288" s="162" t="str">
        <f>HYPERLINK("https://seleb.tempo.co/read/1164205/vanessa-angel-disebut-terima-transfer-15-kali-dari-muncikari ","sumber")</f>
        <v>sumber</v>
      </c>
      <c r="G288" s="162" t="str">
        <f t="shared" si="1"/>
        <v>lokasi</v>
      </c>
      <c r="H288" s="159">
        <v>235.0</v>
      </c>
      <c r="I288" s="44">
        <v>1.0</v>
      </c>
      <c r="J288" s="160">
        <v>1.0</v>
      </c>
      <c r="K288" s="164" t="s">
        <v>2501</v>
      </c>
      <c r="L288" s="44">
        <v>0.0</v>
      </c>
      <c r="M288" s="44">
        <v>-1.0</v>
      </c>
      <c r="N288" s="44">
        <v>-1.0</v>
      </c>
      <c r="O288" s="44">
        <v>0.0</v>
      </c>
      <c r="P288" s="44">
        <v>0.0</v>
      </c>
      <c r="Q288" s="44">
        <v>1.0</v>
      </c>
      <c r="R288" s="44">
        <v>0.0</v>
      </c>
      <c r="S288" s="175"/>
      <c r="T288" s="44">
        <v>0.0</v>
      </c>
      <c r="U288" s="44">
        <v>0.0</v>
      </c>
      <c r="V288" s="44">
        <v>0.0</v>
      </c>
      <c r="W288" s="45"/>
      <c r="X288" s="45"/>
      <c r="Y288" s="45"/>
      <c r="Z288" s="9"/>
      <c r="AA288" s="52"/>
      <c r="AB288" s="9"/>
      <c r="AC288" s="9"/>
      <c r="AD288" s="9"/>
      <c r="AE288" s="9"/>
      <c r="AF288" s="9"/>
    </row>
    <row r="289">
      <c r="A289" s="158">
        <v>1.0</v>
      </c>
      <c r="B289" s="159" t="s">
        <v>2502</v>
      </c>
      <c r="C289" s="44">
        <v>285.0</v>
      </c>
      <c r="D289" s="160">
        <v>6.0</v>
      </c>
      <c r="E289" s="160" t="s">
        <v>2503</v>
      </c>
      <c r="F289" s="162" t="str">
        <f>HYPERLINK("https://internasional.kompas.com/read/2019/01/17/13314941/mahasiswi-asal-israel-jadi-korban-penyerangan-orang-tak-dikenal-di ","sumber")</f>
        <v>sumber</v>
      </c>
      <c r="G289" s="162" t="str">
        <f t="shared" si="1"/>
        <v>lokasi</v>
      </c>
      <c r="H289" s="159">
        <v>308.0</v>
      </c>
      <c r="I289" s="44">
        <v>1.0</v>
      </c>
      <c r="J289" s="160">
        <v>1.0</v>
      </c>
      <c r="K289" s="164" t="s">
        <v>2504</v>
      </c>
      <c r="L289" s="44">
        <v>0.0</v>
      </c>
      <c r="M289" s="44">
        <v>-1.0</v>
      </c>
      <c r="N289" s="166">
        <v>0.0</v>
      </c>
      <c r="O289" s="44">
        <v>0.0</v>
      </c>
      <c r="P289" s="44">
        <v>0.0</v>
      </c>
      <c r="Q289" s="44">
        <v>0.0</v>
      </c>
      <c r="R289" s="44">
        <v>1.0</v>
      </c>
      <c r="S289" s="175"/>
      <c r="T289" s="44">
        <v>0.0</v>
      </c>
      <c r="U289" s="44">
        <v>0.0</v>
      </c>
      <c r="V289" s="44">
        <v>0.0</v>
      </c>
      <c r="W289" s="45"/>
      <c r="X289" s="45"/>
      <c r="Y289" s="45"/>
      <c r="Z289" s="9"/>
      <c r="AA289" s="52"/>
      <c r="AB289" s="9"/>
      <c r="AC289" s="9"/>
      <c r="AD289" s="9"/>
      <c r="AE289" s="9"/>
      <c r="AF289" s="9"/>
    </row>
    <row r="290">
      <c r="A290" s="158">
        <v>1.0</v>
      </c>
      <c r="B290" s="159" t="s">
        <v>2505</v>
      </c>
      <c r="C290" s="44">
        <v>286.0</v>
      </c>
      <c r="D290" s="160">
        <v>6.0</v>
      </c>
      <c r="E290" s="161">
        <v>43467.0</v>
      </c>
      <c r="F290" s="162" t="str">
        <f>HYPERLINK("https://regional.kompas.com/read/2019/02/01/14305321/tante-dan-kuasa-hukum-artis-va-jaminkan-diri-agar-artis-va-tak-ditahan ","sumber")</f>
        <v>sumber</v>
      </c>
      <c r="G290" s="162" t="str">
        <f t="shared" si="1"/>
        <v>lokasi</v>
      </c>
      <c r="H290" s="159">
        <v>230.0</v>
      </c>
      <c r="I290" s="44">
        <v>1.0</v>
      </c>
      <c r="J290" s="160">
        <v>1.0</v>
      </c>
      <c r="K290" s="164" t="s">
        <v>2506</v>
      </c>
      <c r="L290" s="44">
        <v>0.0</v>
      </c>
      <c r="M290" s="188">
        <v>0.0</v>
      </c>
      <c r="N290" s="166">
        <v>0.0</v>
      </c>
      <c r="O290" s="44">
        <v>0.0</v>
      </c>
      <c r="P290" s="44">
        <v>0.0</v>
      </c>
      <c r="Q290" s="44">
        <v>0.0</v>
      </c>
      <c r="R290" s="44">
        <v>0.0</v>
      </c>
      <c r="S290" s="175"/>
      <c r="T290" s="44">
        <v>0.0</v>
      </c>
      <c r="U290" s="44">
        <v>0.0</v>
      </c>
      <c r="V290" s="44">
        <v>0.0</v>
      </c>
      <c r="W290" s="45"/>
      <c r="X290" s="45"/>
      <c r="Y290" s="45"/>
      <c r="Z290" s="9"/>
      <c r="AA290" s="52"/>
      <c r="AB290" s="9"/>
      <c r="AC290" s="9"/>
      <c r="AD290" s="9"/>
      <c r="AE290" s="9"/>
      <c r="AF290" s="9"/>
    </row>
    <row r="291">
      <c r="A291" s="158">
        <v>1.0</v>
      </c>
      <c r="B291" s="159" t="s">
        <v>101</v>
      </c>
      <c r="C291" s="44">
        <v>287.0</v>
      </c>
      <c r="D291" s="160">
        <v>3.0</v>
      </c>
      <c r="E291" s="161">
        <v>43498.0</v>
      </c>
      <c r="F291" s="162" t="str">
        <f>HYPERLINK("https://celebrity.okezone.com/read/2019/01/31/33/2012177/kebohongan-berujung-bui-untuk-vanessa-angel ","sumber")</f>
        <v>sumber</v>
      </c>
      <c r="G291" s="162" t="str">
        <f t="shared" si="1"/>
        <v>lokasi</v>
      </c>
      <c r="H291" s="159">
        <v>839.0</v>
      </c>
      <c r="I291" s="44">
        <v>1.0</v>
      </c>
      <c r="J291" s="160">
        <v>1.0</v>
      </c>
      <c r="K291" s="164" t="s">
        <v>2507</v>
      </c>
      <c r="L291" s="44">
        <v>0.0</v>
      </c>
      <c r="M291" s="44">
        <v>1.0</v>
      </c>
      <c r="N291" s="166">
        <v>0.0</v>
      </c>
      <c r="O291" s="44">
        <v>0.0</v>
      </c>
      <c r="P291" s="44">
        <v>0.0</v>
      </c>
      <c r="Q291" s="44" t="s">
        <v>53</v>
      </c>
      <c r="R291" s="44" t="s">
        <v>53</v>
      </c>
      <c r="S291" s="175"/>
      <c r="T291" s="44">
        <v>0.0</v>
      </c>
      <c r="U291" s="44">
        <v>0.0</v>
      </c>
      <c r="V291" s="44">
        <v>0.0</v>
      </c>
      <c r="W291" s="45"/>
      <c r="X291" s="45"/>
      <c r="Y291" s="45"/>
      <c r="Z291" s="9"/>
      <c r="AA291" s="52"/>
      <c r="AB291" s="9"/>
      <c r="AC291" s="9"/>
      <c r="AD291" s="9"/>
      <c r="AE291" s="9"/>
      <c r="AF291" s="9"/>
    </row>
    <row r="292">
      <c r="A292" s="152">
        <v>2.0</v>
      </c>
      <c r="B292" s="153" t="s">
        <v>2508</v>
      </c>
      <c r="C292" s="47">
        <v>288.0</v>
      </c>
      <c r="D292" s="154">
        <v>7.0</v>
      </c>
      <c r="E292" s="155">
        <v>43498.0</v>
      </c>
      <c r="F292" s="156" t="str">
        <f>HYPERLINK("http://www.tribunnews.com/pilpres-2019/2019/02/02/boni-hargens-dorong-tabloid-indonesia-barokah-terus-diterbitkan ","sumber")</f>
        <v>sumber</v>
      </c>
      <c r="G292" s="156" t="str">
        <f t="shared" si="1"/>
        <v>lokasi</v>
      </c>
      <c r="H292" s="153">
        <v>281.0</v>
      </c>
      <c r="I292" s="48"/>
      <c r="J292" s="154">
        <v>1.0</v>
      </c>
      <c r="K292" s="165"/>
      <c r="L292" s="48"/>
      <c r="M292" s="48"/>
      <c r="N292" s="48"/>
      <c r="O292" s="48"/>
      <c r="P292" s="48"/>
      <c r="Q292" s="48"/>
      <c r="R292" s="48"/>
      <c r="S292" s="165"/>
      <c r="T292" s="48"/>
      <c r="U292" s="48"/>
      <c r="V292" s="48"/>
      <c r="W292" s="48"/>
      <c r="X292" s="48"/>
      <c r="Y292" s="47"/>
      <c r="Z292" s="43"/>
      <c r="AA292" s="51"/>
      <c r="AB292" s="51"/>
      <c r="AC292" s="51"/>
      <c r="AD292" s="51"/>
      <c r="AE292" s="51"/>
      <c r="AF292" s="51"/>
    </row>
    <row r="293">
      <c r="A293" s="158">
        <v>1.0</v>
      </c>
      <c r="B293" s="159" t="s">
        <v>2509</v>
      </c>
      <c r="C293" s="44">
        <v>289.0</v>
      </c>
      <c r="D293" s="160">
        <v>2.0</v>
      </c>
      <c r="E293" s="161">
        <v>43557.0</v>
      </c>
      <c r="F293" s="162" t="str">
        <f>HYPERLINK("https://www.cnnindonesia.com/nasional/20190204211906-20-366502/kasus-pemerkosaan-mahasiswi-ugm-saat-kkn-berakhir-damai ","sumber")</f>
        <v>sumber</v>
      </c>
      <c r="G293" s="162" t="str">
        <f t="shared" si="1"/>
        <v>lokasi</v>
      </c>
      <c r="H293" s="159">
        <v>344.0</v>
      </c>
      <c r="I293" s="44">
        <v>1.0</v>
      </c>
      <c r="J293" s="160">
        <v>1.0</v>
      </c>
      <c r="K293" s="164" t="s">
        <v>1609</v>
      </c>
      <c r="L293" s="44">
        <v>0.0</v>
      </c>
      <c r="M293" s="44">
        <v>-1.0</v>
      </c>
      <c r="N293" s="166">
        <v>0.0</v>
      </c>
      <c r="O293" s="44">
        <v>0.0</v>
      </c>
      <c r="P293" s="44">
        <v>0.0</v>
      </c>
      <c r="Q293" s="44">
        <v>0.0</v>
      </c>
      <c r="R293" s="44">
        <v>0.0</v>
      </c>
      <c r="S293" s="175"/>
      <c r="T293" s="44">
        <v>0.0</v>
      </c>
      <c r="U293" s="44">
        <v>0.0</v>
      </c>
      <c r="V293" s="44">
        <v>0.0</v>
      </c>
      <c r="W293" s="45"/>
      <c r="X293" s="45"/>
      <c r="Y293" s="45"/>
      <c r="Z293" s="9"/>
      <c r="AA293" s="52"/>
      <c r="AB293" s="9"/>
      <c r="AC293" s="9"/>
      <c r="AD293" s="9"/>
      <c r="AE293" s="9"/>
      <c r="AF293" s="9"/>
    </row>
    <row r="294">
      <c r="A294" s="176">
        <v>1.0</v>
      </c>
      <c r="B294" s="196" t="s">
        <v>2510</v>
      </c>
      <c r="C294" s="178">
        <v>290.0</v>
      </c>
      <c r="D294" s="179">
        <v>5.0</v>
      </c>
      <c r="E294" s="195">
        <v>43557.0</v>
      </c>
      <c r="F294" s="180" t="str">
        <f>HYPERLINK("https://tirto.id/tarik-ulur-kepentingan-dalam-kasus-pelecehan-ra-dfQT ","sumber")</f>
        <v>sumber</v>
      </c>
      <c r="G294" s="180" t="str">
        <f t="shared" si="1"/>
        <v>lokasi</v>
      </c>
      <c r="H294" s="177">
        <v>709.0</v>
      </c>
      <c r="I294" s="178">
        <v>1.0</v>
      </c>
      <c r="J294" s="179">
        <v>1.0</v>
      </c>
      <c r="K294" s="181" t="s">
        <v>2511</v>
      </c>
      <c r="L294" s="178">
        <v>0.0</v>
      </c>
      <c r="M294" s="178">
        <v>1.0</v>
      </c>
      <c r="N294" s="182">
        <v>0.0</v>
      </c>
      <c r="O294" s="178">
        <v>0.0</v>
      </c>
      <c r="P294" s="178">
        <v>0.0</v>
      </c>
      <c r="Q294" s="178" t="s">
        <v>277</v>
      </c>
      <c r="R294" s="178" t="s">
        <v>2512</v>
      </c>
      <c r="S294" s="183"/>
      <c r="T294" s="178">
        <v>0.0</v>
      </c>
      <c r="U294" s="178">
        <v>0.0</v>
      </c>
      <c r="V294" s="178">
        <v>0.0</v>
      </c>
      <c r="W294" s="184"/>
      <c r="X294" s="184"/>
      <c r="Y294" s="178"/>
      <c r="Z294" s="185"/>
      <c r="AA294" s="185"/>
      <c r="AB294" s="186"/>
      <c r="AC294" s="186"/>
      <c r="AD294" s="186"/>
      <c r="AE294" s="186"/>
      <c r="AF294" s="186"/>
    </row>
    <row r="295">
      <c r="A295" s="158">
        <v>1.0</v>
      </c>
      <c r="B295" s="159" t="s">
        <v>2513</v>
      </c>
      <c r="C295" s="44">
        <v>291.0</v>
      </c>
      <c r="D295" s="160">
        <v>4.0</v>
      </c>
      <c r="E295" s="161">
        <v>43771.0</v>
      </c>
      <c r="F295" s="162" t="str">
        <f>HYPERLINK("https://www.liputan6.com/showbiz/read/3892464/dikaitkan-dengan-kasus-prostitusi-online-ratna-pandita-rugi-ratusan-juta-rupiah ","sumber")</f>
        <v>sumber</v>
      </c>
      <c r="G295" s="162" t="str">
        <f t="shared" si="1"/>
        <v>lokasi</v>
      </c>
      <c r="H295" s="159">
        <v>217.0</v>
      </c>
      <c r="I295" s="44">
        <v>1.0</v>
      </c>
      <c r="J295" s="160">
        <v>1.0</v>
      </c>
      <c r="K295" s="164" t="s">
        <v>2514</v>
      </c>
      <c r="L295" s="44">
        <v>0.0</v>
      </c>
      <c r="M295" s="44">
        <v>-1.0</v>
      </c>
      <c r="N295" s="166">
        <v>0.0</v>
      </c>
      <c r="O295" s="44">
        <v>0.0</v>
      </c>
      <c r="P295" s="44">
        <v>0.0</v>
      </c>
      <c r="Q295" s="44">
        <v>2.0</v>
      </c>
      <c r="R295" s="44">
        <v>1.0</v>
      </c>
      <c r="S295" s="175"/>
      <c r="T295" s="44">
        <v>0.0</v>
      </c>
      <c r="U295" s="44">
        <v>0.0</v>
      </c>
      <c r="V295" s="44">
        <v>0.0</v>
      </c>
      <c r="W295" s="45"/>
      <c r="X295" s="45"/>
      <c r="Y295" s="45"/>
      <c r="Z295" s="9"/>
      <c r="AA295" s="52"/>
      <c r="AB295" s="9"/>
      <c r="AC295" s="9"/>
      <c r="AD295" s="9"/>
      <c r="AE295" s="9"/>
      <c r="AF295" s="9"/>
    </row>
    <row r="296">
      <c r="A296" s="158">
        <v>1.0</v>
      </c>
      <c r="B296" s="159" t="s">
        <v>2515</v>
      </c>
      <c r="C296" s="44">
        <v>292.0</v>
      </c>
      <c r="D296" s="160">
        <v>4.0</v>
      </c>
      <c r="E296" s="161">
        <v>43801.0</v>
      </c>
      <c r="F296" s="162" t="str">
        <f>HYPERLINK("https://www.liputan6.com/health/read/3892876/catat-kondisi-kerja-yang-timbulkan-stres-berat ","sumber")</f>
        <v>sumber</v>
      </c>
      <c r="G296" s="162" t="str">
        <f t="shared" si="1"/>
        <v>lokasi</v>
      </c>
      <c r="H296" s="159">
        <v>350.0</v>
      </c>
      <c r="I296" s="44">
        <v>2.0</v>
      </c>
      <c r="J296" s="160">
        <v>1.0</v>
      </c>
      <c r="K296" s="164" t="s">
        <v>2516</v>
      </c>
      <c r="L296" s="44">
        <v>0.0</v>
      </c>
      <c r="M296" s="44">
        <v>0.0</v>
      </c>
      <c r="N296" s="166">
        <v>0.0</v>
      </c>
      <c r="O296" s="44">
        <v>0.0</v>
      </c>
      <c r="P296" s="44">
        <v>0.0</v>
      </c>
      <c r="Q296" s="44" t="s">
        <v>53</v>
      </c>
      <c r="R296" s="44" t="s">
        <v>392</v>
      </c>
      <c r="S296" s="175"/>
      <c r="T296" s="44">
        <v>0.0</v>
      </c>
      <c r="U296" s="44">
        <v>0.0</v>
      </c>
      <c r="V296" s="44">
        <v>0.0</v>
      </c>
      <c r="W296" s="45"/>
      <c r="X296" s="45"/>
      <c r="Y296" s="45"/>
      <c r="Z296" s="9"/>
      <c r="AA296" s="52"/>
      <c r="AB296" s="9"/>
      <c r="AC296" s="9"/>
      <c r="AD296" s="9"/>
      <c r="AE296" s="9"/>
      <c r="AF296" s="9"/>
    </row>
    <row r="297">
      <c r="A297" s="158">
        <v>1.0</v>
      </c>
      <c r="B297" s="159" t="s">
        <v>2517</v>
      </c>
      <c r="C297" s="44">
        <v>293.0</v>
      </c>
      <c r="D297" s="160">
        <v>8.0</v>
      </c>
      <c r="E297" s="160" t="s">
        <v>113</v>
      </c>
      <c r="F297" s="162" t="str">
        <f>HYPERLINK("https://www.suara.com/news/2019/02/14/181312/bunuh-diri-caleg-gerindra-ke-anak-mungkin-ini-yang-diinginkan-bapakmu ","sumber")</f>
        <v>sumber</v>
      </c>
      <c r="G297" s="162" t="str">
        <f t="shared" si="1"/>
        <v>lokasi</v>
      </c>
      <c r="H297" s="159">
        <v>226.0</v>
      </c>
      <c r="I297" s="44">
        <v>1.0</v>
      </c>
      <c r="J297" s="160">
        <v>1.0</v>
      </c>
      <c r="K297" s="164" t="s">
        <v>2518</v>
      </c>
      <c r="L297" s="44">
        <v>0.0</v>
      </c>
      <c r="M297" s="188">
        <v>0.0</v>
      </c>
      <c r="N297" s="44">
        <v>-1.0</v>
      </c>
      <c r="O297" s="44">
        <v>0.0</v>
      </c>
      <c r="P297" s="44">
        <v>-1.0</v>
      </c>
      <c r="Q297" s="44">
        <v>0.0</v>
      </c>
      <c r="R297" s="44">
        <v>0.0</v>
      </c>
      <c r="S297" s="175"/>
      <c r="T297" s="44">
        <v>0.0</v>
      </c>
      <c r="U297" s="44">
        <v>0.0</v>
      </c>
      <c r="V297" s="44">
        <v>0.0</v>
      </c>
      <c r="W297" s="45"/>
      <c r="X297" s="45"/>
      <c r="Y297" s="45"/>
      <c r="Z297" s="9"/>
      <c r="AA297" s="52"/>
      <c r="AB297" s="9"/>
      <c r="AC297" s="9"/>
      <c r="AD297" s="9"/>
      <c r="AE297" s="9"/>
      <c r="AF297" s="9"/>
    </row>
    <row r="298">
      <c r="A298" s="176">
        <v>1.0</v>
      </c>
      <c r="B298" s="196" t="s">
        <v>2519</v>
      </c>
      <c r="C298" s="178">
        <v>294.0</v>
      </c>
      <c r="D298" s="179">
        <v>2.0</v>
      </c>
      <c r="E298" s="179" t="s">
        <v>2152</v>
      </c>
      <c r="F298" s="180" t="str">
        <f>HYPERLINK("https://www.cnnindonesia.com/internasional/20190223181315-134-372088/kardinal-gereja-akui-arsip-soal-pastor-paedofil-dihancurkan ","sumber")</f>
        <v>sumber</v>
      </c>
      <c r="G298" s="180" t="str">
        <f t="shared" si="1"/>
        <v>lokasi</v>
      </c>
      <c r="H298" s="177">
        <v>299.0</v>
      </c>
      <c r="I298" s="178">
        <v>1.0</v>
      </c>
      <c r="J298" s="179">
        <v>1.0</v>
      </c>
      <c r="K298" s="181" t="s">
        <v>2520</v>
      </c>
      <c r="L298" s="178">
        <v>0.0</v>
      </c>
      <c r="M298" s="178">
        <v>1.0</v>
      </c>
      <c r="N298" s="182">
        <v>0.0</v>
      </c>
      <c r="O298" s="178">
        <v>0.0</v>
      </c>
      <c r="P298" s="178">
        <v>0.0</v>
      </c>
      <c r="Q298" s="178">
        <v>0.0</v>
      </c>
      <c r="R298" s="178">
        <v>-1.0</v>
      </c>
      <c r="S298" s="183"/>
      <c r="T298" s="178">
        <v>0.0</v>
      </c>
      <c r="U298" s="178">
        <v>0.0</v>
      </c>
      <c r="V298" s="178">
        <v>1.0</v>
      </c>
      <c r="W298" s="184"/>
      <c r="X298" s="184"/>
      <c r="Y298" s="178"/>
      <c r="Z298" s="185"/>
      <c r="AA298" s="185"/>
      <c r="AB298" s="186"/>
      <c r="AC298" s="186"/>
      <c r="AD298" s="186"/>
      <c r="AE298" s="186"/>
      <c r="AF298" s="186"/>
    </row>
    <row r="299">
      <c r="A299" s="158">
        <v>1.0</v>
      </c>
      <c r="B299" s="159" t="s">
        <v>2521</v>
      </c>
      <c r="C299" s="44">
        <v>295.0</v>
      </c>
      <c r="D299" s="160">
        <v>10.0</v>
      </c>
      <c r="E299" s="160" t="s">
        <v>476</v>
      </c>
      <c r="F299" s="162" t="str">
        <f>HYPERLINK("https://dunia.tempo.co/read/1177381/vatikan-punya-aturan-bagi-imam-yang-punya-anak-ini-alasannya ","sumber")</f>
        <v>sumber</v>
      </c>
      <c r="G299" s="162" t="str">
        <f t="shared" si="1"/>
        <v>lokasi</v>
      </c>
      <c r="H299" s="159">
        <v>284.0</v>
      </c>
      <c r="I299" s="44">
        <v>4.0</v>
      </c>
      <c r="J299" s="160">
        <v>1.0</v>
      </c>
      <c r="K299" s="164" t="s">
        <v>2522</v>
      </c>
      <c r="L299" s="44">
        <v>0.0</v>
      </c>
      <c r="M299" s="44">
        <v>0.0</v>
      </c>
      <c r="N299" s="166">
        <v>0.0</v>
      </c>
      <c r="O299" s="44">
        <v>0.0</v>
      </c>
      <c r="P299" s="44">
        <v>0.0</v>
      </c>
      <c r="Q299" s="44">
        <v>0.0</v>
      </c>
      <c r="R299" s="44">
        <v>0.0</v>
      </c>
      <c r="S299" s="175"/>
      <c r="T299" s="44">
        <v>0.0</v>
      </c>
      <c r="U299" s="44">
        <v>0.0</v>
      </c>
      <c r="V299" s="44">
        <v>1.0</v>
      </c>
      <c r="W299" s="45"/>
      <c r="X299" s="45"/>
      <c r="Y299" s="45"/>
      <c r="Z299" s="9"/>
      <c r="AA299" s="52"/>
      <c r="AB299" s="9"/>
      <c r="AC299" s="9"/>
      <c r="AD299" s="9"/>
      <c r="AE299" s="9"/>
      <c r="AF299" s="9"/>
    </row>
    <row r="300">
      <c r="A300" s="158">
        <v>1.0</v>
      </c>
      <c r="B300" s="159" t="s">
        <v>2523</v>
      </c>
      <c r="C300" s="44">
        <v>296.0</v>
      </c>
      <c r="D300" s="160">
        <v>6.0</v>
      </c>
      <c r="E300" s="160" t="s">
        <v>354</v>
      </c>
      <c r="F300" s="162" t="str">
        <f>HYPERLINK("https://bola.kompas.com/read/2019/02/21/13064568/persija-terancam-tanpa-penyerang-murni-saat-lawan-tira-persikabo ","sumber")</f>
        <v>sumber</v>
      </c>
      <c r="G300" s="162" t="str">
        <f t="shared" si="1"/>
        <v>lokasi</v>
      </c>
      <c r="H300" s="159">
        <v>240.0</v>
      </c>
      <c r="I300" s="44">
        <v>1.0</v>
      </c>
      <c r="J300" s="160">
        <v>1.0</v>
      </c>
      <c r="K300" s="164" t="s">
        <v>2524</v>
      </c>
      <c r="L300" s="44">
        <v>0.0</v>
      </c>
      <c r="M300" s="44">
        <v>-1.0</v>
      </c>
      <c r="N300" s="166">
        <v>0.0</v>
      </c>
      <c r="O300" s="44">
        <v>0.0</v>
      </c>
      <c r="P300" s="44">
        <v>0.0</v>
      </c>
      <c r="Q300" s="44">
        <v>0.0</v>
      </c>
      <c r="R300" s="44">
        <v>0.0</v>
      </c>
      <c r="S300" s="175"/>
      <c r="T300" s="44">
        <v>0.0</v>
      </c>
      <c r="U300" s="44">
        <v>0.0</v>
      </c>
      <c r="V300" s="44">
        <v>0.0</v>
      </c>
      <c r="W300" s="45"/>
      <c r="X300" s="45"/>
      <c r="Y300" s="45"/>
      <c r="Z300" s="9"/>
      <c r="AA300" s="52"/>
      <c r="AB300" s="9"/>
      <c r="AC300" s="9"/>
      <c r="AD300" s="9"/>
      <c r="AE300" s="9"/>
      <c r="AF300" s="9"/>
    </row>
    <row r="301">
      <c r="A301" s="158">
        <v>1.0</v>
      </c>
      <c r="B301" s="159" t="s">
        <v>2525</v>
      </c>
      <c r="C301" s="44">
        <v>297.0</v>
      </c>
      <c r="D301" s="160">
        <v>10.0</v>
      </c>
      <c r="E301" s="160" t="s">
        <v>469</v>
      </c>
      <c r="F301" s="162" t="str">
        <f>HYPERLINK("https://dunia.tempo.co/read/1179022/biarawati-katholik-kritik-uskup-di-konferensi-vatikan ","sumber")</f>
        <v>sumber</v>
      </c>
      <c r="G301" s="162" t="str">
        <f t="shared" si="1"/>
        <v>lokasi</v>
      </c>
      <c r="H301" s="159">
        <v>473.0</v>
      </c>
      <c r="I301" s="44">
        <v>1.0</v>
      </c>
      <c r="J301" s="160">
        <v>1.0</v>
      </c>
      <c r="K301" s="164" t="s">
        <v>2526</v>
      </c>
      <c r="L301" s="44">
        <v>0.0</v>
      </c>
      <c r="M301" s="44">
        <v>-1.0</v>
      </c>
      <c r="N301" s="166">
        <v>0.0</v>
      </c>
      <c r="O301" s="44">
        <v>0.0</v>
      </c>
      <c r="P301" s="44">
        <v>0.0</v>
      </c>
      <c r="Q301" s="44" t="s">
        <v>61</v>
      </c>
      <c r="R301" s="44" t="s">
        <v>192</v>
      </c>
      <c r="S301" s="175"/>
      <c r="T301" s="44">
        <v>0.0</v>
      </c>
      <c r="U301" s="44">
        <v>0.0</v>
      </c>
      <c r="V301" s="44">
        <v>1.0</v>
      </c>
      <c r="W301" s="45"/>
      <c r="X301" s="45"/>
      <c r="Y301" s="45"/>
      <c r="Z301" s="9"/>
      <c r="AA301" s="52"/>
      <c r="AB301" s="9"/>
      <c r="AC301" s="9"/>
      <c r="AD301" s="9"/>
      <c r="AE301" s="9"/>
      <c r="AF301" s="9"/>
    </row>
    <row r="302">
      <c r="A302" s="158">
        <v>1.0</v>
      </c>
      <c r="B302" s="159" t="s">
        <v>2527</v>
      </c>
      <c r="C302" s="44">
        <v>298.0</v>
      </c>
      <c r="D302" s="160">
        <v>7.0</v>
      </c>
      <c r="E302" s="160" t="s">
        <v>357</v>
      </c>
      <c r="F302" s="162" t="str">
        <f>HYPERLINK("http://www.tribunnews.com/internasional/2019/02/26/skandal-di-gereja-katolik-kardinal-george-pell-bersalah-atas-pelanggaran-seksual-di-australia ","sumber")</f>
        <v>sumber</v>
      </c>
      <c r="G302" s="162" t="str">
        <f t="shared" si="1"/>
        <v>lokasi</v>
      </c>
      <c r="H302" s="159">
        <v>198.0</v>
      </c>
      <c r="I302" s="44">
        <v>1.0</v>
      </c>
      <c r="J302" s="160">
        <v>1.0</v>
      </c>
      <c r="K302" s="164" t="s">
        <v>2528</v>
      </c>
      <c r="L302" s="44">
        <v>0.0</v>
      </c>
      <c r="M302" s="44">
        <v>-1.0</v>
      </c>
      <c r="N302" s="166">
        <v>0.0</v>
      </c>
      <c r="O302" s="44">
        <v>0.0</v>
      </c>
      <c r="P302" s="44">
        <v>0.0</v>
      </c>
      <c r="Q302" s="44">
        <v>0.0</v>
      </c>
      <c r="R302" s="44">
        <v>-1.0</v>
      </c>
      <c r="S302" s="175"/>
      <c r="T302" s="44">
        <v>0.0</v>
      </c>
      <c r="U302" s="44">
        <v>0.0</v>
      </c>
      <c r="V302" s="44">
        <v>0.0</v>
      </c>
      <c r="W302" s="45"/>
      <c r="X302" s="45"/>
      <c r="Y302" s="45"/>
      <c r="Z302" s="9"/>
      <c r="AA302" s="52"/>
      <c r="AB302" s="9"/>
      <c r="AC302" s="9"/>
      <c r="AD302" s="9"/>
      <c r="AE302" s="9"/>
      <c r="AF302" s="9"/>
    </row>
    <row r="303">
      <c r="A303" s="158">
        <v>1.0</v>
      </c>
      <c r="B303" s="159" t="s">
        <v>2529</v>
      </c>
      <c r="C303" s="44">
        <v>299.0</v>
      </c>
      <c r="D303" s="160">
        <v>10.0</v>
      </c>
      <c r="E303" s="160" t="s">
        <v>360</v>
      </c>
      <c r="F303" s="162" t="str">
        <f>HYPERLINK("https://bola.tempo.co/read/1180075/dituduh-lakukan-pemerkosaaan-ronaldo-justru-untung ","sumber")</f>
        <v>sumber</v>
      </c>
      <c r="G303" s="162" t="str">
        <f t="shared" si="1"/>
        <v>lokasi</v>
      </c>
      <c r="H303" s="159">
        <v>470.0</v>
      </c>
      <c r="I303" s="44">
        <v>1.0</v>
      </c>
      <c r="J303" s="160">
        <v>1.0</v>
      </c>
      <c r="K303" s="164"/>
      <c r="L303" s="44">
        <v>0.0</v>
      </c>
      <c r="M303" s="188">
        <v>0.0</v>
      </c>
      <c r="N303" s="166">
        <v>0.0</v>
      </c>
      <c r="O303" s="44">
        <v>0.0</v>
      </c>
      <c r="P303" s="44">
        <v>0.0</v>
      </c>
      <c r="Q303" s="44"/>
      <c r="R303" s="44"/>
      <c r="S303" s="175"/>
      <c r="T303" s="44">
        <v>0.0</v>
      </c>
      <c r="U303" s="44">
        <v>0.0</v>
      </c>
      <c r="V303" s="44">
        <v>0.0</v>
      </c>
      <c r="W303" s="45"/>
      <c r="X303" s="45"/>
      <c r="Y303" s="45"/>
      <c r="Z303" s="9"/>
      <c r="AA303" s="52"/>
      <c r="AB303" s="9"/>
      <c r="AC303" s="9"/>
      <c r="AD303" s="9"/>
      <c r="AE303" s="9"/>
      <c r="AF303" s="9"/>
    </row>
    <row r="304">
      <c r="A304" s="158">
        <v>1.0</v>
      </c>
      <c r="B304" s="159" t="s">
        <v>2530</v>
      </c>
      <c r="C304" s="44">
        <v>300.0</v>
      </c>
      <c r="D304" s="160">
        <v>1.0</v>
      </c>
      <c r="E304" s="161">
        <v>43558.0</v>
      </c>
      <c r="F304" s="162" t="str">
        <f>HYPERLINK("https://news.detik.com/abc-australia/d-4452769/cerita-salah-satu-anak-yang-jadi-korban-pelecehan-seks-kardinal-pell ","sumber")</f>
        <v>sumber</v>
      </c>
      <c r="G304" s="162" t="str">
        <f t="shared" si="1"/>
        <v>lokasi</v>
      </c>
      <c r="H304" s="159">
        <v>743.0</v>
      </c>
      <c r="I304" s="44">
        <v>1.0</v>
      </c>
      <c r="J304" s="160">
        <v>1.0</v>
      </c>
      <c r="K304" s="164" t="s">
        <v>2531</v>
      </c>
      <c r="L304" s="44">
        <v>0.0</v>
      </c>
      <c r="M304" s="188">
        <v>0.0</v>
      </c>
      <c r="N304" s="166">
        <v>0.0</v>
      </c>
      <c r="O304" s="44">
        <v>0.0</v>
      </c>
      <c r="P304" s="44">
        <v>0.0</v>
      </c>
      <c r="Q304" s="44" t="s">
        <v>53</v>
      </c>
      <c r="R304" s="44" t="s">
        <v>392</v>
      </c>
      <c r="S304" s="175"/>
      <c r="T304" s="44">
        <v>0.0</v>
      </c>
      <c r="U304" s="44">
        <v>0.0</v>
      </c>
      <c r="V304" s="44">
        <v>0.0</v>
      </c>
      <c r="W304" s="45"/>
      <c r="X304" s="45"/>
      <c r="Y304" s="45"/>
      <c r="Z304" s="9"/>
      <c r="AA304" s="52"/>
      <c r="AB304" s="9"/>
      <c r="AC304" s="9"/>
      <c r="AD304" s="9"/>
      <c r="AE304" s="9"/>
      <c r="AF304" s="9"/>
    </row>
    <row r="305">
      <c r="A305" s="152">
        <v>2.0</v>
      </c>
      <c r="B305" s="153" t="s">
        <v>1649</v>
      </c>
      <c r="C305" s="47">
        <v>301.0</v>
      </c>
      <c r="D305" s="154">
        <v>3.0</v>
      </c>
      <c r="E305" s="155">
        <v>43619.0</v>
      </c>
      <c r="F305" s="156" t="str">
        <f>HYPERLINK("https://celebrity.okezone.com/read/2019/03/06/33/2026702/sempat-dekat-della-perez-akui-diego-michiels-ingin-menikah ","sumber")</f>
        <v>sumber</v>
      </c>
      <c r="G305" s="156" t="str">
        <f t="shared" si="1"/>
        <v>lokasi</v>
      </c>
      <c r="H305" s="153">
        <v>307.0</v>
      </c>
      <c r="I305" s="48"/>
      <c r="J305" s="154">
        <v>1.0</v>
      </c>
      <c r="K305" s="165"/>
      <c r="L305" s="48"/>
      <c r="M305" s="48"/>
      <c r="N305" s="48"/>
      <c r="O305" s="48"/>
      <c r="P305" s="48"/>
      <c r="Q305" s="48"/>
      <c r="R305" s="48"/>
      <c r="S305" s="165"/>
      <c r="T305" s="48"/>
      <c r="U305" s="48"/>
      <c r="V305" s="48"/>
      <c r="W305" s="48"/>
      <c r="X305" s="48"/>
      <c r="Y305" s="47"/>
      <c r="Z305" s="43"/>
      <c r="AA305" s="51"/>
      <c r="AB305" s="51"/>
      <c r="AC305" s="51"/>
      <c r="AD305" s="51"/>
      <c r="AE305" s="51"/>
      <c r="AF305" s="51"/>
    </row>
    <row r="306">
      <c r="A306" s="158">
        <v>1.0</v>
      </c>
      <c r="B306" s="159" t="s">
        <v>2532</v>
      </c>
      <c r="C306" s="44">
        <v>302.0</v>
      </c>
      <c r="D306" s="160">
        <v>7.0</v>
      </c>
      <c r="E306" s="161">
        <v>43741.0</v>
      </c>
      <c r="F306" s="162" t="str">
        <f>HYPERLINK("http://www.tribunnews.com/seleb/2019/03/10/pernah-alami-kdrt-saat-jadi-istri-faisal-nasimuddin-emilia-mengaku-hanya-ingin-pertahankan-hak-anak ","sumber")</f>
        <v>sumber</v>
      </c>
      <c r="G306" s="162" t="str">
        <f t="shared" si="1"/>
        <v>lokasi</v>
      </c>
      <c r="H306" s="159">
        <v>123.0</v>
      </c>
      <c r="I306" s="44">
        <v>1.0</v>
      </c>
      <c r="J306" s="160">
        <v>1.0</v>
      </c>
      <c r="K306" s="164" t="s">
        <v>2533</v>
      </c>
      <c r="L306" s="44">
        <v>0.0</v>
      </c>
      <c r="M306" s="44">
        <v>-1.0</v>
      </c>
      <c r="N306" s="166">
        <v>0.0</v>
      </c>
      <c r="O306" s="44">
        <v>0.0</v>
      </c>
      <c r="P306" s="44">
        <v>-1.0</v>
      </c>
      <c r="Q306" s="44">
        <v>2.0</v>
      </c>
      <c r="R306" s="44">
        <v>0.0</v>
      </c>
      <c r="S306" s="175"/>
      <c r="T306" s="44">
        <v>0.0</v>
      </c>
      <c r="U306" s="44">
        <v>0.0</v>
      </c>
      <c r="V306" s="44">
        <v>0.0</v>
      </c>
      <c r="W306" s="45"/>
      <c r="X306" s="45"/>
      <c r="Y306" s="45"/>
      <c r="Z306" s="9"/>
      <c r="AA306" s="52"/>
      <c r="AB306" s="9"/>
      <c r="AC306" s="9"/>
      <c r="AD306" s="9"/>
      <c r="AE306" s="9"/>
      <c r="AF306" s="9"/>
    </row>
    <row r="307">
      <c r="A307" s="158">
        <v>1.0</v>
      </c>
      <c r="B307" s="159" t="s">
        <v>2534</v>
      </c>
      <c r="C307" s="44">
        <v>303.0</v>
      </c>
      <c r="D307" s="160">
        <v>10.0</v>
      </c>
      <c r="E307" s="160" t="s">
        <v>153</v>
      </c>
      <c r="F307" s="162" t="str">
        <f>HYPERLINK("https://dunia.tempo.co/read/1184731/pbb-800-orang-banunu-dibantai-2-minggu-sebelum-pemilu-di-kongo ","sumber")</f>
        <v>sumber</v>
      </c>
      <c r="G307" s="162" t="str">
        <f t="shared" si="1"/>
        <v>lokasi</v>
      </c>
      <c r="H307" s="159">
        <v>361.0</v>
      </c>
      <c r="I307" s="44">
        <v>1.0</v>
      </c>
      <c r="J307" s="160">
        <v>1.0</v>
      </c>
      <c r="K307" s="164" t="s">
        <v>2535</v>
      </c>
      <c r="L307" s="44">
        <v>0.0</v>
      </c>
      <c r="M307" s="44">
        <v>-1.0</v>
      </c>
      <c r="N307" s="166">
        <v>0.0</v>
      </c>
      <c r="O307" s="44">
        <v>0.0</v>
      </c>
      <c r="P307" s="44">
        <v>0.0</v>
      </c>
      <c r="Q307" s="44">
        <v>0.0</v>
      </c>
      <c r="R307" s="44">
        <v>0.0</v>
      </c>
      <c r="S307" s="175"/>
      <c r="T307" s="44">
        <v>0.0</v>
      </c>
      <c r="U307" s="44">
        <v>0.0</v>
      </c>
      <c r="V307" s="44">
        <v>1.0</v>
      </c>
      <c r="W307" s="45"/>
      <c r="X307" s="45"/>
      <c r="Y307" s="45"/>
      <c r="Z307" s="9"/>
      <c r="AA307" s="52"/>
      <c r="AB307" s="9"/>
      <c r="AC307" s="9"/>
      <c r="AD307" s="9"/>
      <c r="AE307" s="9"/>
      <c r="AF307" s="9"/>
    </row>
    <row r="308">
      <c r="A308" s="152">
        <v>2.0</v>
      </c>
      <c r="B308" s="153" t="s">
        <v>2536</v>
      </c>
      <c r="C308" s="47">
        <v>304.0</v>
      </c>
      <c r="D308" s="154">
        <v>4.0</v>
      </c>
      <c r="E308" s="154" t="s">
        <v>123</v>
      </c>
      <c r="F308" s="156" t="str">
        <f>HYPERLINK("https://www.liputan6.com/news/read/3917432/video-6-wanita-ditangkap-di-apartemen-kebagusan-city ","sumber")</f>
        <v>sumber</v>
      </c>
      <c r="G308" s="156" t="str">
        <f t="shared" si="1"/>
        <v>lokasi</v>
      </c>
      <c r="H308" s="153">
        <v>26.0</v>
      </c>
      <c r="I308" s="48"/>
      <c r="J308" s="154">
        <v>1.0</v>
      </c>
      <c r="K308" s="165"/>
      <c r="L308" s="48"/>
      <c r="M308" s="48"/>
      <c r="N308" s="47"/>
      <c r="O308" s="48"/>
      <c r="P308" s="48"/>
      <c r="Q308" s="48"/>
      <c r="R308" s="48"/>
      <c r="S308" s="165"/>
      <c r="T308" s="48"/>
      <c r="U308" s="48"/>
      <c r="V308" s="48"/>
      <c r="W308" s="48"/>
      <c r="X308" s="48"/>
      <c r="Y308" s="47"/>
      <c r="Z308" s="43"/>
      <c r="AA308" s="51"/>
      <c r="AB308" s="51"/>
      <c r="AC308" s="51"/>
      <c r="AD308" s="51"/>
      <c r="AE308" s="51"/>
      <c r="AF308" s="51"/>
    </row>
    <row r="309">
      <c r="A309" s="158">
        <v>1.0</v>
      </c>
      <c r="B309" s="159" t="s">
        <v>2537</v>
      </c>
      <c r="C309" s="44">
        <v>305.0</v>
      </c>
      <c r="D309" s="160">
        <v>4.0</v>
      </c>
      <c r="E309" s="160" t="s">
        <v>147</v>
      </c>
      <c r="F309" s="162" t="str">
        <f>HYPERLINK("https://www.liputan6.com/showbiz/read/3918430/seungri-bigbang-dituding-sediakan-psk-untuk-perusahaan-jepang ","sumber")</f>
        <v>sumber</v>
      </c>
      <c r="G309" s="162" t="str">
        <f t="shared" si="1"/>
        <v>lokasi</v>
      </c>
      <c r="H309" s="159">
        <v>248.0</v>
      </c>
      <c r="I309" s="44">
        <v>1.0</v>
      </c>
      <c r="J309" s="160">
        <v>1.0</v>
      </c>
      <c r="K309" s="164" t="s">
        <v>2538</v>
      </c>
      <c r="L309" s="44">
        <v>0.0</v>
      </c>
      <c r="M309" s="44">
        <v>-1.0</v>
      </c>
      <c r="N309" s="166">
        <v>0.0</v>
      </c>
      <c r="O309" s="44">
        <v>0.0</v>
      </c>
      <c r="P309" s="44">
        <v>0.0</v>
      </c>
      <c r="Q309" s="44">
        <v>0.0</v>
      </c>
      <c r="R309" s="44">
        <v>-1.0</v>
      </c>
      <c r="S309" s="175"/>
      <c r="T309" s="44">
        <v>0.0</v>
      </c>
      <c r="U309" s="44">
        <v>0.0</v>
      </c>
      <c r="V309" s="44">
        <v>0.0</v>
      </c>
      <c r="W309" s="45"/>
      <c r="X309" s="45"/>
      <c r="Y309" s="45"/>
      <c r="Z309" s="9"/>
      <c r="AA309" s="52"/>
      <c r="AB309" s="9"/>
      <c r="AC309" s="9"/>
      <c r="AD309" s="9"/>
      <c r="AE309" s="9"/>
      <c r="AF309" s="9"/>
    </row>
    <row r="310">
      <c r="A310" s="176">
        <v>1.0</v>
      </c>
      <c r="B310" s="196" t="s">
        <v>2539</v>
      </c>
      <c r="C310" s="178">
        <v>306.0</v>
      </c>
      <c r="D310" s="179">
        <v>1.0</v>
      </c>
      <c r="E310" s="195">
        <v>43741.0</v>
      </c>
      <c r="F310" s="180" t="str">
        <f>HYPERLINK("https://news.detik.com/berita/d-4460964/miris-abg-di-jakut-jual-sepupunya-ke-pria-hidung-belang-via-fb ","sumber")</f>
        <v>sumber</v>
      </c>
      <c r="G310" s="180" t="str">
        <f t="shared" si="1"/>
        <v>lokasi</v>
      </c>
      <c r="H310" s="177">
        <v>290.0</v>
      </c>
      <c r="I310" s="178">
        <v>1.0</v>
      </c>
      <c r="J310" s="179">
        <v>1.0</v>
      </c>
      <c r="K310" s="181" t="s">
        <v>2540</v>
      </c>
      <c r="L310" s="178">
        <v>0.0</v>
      </c>
      <c r="M310" s="178">
        <v>1.0</v>
      </c>
      <c r="N310" s="182">
        <v>0.0</v>
      </c>
      <c r="O310" s="178">
        <v>0.0</v>
      </c>
      <c r="P310" s="178">
        <v>-1.0</v>
      </c>
      <c r="Q310" s="178">
        <v>0.0</v>
      </c>
      <c r="R310" s="178">
        <v>0.0</v>
      </c>
      <c r="S310" s="183"/>
      <c r="T310" s="178">
        <v>0.0</v>
      </c>
      <c r="U310" s="178">
        <v>0.0</v>
      </c>
      <c r="V310" s="178">
        <v>0.0</v>
      </c>
      <c r="W310" s="184"/>
      <c r="X310" s="184"/>
      <c r="Y310" s="178"/>
      <c r="Z310" s="185"/>
      <c r="AA310" s="185"/>
      <c r="AB310" s="186"/>
      <c r="AC310" s="186"/>
      <c r="AD310" s="186"/>
      <c r="AE310" s="186"/>
      <c r="AF310" s="186"/>
    </row>
    <row r="311">
      <c r="A311" s="158">
        <v>1.0</v>
      </c>
      <c r="B311" s="159" t="s">
        <v>2541</v>
      </c>
      <c r="C311" s="44">
        <v>307.0</v>
      </c>
      <c r="D311" s="160">
        <v>2.0</v>
      </c>
      <c r="E311" s="160" t="s">
        <v>156</v>
      </c>
      <c r="F311" s="162" t="str">
        <f>HYPERLINK("https://www.cnnindonesia.com/internasional/20190321122620-113-379372/bayang-bayang-rasisme-di-selandia-baru ","sumber")</f>
        <v>sumber</v>
      </c>
      <c r="G311" s="162" t="str">
        <f t="shared" si="1"/>
        <v>lokasi</v>
      </c>
      <c r="H311" s="159">
        <v>335.0</v>
      </c>
      <c r="I311" s="44">
        <v>1.0</v>
      </c>
      <c r="J311" s="160">
        <v>1.0</v>
      </c>
      <c r="K311" s="164" t="s">
        <v>2542</v>
      </c>
      <c r="L311" s="44">
        <v>0.0</v>
      </c>
      <c r="M311" s="44">
        <v>1.0</v>
      </c>
      <c r="N311" s="166">
        <v>0.0</v>
      </c>
      <c r="O311" s="44">
        <v>0.0</v>
      </c>
      <c r="P311" s="44">
        <v>0.0</v>
      </c>
      <c r="Q311" s="44">
        <v>0.0</v>
      </c>
      <c r="R311" s="44">
        <v>1.0</v>
      </c>
      <c r="S311" s="175"/>
      <c r="T311" s="44">
        <v>0.0</v>
      </c>
      <c r="U311" s="44">
        <v>0.0</v>
      </c>
      <c r="V311" s="44">
        <v>1.0</v>
      </c>
      <c r="W311" s="45"/>
      <c r="X311" s="45"/>
      <c r="Y311" s="45"/>
      <c r="Z311" s="9"/>
      <c r="AA311" s="52"/>
      <c r="AB311" s="9"/>
      <c r="AC311" s="9"/>
      <c r="AD311" s="9"/>
      <c r="AE311" s="9"/>
      <c r="AF311" s="9"/>
    </row>
    <row r="312">
      <c r="A312" s="158">
        <v>1.0</v>
      </c>
      <c r="B312" s="159" t="s">
        <v>2543</v>
      </c>
      <c r="C312" s="44">
        <v>308.0</v>
      </c>
      <c r="D312" s="160">
        <v>9.0</v>
      </c>
      <c r="E312" s="160" t="s">
        <v>506</v>
      </c>
      <c r="F312" s="162" t="str">
        <f>HYPERLINK("https://senggang.republika.co.id/berita/senggang/musik/pow02u348/diana-ross-bela-mendiang-michael-jackson ","sumber")</f>
        <v>sumber</v>
      </c>
      <c r="G312" s="162" t="str">
        <f t="shared" si="1"/>
        <v>lokasi</v>
      </c>
      <c r="H312" s="159">
        <v>320.0</v>
      </c>
      <c r="I312" s="44">
        <v>1.0</v>
      </c>
      <c r="J312" s="160">
        <v>1.0</v>
      </c>
      <c r="K312" s="164" t="s">
        <v>2544</v>
      </c>
      <c r="L312" s="44">
        <v>0.0</v>
      </c>
      <c r="M312" s="44">
        <v>-1.0</v>
      </c>
      <c r="N312" s="166">
        <v>0.0</v>
      </c>
      <c r="O312" s="44">
        <v>0.0</v>
      </c>
      <c r="P312" s="44">
        <v>0.0</v>
      </c>
      <c r="Q312" s="44">
        <v>0.0</v>
      </c>
      <c r="R312" s="44">
        <v>-1.0</v>
      </c>
      <c r="S312" s="175"/>
      <c r="T312" s="44">
        <v>0.0</v>
      </c>
      <c r="U312" s="44">
        <v>0.0</v>
      </c>
      <c r="V312" s="44">
        <v>0.0</v>
      </c>
      <c r="W312" s="45"/>
      <c r="X312" s="45"/>
      <c r="Y312" s="45"/>
      <c r="Z312" s="9"/>
      <c r="AA312" s="52"/>
      <c r="AB312" s="9"/>
      <c r="AC312" s="9"/>
      <c r="AD312" s="9"/>
      <c r="AE312" s="9"/>
      <c r="AF312" s="9"/>
    </row>
    <row r="313">
      <c r="A313" s="176">
        <v>1.0</v>
      </c>
      <c r="B313" s="196" t="s">
        <v>2545</v>
      </c>
      <c r="C313" s="178">
        <v>309.0</v>
      </c>
      <c r="D313" s="179">
        <v>4.0</v>
      </c>
      <c r="E313" s="179" t="s">
        <v>523</v>
      </c>
      <c r="F313" s="180" t="str">
        <f>HYPERLINK("https://www.liputan6.com/showbiz/read/3920884/terjerat-kekerasan-seksual-yoochun-jyj-didenda-rp-1-miliar ","sumber")</f>
        <v>sumber</v>
      </c>
      <c r="G313" s="180" t="str">
        <f t="shared" si="1"/>
        <v>lokasi</v>
      </c>
      <c r="H313" s="177">
        <v>212.0</v>
      </c>
      <c r="I313" s="178">
        <v>1.0</v>
      </c>
      <c r="J313" s="179">
        <v>1.0</v>
      </c>
      <c r="K313" s="181" t="s">
        <v>2546</v>
      </c>
      <c r="L313" s="178">
        <v>0.0</v>
      </c>
      <c r="M313" s="178">
        <v>1.0</v>
      </c>
      <c r="N313" s="182">
        <v>0.0</v>
      </c>
      <c r="O313" s="178">
        <v>0.0</v>
      </c>
      <c r="P313" s="178">
        <v>0.0</v>
      </c>
      <c r="Q313" s="178">
        <v>0.0</v>
      </c>
      <c r="R313" s="178">
        <v>1.0</v>
      </c>
      <c r="S313" s="183"/>
      <c r="T313" s="178">
        <v>0.0</v>
      </c>
      <c r="U313" s="178">
        <v>0.0</v>
      </c>
      <c r="V313" s="178">
        <v>0.0</v>
      </c>
      <c r="W313" s="184"/>
      <c r="X313" s="184"/>
      <c r="Y313" s="178"/>
      <c r="Z313" s="185"/>
      <c r="AA313" s="185"/>
      <c r="AB313" s="186"/>
      <c r="AC313" s="186"/>
      <c r="AD313" s="186"/>
      <c r="AE313" s="186"/>
      <c r="AF313" s="186"/>
    </row>
    <row r="314">
      <c r="A314" s="158">
        <v>1.0</v>
      </c>
      <c r="B314" s="159" t="s">
        <v>2547</v>
      </c>
      <c r="C314" s="44">
        <v>310.0</v>
      </c>
      <c r="D314" s="160">
        <v>3.0</v>
      </c>
      <c r="E314" s="160" t="s">
        <v>159</v>
      </c>
      <c r="F314" s="162" t="str">
        <f>HYPERLINK("https://news.okezone.com/read/2019/03/26/340/2035198/kakek-bejat-di-kalteng-paksa-bocah-laki-laki-lakukan-seks-oral ","sumber")</f>
        <v>sumber</v>
      </c>
      <c r="G314" s="162" t="str">
        <f t="shared" si="1"/>
        <v>lokasi</v>
      </c>
      <c r="H314" s="159">
        <v>285.0</v>
      </c>
      <c r="I314" s="44">
        <v>1.0</v>
      </c>
      <c r="J314" s="160">
        <v>1.0</v>
      </c>
      <c r="K314" s="164" t="s">
        <v>2548</v>
      </c>
      <c r="L314" s="44">
        <v>0.0</v>
      </c>
      <c r="M314" s="44">
        <v>-1.0</v>
      </c>
      <c r="N314" s="166">
        <v>0.0</v>
      </c>
      <c r="O314" s="44">
        <v>-1.0</v>
      </c>
      <c r="P314" s="44">
        <v>-1.0</v>
      </c>
      <c r="Q314" s="44">
        <v>0.0</v>
      </c>
      <c r="R314" s="44">
        <v>0.0</v>
      </c>
      <c r="S314" s="175"/>
      <c r="T314" s="44">
        <v>0.0</v>
      </c>
      <c r="U314" s="44">
        <v>0.0</v>
      </c>
      <c r="V314" s="44">
        <v>0.0</v>
      </c>
      <c r="W314" s="45"/>
      <c r="X314" s="45"/>
      <c r="Y314" s="45"/>
      <c r="Z314" s="9"/>
      <c r="AA314" s="52"/>
      <c r="AB314" s="9"/>
      <c r="AC314" s="9"/>
      <c r="AD314" s="9"/>
      <c r="AE314" s="9"/>
      <c r="AF314" s="9"/>
    </row>
    <row r="315">
      <c r="A315" s="158">
        <v>1.0</v>
      </c>
      <c r="B315" s="159" t="s">
        <v>2549</v>
      </c>
      <c r="C315" s="44">
        <v>311.0</v>
      </c>
      <c r="D315" s="160">
        <v>8.0</v>
      </c>
      <c r="E315" s="160" t="s">
        <v>529</v>
      </c>
      <c r="F315" s="162" t="str">
        <f>HYPERLINK("https://www.suara.com/news/2019/03/27/094730/aktivis-internasional-kecam-rencana-brunei-terapkan-hukum-rajam-bagi-lgbt ","sumber")</f>
        <v>sumber</v>
      </c>
      <c r="G315" s="162" t="str">
        <f t="shared" si="1"/>
        <v>lokasi</v>
      </c>
      <c r="H315" s="159">
        <v>392.0</v>
      </c>
      <c r="I315" s="44">
        <v>1.0</v>
      </c>
      <c r="J315" s="160">
        <v>1.0</v>
      </c>
      <c r="K315" s="164" t="s">
        <v>2550</v>
      </c>
      <c r="L315" s="44">
        <v>0.0</v>
      </c>
      <c r="M315" s="44">
        <v>1.0</v>
      </c>
      <c r="N315" s="166">
        <v>0.0</v>
      </c>
      <c r="O315" s="44">
        <v>0.0</v>
      </c>
      <c r="P315" s="44">
        <v>0.0</v>
      </c>
      <c r="Q315" s="44" t="s">
        <v>61</v>
      </c>
      <c r="R315" s="44" t="s">
        <v>192</v>
      </c>
      <c r="S315" s="175"/>
      <c r="T315" s="44">
        <v>0.0</v>
      </c>
      <c r="U315" s="44">
        <v>0.0</v>
      </c>
      <c r="V315" s="44">
        <v>1.0</v>
      </c>
      <c r="W315" s="45"/>
      <c r="X315" s="45"/>
      <c r="Y315" s="45"/>
      <c r="Z315" s="9"/>
      <c r="AA315" s="52"/>
      <c r="AB315" s="9"/>
      <c r="AC315" s="9"/>
      <c r="AD315" s="9"/>
      <c r="AE315" s="9"/>
      <c r="AF315" s="9"/>
    </row>
    <row r="316">
      <c r="A316" s="158">
        <v>1.0</v>
      </c>
      <c r="B316" s="159" t="s">
        <v>2551</v>
      </c>
      <c r="C316" s="44">
        <v>312.0</v>
      </c>
      <c r="D316" s="160">
        <v>1.0</v>
      </c>
      <c r="E316" s="160" t="s">
        <v>534</v>
      </c>
      <c r="F316" s="162" t="str">
        <f>HYPERLINK("https://news.detik.com/berita/d-4487628/saksi-dan-hasil-visum-jadi-petunjuk-polisi-tangkap-2-pembunuh-calon-pendeta ","sumber")</f>
        <v>sumber</v>
      </c>
      <c r="G316" s="162" t="str">
        <f t="shared" si="1"/>
        <v>lokasi</v>
      </c>
      <c r="H316" s="159">
        <v>287.0</v>
      </c>
      <c r="I316" s="44">
        <v>1.0</v>
      </c>
      <c r="J316" s="160">
        <v>1.0</v>
      </c>
      <c r="K316" s="164" t="s">
        <v>2552</v>
      </c>
      <c r="L316" s="44">
        <v>0.0</v>
      </c>
      <c r="M316" s="44">
        <v>-1.0</v>
      </c>
      <c r="N316" s="44">
        <v>-1.0</v>
      </c>
      <c r="O316" s="44">
        <v>0.0</v>
      </c>
      <c r="P316" s="44">
        <v>0.0</v>
      </c>
      <c r="Q316" s="44">
        <v>0.0</v>
      </c>
      <c r="R316" s="44">
        <v>0.0</v>
      </c>
      <c r="S316" s="175"/>
      <c r="T316" s="44">
        <v>0.0</v>
      </c>
      <c r="U316" s="44">
        <v>0.0</v>
      </c>
      <c r="V316" s="44">
        <v>0.0</v>
      </c>
      <c r="W316" s="45"/>
      <c r="X316" s="45"/>
      <c r="Y316" s="45"/>
      <c r="Z316" s="9"/>
      <c r="AA316" s="52"/>
      <c r="AB316" s="9"/>
      <c r="AC316" s="9"/>
      <c r="AD316" s="9"/>
      <c r="AE316" s="9"/>
      <c r="AF316" s="9"/>
    </row>
    <row r="317">
      <c r="A317" s="158">
        <v>1.0</v>
      </c>
      <c r="B317" s="159" t="s">
        <v>2553</v>
      </c>
      <c r="C317" s="44">
        <v>313.0</v>
      </c>
      <c r="D317" s="160">
        <v>4.0</v>
      </c>
      <c r="E317" s="160" t="s">
        <v>534</v>
      </c>
      <c r="F317" s="162" t="str">
        <f>HYPERLINK("https://hot.liputan6.com/read/3927902/calon-pendeta-di-oki-sumatera-selatan-dibunuh-ini-3-faktanya ","sumber")</f>
        <v>sumber</v>
      </c>
      <c r="G317" s="162" t="str">
        <f t="shared" si="1"/>
        <v>lokasi</v>
      </c>
      <c r="H317" s="159">
        <v>463.0</v>
      </c>
      <c r="I317" s="44">
        <v>1.0</v>
      </c>
      <c r="J317" s="160">
        <v>1.0</v>
      </c>
      <c r="K317" s="164" t="s">
        <v>2554</v>
      </c>
      <c r="L317" s="44">
        <v>0.0</v>
      </c>
      <c r="M317" s="44">
        <v>-1.0</v>
      </c>
      <c r="N317" s="44">
        <v>-1.0</v>
      </c>
      <c r="O317" s="44">
        <v>-1.0</v>
      </c>
      <c r="P317" s="44">
        <v>-1.0</v>
      </c>
      <c r="Q317" s="44" t="s">
        <v>53</v>
      </c>
      <c r="R317" s="44" t="s">
        <v>53</v>
      </c>
      <c r="S317" s="175"/>
      <c r="T317" s="44">
        <v>0.0</v>
      </c>
      <c r="U317" s="44">
        <v>0.0</v>
      </c>
      <c r="V317" s="44">
        <v>0.0</v>
      </c>
      <c r="W317" s="45"/>
      <c r="X317" s="45"/>
      <c r="Y317" s="45"/>
      <c r="Z317" s="9"/>
      <c r="AA317" s="52"/>
      <c r="AB317" s="9"/>
      <c r="AC317" s="9"/>
      <c r="AD317" s="9"/>
      <c r="AE317" s="9"/>
      <c r="AF317" s="9"/>
    </row>
    <row r="318">
      <c r="A318" s="158">
        <v>1.0</v>
      </c>
      <c r="B318" s="159" t="s">
        <v>163</v>
      </c>
      <c r="C318" s="44">
        <v>314.0</v>
      </c>
      <c r="D318" s="160">
        <v>6.0</v>
      </c>
      <c r="E318" s="160" t="s">
        <v>164</v>
      </c>
      <c r="F318" s="162" t="str">
        <f>HYPERLINK("https://olahraga.kompas.com/read/2019/03/30/00202808/lakukan-pelecehan-pulev-terkena-sanksi ","sumber")</f>
        <v>sumber</v>
      </c>
      <c r="G318" s="162" t="str">
        <f t="shared" si="1"/>
        <v>lokasi</v>
      </c>
      <c r="H318" s="159">
        <v>368.0</v>
      </c>
      <c r="I318" s="44">
        <v>1.0</v>
      </c>
      <c r="J318" s="160">
        <v>1.0</v>
      </c>
      <c r="K318" s="164" t="s">
        <v>2555</v>
      </c>
      <c r="L318" s="44">
        <v>0.0</v>
      </c>
      <c r="M318" s="44">
        <v>1.0</v>
      </c>
      <c r="N318" s="166">
        <v>0.0</v>
      </c>
      <c r="O318" s="44">
        <v>0.0</v>
      </c>
      <c r="P318" s="44">
        <v>0.0</v>
      </c>
      <c r="Q318" s="44" t="s">
        <v>210</v>
      </c>
      <c r="R318" s="44" t="s">
        <v>173</v>
      </c>
      <c r="S318" s="175"/>
      <c r="T318" s="44">
        <v>0.0</v>
      </c>
      <c r="U318" s="44">
        <v>0.0</v>
      </c>
      <c r="V318" s="44">
        <v>0.0</v>
      </c>
      <c r="W318" s="45"/>
      <c r="X318" s="45"/>
      <c r="Y318" s="45"/>
      <c r="Z318" s="9"/>
      <c r="AA318" s="52"/>
      <c r="AB318" s="9"/>
      <c r="AC318" s="9"/>
      <c r="AD318" s="9"/>
      <c r="AE318" s="9"/>
      <c r="AF318" s="9"/>
    </row>
    <row r="319">
      <c r="A319" s="158">
        <v>1.0</v>
      </c>
      <c r="B319" s="159" t="s">
        <v>174</v>
      </c>
      <c r="C319" s="44">
        <v>315.0</v>
      </c>
      <c r="D319" s="160">
        <v>8.0</v>
      </c>
      <c r="E319" s="160" t="s">
        <v>171</v>
      </c>
      <c r="F319" s="162" t="str">
        <f>HYPERLINK("https://www.suara.com/entertainment/2019/03/31/205112/vanessa-angel-diborgol-pengacara-apa-perlu-sampai-segitunya ","sumber")</f>
        <v>sumber</v>
      </c>
      <c r="G319" s="162" t="str">
        <f t="shared" si="1"/>
        <v>lokasi</v>
      </c>
      <c r="H319" s="159">
        <v>191.0</v>
      </c>
      <c r="I319" s="44">
        <v>1.0</v>
      </c>
      <c r="J319" s="160">
        <v>1.0</v>
      </c>
      <c r="K319" s="164" t="s">
        <v>2556</v>
      </c>
      <c r="L319" s="44">
        <v>0.0</v>
      </c>
      <c r="M319" s="44">
        <v>-1.0</v>
      </c>
      <c r="N319" s="44">
        <v>-1.0</v>
      </c>
      <c r="O319" s="44">
        <v>0.0</v>
      </c>
      <c r="P319" s="44">
        <v>0.0</v>
      </c>
      <c r="Q319" s="44">
        <v>0.0</v>
      </c>
      <c r="R319" s="44">
        <v>1.0</v>
      </c>
      <c r="S319" s="175"/>
      <c r="T319" s="44">
        <v>0.0</v>
      </c>
      <c r="U319" s="44">
        <v>0.0</v>
      </c>
      <c r="V319" s="44">
        <v>0.0</v>
      </c>
      <c r="W319" s="45"/>
      <c r="X319" s="45"/>
      <c r="Y319" s="45"/>
      <c r="Z319" s="9"/>
      <c r="AA319" s="52"/>
      <c r="AB319" s="9"/>
      <c r="AC319" s="9"/>
      <c r="AD319" s="9"/>
      <c r="AE319" s="9"/>
      <c r="AF319" s="9"/>
    </row>
    <row r="320">
      <c r="A320" s="158">
        <v>1.0</v>
      </c>
      <c r="B320" s="159" t="s">
        <v>2557</v>
      </c>
      <c r="C320" s="44">
        <v>316.0</v>
      </c>
      <c r="D320" s="160">
        <v>6.0</v>
      </c>
      <c r="E320" s="161">
        <v>43469.0</v>
      </c>
      <c r="F320" s="162" t="str">
        <f>HYPERLINK("https://regional.kompas.com/read/2019/04/01/21032241/dipanggil-sebagai-saksi-di-persidangan-pria-pemesan-artis-va-tidak-hadir ","sumber")</f>
        <v>sumber</v>
      </c>
      <c r="G320" s="162" t="str">
        <f t="shared" si="1"/>
        <v>lokasi</v>
      </c>
      <c r="H320" s="159">
        <v>261.0</v>
      </c>
      <c r="I320" s="44">
        <v>1.0</v>
      </c>
      <c r="J320" s="160">
        <v>1.0</v>
      </c>
      <c r="K320" s="164" t="s">
        <v>2558</v>
      </c>
      <c r="L320" s="44">
        <v>0.0</v>
      </c>
      <c r="M320" s="44">
        <v>-1.0</v>
      </c>
      <c r="N320" s="166">
        <v>0.0</v>
      </c>
      <c r="O320" s="44">
        <v>0.0</v>
      </c>
      <c r="P320" s="44">
        <v>-1.0</v>
      </c>
      <c r="Q320" s="44">
        <v>0.0</v>
      </c>
      <c r="R320" s="44">
        <v>0.0</v>
      </c>
      <c r="S320" s="175"/>
      <c r="T320" s="44">
        <v>0.0</v>
      </c>
      <c r="U320" s="44">
        <v>0.0</v>
      </c>
      <c r="V320" s="44">
        <v>0.0</v>
      </c>
      <c r="W320" s="45"/>
      <c r="X320" s="45"/>
      <c r="Y320" s="45"/>
      <c r="Z320" s="9"/>
      <c r="AA320" s="52"/>
      <c r="AB320" s="9"/>
      <c r="AC320" s="9"/>
      <c r="AD320" s="9"/>
      <c r="AE320" s="9"/>
      <c r="AF320" s="9"/>
    </row>
    <row r="321">
      <c r="A321" s="152">
        <v>2.0</v>
      </c>
      <c r="B321" s="153" t="s">
        <v>2559</v>
      </c>
      <c r="C321" s="47">
        <v>317.0</v>
      </c>
      <c r="D321" s="154">
        <v>4.0</v>
      </c>
      <c r="E321" s="155">
        <v>43589.0</v>
      </c>
      <c r="F321" s="156" t="str">
        <f>HYPERLINK("https://www.liputan6.com/bola/read/3934385/moise-kean-jadi-korban-hinaan-rasialisme-pelatih-timnas-italia-berikan-dukungan ","sumber")</f>
        <v>sumber</v>
      </c>
      <c r="G321" s="156" t="str">
        <f t="shared" si="1"/>
        <v>lokasi</v>
      </c>
      <c r="H321" s="153">
        <v>182.0</v>
      </c>
      <c r="I321" s="48"/>
      <c r="J321" s="154">
        <v>1.0</v>
      </c>
      <c r="K321" s="165"/>
      <c r="L321" s="48"/>
      <c r="M321" s="48"/>
      <c r="N321" s="48"/>
      <c r="O321" s="48"/>
      <c r="P321" s="48"/>
      <c r="Q321" s="48"/>
      <c r="R321" s="48"/>
      <c r="S321" s="165"/>
      <c r="T321" s="48"/>
      <c r="U321" s="48"/>
      <c r="V321" s="48"/>
      <c r="W321" s="48"/>
      <c r="X321" s="48"/>
      <c r="Y321" s="48"/>
      <c r="Z321" s="51"/>
      <c r="AA321" s="51"/>
      <c r="AB321" s="51"/>
      <c r="AC321" s="51"/>
      <c r="AD321" s="51"/>
      <c r="AE321" s="51"/>
      <c r="AF321" s="51"/>
    </row>
    <row r="322">
      <c r="A322" s="158">
        <v>1.0</v>
      </c>
      <c r="B322" s="159" t="s">
        <v>2560</v>
      </c>
      <c r="C322" s="44">
        <v>318.0</v>
      </c>
      <c r="D322" s="160">
        <v>4.0</v>
      </c>
      <c r="E322" s="161">
        <v>43650.0</v>
      </c>
      <c r="F322" s="162" t="str">
        <f>HYPERLINK("https://www.liputan6.com/showbiz/read/3935429/seungri-diprediksi-bakal-dihukum-2-3-tahun-penjara ","sumber")</f>
        <v>sumber</v>
      </c>
      <c r="G322" s="162" t="str">
        <f t="shared" si="1"/>
        <v>lokasi</v>
      </c>
      <c r="H322" s="159">
        <v>323.0</v>
      </c>
      <c r="I322" s="44">
        <v>1.0</v>
      </c>
      <c r="J322" s="160">
        <v>1.0</v>
      </c>
      <c r="K322" s="164" t="s">
        <v>2561</v>
      </c>
      <c r="L322" s="44">
        <v>0.0</v>
      </c>
      <c r="M322" s="44">
        <v>-1.0</v>
      </c>
      <c r="N322" s="166">
        <v>0.0</v>
      </c>
      <c r="O322" s="44">
        <v>0.0</v>
      </c>
      <c r="P322" s="44">
        <v>0.0</v>
      </c>
      <c r="Q322" s="44">
        <v>0.0</v>
      </c>
      <c r="R322" s="44">
        <v>0.0</v>
      </c>
      <c r="S322" s="175"/>
      <c r="T322" s="44">
        <v>0.0</v>
      </c>
      <c r="U322" s="44">
        <v>0.0</v>
      </c>
      <c r="V322" s="44">
        <v>0.0</v>
      </c>
      <c r="W322" s="45"/>
      <c r="X322" s="45"/>
      <c r="Y322" s="45"/>
      <c r="Z322" s="9"/>
      <c r="AA322" s="52"/>
      <c r="AB322" s="9"/>
      <c r="AC322" s="9"/>
      <c r="AD322" s="9"/>
      <c r="AE322" s="9"/>
      <c r="AF322" s="9"/>
    </row>
    <row r="323">
      <c r="A323" s="158">
        <v>1.0</v>
      </c>
      <c r="B323" s="159" t="s">
        <v>2562</v>
      </c>
      <c r="C323" s="44">
        <v>319.0</v>
      </c>
      <c r="D323" s="160">
        <v>8.0</v>
      </c>
      <c r="E323" s="161">
        <v>43650.0</v>
      </c>
      <c r="F323" s="162" t="str">
        <f>HYPERLINK("https://www.suara.com/bola/2019/04/07/141520/persija-tetap-prioritaskan-marko-simic-tapi ","sumber")</f>
        <v>sumber</v>
      </c>
      <c r="G323" s="162" t="str">
        <f t="shared" si="1"/>
        <v>lokasi</v>
      </c>
      <c r="H323" s="159">
        <v>160.0</v>
      </c>
      <c r="I323" s="44">
        <v>1.0</v>
      </c>
      <c r="J323" s="160">
        <v>1.0</v>
      </c>
      <c r="K323" s="164" t="s">
        <v>2563</v>
      </c>
      <c r="L323" s="44">
        <v>0.0</v>
      </c>
      <c r="M323" s="44">
        <v>-1.0</v>
      </c>
      <c r="N323" s="166">
        <v>0.0</v>
      </c>
      <c r="O323" s="44">
        <v>0.0</v>
      </c>
      <c r="P323" s="44">
        <v>0.0</v>
      </c>
      <c r="Q323" s="44">
        <v>0.0</v>
      </c>
      <c r="R323" s="44">
        <v>0.0</v>
      </c>
      <c r="S323" s="175"/>
      <c r="T323" s="44">
        <v>0.0</v>
      </c>
      <c r="U323" s="44">
        <v>0.0</v>
      </c>
      <c r="V323" s="44">
        <v>0.0</v>
      </c>
      <c r="W323" s="45"/>
      <c r="X323" s="45"/>
      <c r="Y323" s="45"/>
      <c r="Z323" s="9"/>
      <c r="AA323" s="52"/>
      <c r="AB323" s="9"/>
      <c r="AC323" s="9"/>
      <c r="AD323" s="9"/>
      <c r="AE323" s="9"/>
      <c r="AF323" s="9"/>
    </row>
    <row r="324">
      <c r="A324" s="152">
        <v>2.0</v>
      </c>
      <c r="B324" s="153" t="s">
        <v>2564</v>
      </c>
      <c r="C324" s="47">
        <v>320.0</v>
      </c>
      <c r="D324" s="154">
        <v>9.0</v>
      </c>
      <c r="E324" s="155">
        <v>43681.0</v>
      </c>
      <c r="F324" s="156" t="str">
        <f>HYPERLINK("https://republika.co.id/berita/retizen/surat-pembaca/ppmtxk349/ingat-tragedi-rwanda-masih-hantui-dunia ","sumber")</f>
        <v>sumber</v>
      </c>
      <c r="G324" s="156" t="str">
        <f t="shared" si="1"/>
        <v>lokasi</v>
      </c>
      <c r="H324" s="153">
        <v>862.0</v>
      </c>
      <c r="I324" s="48"/>
      <c r="J324" s="154">
        <v>1.0</v>
      </c>
      <c r="K324" s="165"/>
      <c r="L324" s="48"/>
      <c r="M324" s="48"/>
      <c r="N324" s="48"/>
      <c r="O324" s="48"/>
      <c r="P324" s="48"/>
      <c r="Q324" s="48"/>
      <c r="R324" s="48"/>
      <c r="S324" s="165"/>
      <c r="T324" s="48"/>
      <c r="U324" s="48"/>
      <c r="V324" s="48"/>
      <c r="W324" s="48"/>
      <c r="X324" s="48"/>
      <c r="Y324" s="48"/>
      <c r="Z324" s="51"/>
      <c r="AA324" s="51"/>
      <c r="AB324" s="51"/>
      <c r="AC324" s="51"/>
      <c r="AD324" s="51"/>
      <c r="AE324" s="51"/>
      <c r="AF324" s="51"/>
    </row>
    <row r="325">
      <c r="A325" s="176">
        <v>1.0</v>
      </c>
      <c r="B325" s="196" t="s">
        <v>2565</v>
      </c>
      <c r="C325" s="178">
        <v>321.0</v>
      </c>
      <c r="D325" s="179">
        <v>7.0</v>
      </c>
      <c r="E325" s="195">
        <v>43500.0</v>
      </c>
      <c r="F325" s="180" t="str">
        <f>HYPERLINK("http://www.tribunnews.com/regional/2019/04/02/tagih-hutang-malah-istri-dikatai-pelacur-pria-ini-cemburu-dan-bacok-laki-laki-selingkuhan-istrinya ","sumber")</f>
        <v>sumber</v>
      </c>
      <c r="G325" s="180" t="str">
        <f t="shared" si="1"/>
        <v>lokasi</v>
      </c>
      <c r="H325" s="177">
        <v>164.0</v>
      </c>
      <c r="I325" s="178">
        <v>1.0</v>
      </c>
      <c r="J325" s="179">
        <v>1.0</v>
      </c>
      <c r="K325" s="181" t="s">
        <v>2566</v>
      </c>
      <c r="L325" s="178">
        <v>0.0</v>
      </c>
      <c r="M325" s="178">
        <v>1.0</v>
      </c>
      <c r="N325" s="182">
        <v>0.0</v>
      </c>
      <c r="O325" s="178">
        <v>0.0</v>
      </c>
      <c r="P325" s="178">
        <v>-1.0</v>
      </c>
      <c r="Q325" s="178" t="s">
        <v>61</v>
      </c>
      <c r="R325" s="178" t="s">
        <v>61</v>
      </c>
      <c r="S325" s="183"/>
      <c r="T325" s="178">
        <v>0.0</v>
      </c>
      <c r="U325" s="178">
        <v>0.0</v>
      </c>
      <c r="V325" s="178">
        <v>0.0</v>
      </c>
      <c r="W325" s="184"/>
      <c r="X325" s="184"/>
      <c r="Y325" s="184"/>
      <c r="Z325" s="186"/>
      <c r="AA325" s="185"/>
      <c r="AB325" s="186"/>
      <c r="AC325" s="186"/>
      <c r="AD325" s="186"/>
      <c r="AE325" s="186"/>
      <c r="AF325" s="186"/>
    </row>
    <row r="326">
      <c r="A326" s="158">
        <v>1.0</v>
      </c>
      <c r="B326" s="159" t="s">
        <v>2567</v>
      </c>
      <c r="C326" s="44">
        <v>322.0</v>
      </c>
      <c r="D326" s="160">
        <v>9.0</v>
      </c>
      <c r="E326" s="161">
        <v>43742.0</v>
      </c>
      <c r="F326" s="162" t="str">
        <f>HYPERLINK("https://nasional.republika.co.id/berita/nasional/daerah/ppr0qp335/presiden-minta-polisi-tegas-tangani-kasus-ay ","sumber")</f>
        <v>sumber</v>
      </c>
      <c r="G326" s="162" t="str">
        <f t="shared" si="1"/>
        <v>lokasi</v>
      </c>
      <c r="H326" s="159">
        <v>261.0</v>
      </c>
      <c r="I326" s="44">
        <v>1.0</v>
      </c>
      <c r="J326" s="160">
        <v>1.0</v>
      </c>
      <c r="K326" s="164" t="s">
        <v>2373</v>
      </c>
      <c r="L326" s="44">
        <v>0.0</v>
      </c>
      <c r="M326" s="44">
        <v>-1.0</v>
      </c>
      <c r="N326" s="166">
        <v>0.0</v>
      </c>
      <c r="O326" s="44">
        <v>1.0</v>
      </c>
      <c r="P326" s="44">
        <v>0.0</v>
      </c>
      <c r="Q326" s="44">
        <v>0.0</v>
      </c>
      <c r="R326" s="44">
        <v>1.0</v>
      </c>
      <c r="S326" s="175"/>
      <c r="T326" s="44">
        <v>0.0</v>
      </c>
      <c r="U326" s="44">
        <v>0.0</v>
      </c>
      <c r="V326" s="44">
        <v>0.0</v>
      </c>
      <c r="W326" s="45"/>
      <c r="X326" s="45"/>
      <c r="Y326" s="45"/>
      <c r="Z326" s="9"/>
      <c r="AA326" s="52"/>
      <c r="AB326" s="9"/>
      <c r="AC326" s="9"/>
      <c r="AD326" s="9"/>
      <c r="AE326" s="9"/>
      <c r="AF326" s="9"/>
    </row>
    <row r="327">
      <c r="A327" s="158">
        <v>1.0</v>
      </c>
      <c r="B327" s="159" t="s">
        <v>2568</v>
      </c>
      <c r="C327" s="44">
        <v>323.0</v>
      </c>
      <c r="D327" s="160">
        <v>3.0</v>
      </c>
      <c r="E327" s="160" t="s">
        <v>548</v>
      </c>
      <c r="F327" s="162" t="str">
        <f>HYPERLINK("https://celebrity.okezone.com/read/2019/04/13/33/2043238/blakblakan-jessica-iskandar-sempat-alami-pelecehan ","sumber")</f>
        <v>sumber</v>
      </c>
      <c r="G327" s="162" t="str">
        <f t="shared" si="1"/>
        <v>lokasi</v>
      </c>
      <c r="H327" s="159">
        <v>407.0</v>
      </c>
      <c r="I327" s="44">
        <v>1.0</v>
      </c>
      <c r="J327" s="160">
        <v>1.0</v>
      </c>
      <c r="K327" s="164" t="s">
        <v>2569</v>
      </c>
      <c r="L327" s="44">
        <v>0.0</v>
      </c>
      <c r="M327" s="44">
        <v>-1.0</v>
      </c>
      <c r="N327" s="166">
        <v>0.0</v>
      </c>
      <c r="O327" s="44">
        <v>0.0</v>
      </c>
      <c r="P327" s="44">
        <v>0.0</v>
      </c>
      <c r="Q327" s="44">
        <v>2.0</v>
      </c>
      <c r="R327" s="44">
        <v>0.0</v>
      </c>
      <c r="S327" s="175"/>
      <c r="T327" s="44">
        <v>0.0</v>
      </c>
      <c r="U327" s="44">
        <v>0.0</v>
      </c>
      <c r="V327" s="44">
        <v>0.0</v>
      </c>
      <c r="W327" s="45"/>
      <c r="X327" s="45"/>
      <c r="Y327" s="45"/>
      <c r="Z327" s="9"/>
      <c r="AA327" s="52"/>
      <c r="AB327" s="9"/>
      <c r="AC327" s="9"/>
      <c r="AD327" s="9"/>
      <c r="AE327" s="9"/>
      <c r="AF327" s="9"/>
    </row>
    <row r="328">
      <c r="A328" s="158">
        <v>1.0</v>
      </c>
      <c r="B328" s="159" t="s">
        <v>2570</v>
      </c>
      <c r="C328" s="44">
        <v>324.0</v>
      </c>
      <c r="D328" s="160">
        <v>8.0</v>
      </c>
      <c r="E328" s="160" t="s">
        <v>2382</v>
      </c>
      <c r="F328" s="162" t="str">
        <f>HYPERLINK("https://www.suara.com/news/2019/04/15/200515/ada-penusukan-dan-pelecehan-seksual-transjakarta-timbang-tambah-cctv ","sumber")</f>
        <v>sumber</v>
      </c>
      <c r="G328" s="162" t="str">
        <f t="shared" si="1"/>
        <v>lokasi</v>
      </c>
      <c r="H328" s="159">
        <v>260.0</v>
      </c>
      <c r="I328" s="44">
        <v>4.0</v>
      </c>
      <c r="J328" s="160">
        <v>1.0</v>
      </c>
      <c r="K328" s="164" t="s">
        <v>2571</v>
      </c>
      <c r="L328" s="44">
        <v>0.0</v>
      </c>
      <c r="M328" s="44">
        <v>0.0</v>
      </c>
      <c r="N328" s="166">
        <v>0.0</v>
      </c>
      <c r="O328" s="44">
        <v>0.0</v>
      </c>
      <c r="P328" s="44">
        <v>0.0</v>
      </c>
      <c r="Q328" s="44">
        <v>0.0</v>
      </c>
      <c r="R328" s="44">
        <v>0.0</v>
      </c>
      <c r="S328" s="175"/>
      <c r="T328" s="44">
        <v>0.0</v>
      </c>
      <c r="U328" s="44">
        <v>0.0</v>
      </c>
      <c r="V328" s="44">
        <v>1.0</v>
      </c>
      <c r="W328" s="45"/>
      <c r="X328" s="45"/>
      <c r="Y328" s="45"/>
      <c r="Z328" s="9"/>
      <c r="AA328" s="52"/>
      <c r="AB328" s="9"/>
      <c r="AC328" s="9"/>
      <c r="AD328" s="9"/>
      <c r="AE328" s="9"/>
      <c r="AF328" s="9"/>
    </row>
    <row r="329">
      <c r="A329" s="152">
        <v>2.0</v>
      </c>
      <c r="B329" s="153" t="s">
        <v>2572</v>
      </c>
      <c r="C329" s="47">
        <v>325.0</v>
      </c>
      <c r="D329" s="154">
        <v>4.0</v>
      </c>
      <c r="E329" s="154" t="s">
        <v>2573</v>
      </c>
      <c r="F329" s="156" t="str">
        <f>HYPERLINK("https://www.liputan6.com/lifestyle/read/3939866/aman-naik-ojek-online-para-wanita-wajib-perhatikan-4-hal-ini ","sumber")</f>
        <v>sumber</v>
      </c>
      <c r="G329" s="156" t="str">
        <f t="shared" si="1"/>
        <v>lokasi</v>
      </c>
      <c r="H329" s="153">
        <v>540.0</v>
      </c>
      <c r="I329" s="48"/>
      <c r="J329" s="154">
        <v>1.0</v>
      </c>
      <c r="K329" s="165"/>
      <c r="L329" s="48"/>
      <c r="M329" s="48"/>
      <c r="N329" s="48"/>
      <c r="O329" s="48"/>
      <c r="P329" s="48"/>
      <c r="Q329" s="48"/>
      <c r="R329" s="48"/>
      <c r="S329" s="165"/>
      <c r="T329" s="48"/>
      <c r="U329" s="48"/>
      <c r="V329" s="48"/>
      <c r="W329" s="48"/>
      <c r="X329" s="48"/>
      <c r="Y329" s="48"/>
      <c r="Z329" s="51"/>
      <c r="AA329" s="51"/>
      <c r="AB329" s="51"/>
      <c r="AC329" s="51"/>
      <c r="AD329" s="51"/>
      <c r="AE329" s="51"/>
      <c r="AF329" s="51"/>
    </row>
    <row r="330">
      <c r="A330" s="152">
        <v>2.0</v>
      </c>
      <c r="B330" s="153" t="s">
        <v>2574</v>
      </c>
      <c r="C330" s="47">
        <v>326.0</v>
      </c>
      <c r="D330" s="154">
        <v>6.0</v>
      </c>
      <c r="E330" s="154" t="s">
        <v>194</v>
      </c>
      <c r="F330" s="156" t="str">
        <f>HYPERLINK("https://entertainment.kompas.com/read/2019/04/23/233038210/park-yoochun-terbukti-positif-narkoba ","sumber")</f>
        <v>sumber</v>
      </c>
      <c r="G330" s="156" t="str">
        <f t="shared" si="1"/>
        <v>lokasi</v>
      </c>
      <c r="H330" s="153">
        <v>183.0</v>
      </c>
      <c r="I330" s="48"/>
      <c r="J330" s="154">
        <v>1.0</v>
      </c>
      <c r="K330" s="165"/>
      <c r="L330" s="48"/>
      <c r="M330" s="48"/>
      <c r="N330" s="48"/>
      <c r="O330" s="48"/>
      <c r="P330" s="48"/>
      <c r="Q330" s="48"/>
      <c r="R330" s="48"/>
      <c r="S330" s="165"/>
      <c r="T330" s="48"/>
      <c r="U330" s="48"/>
      <c r="V330" s="48"/>
      <c r="W330" s="48"/>
      <c r="X330" s="48"/>
      <c r="Y330" s="47"/>
      <c r="Z330" s="43"/>
      <c r="AA330" s="51"/>
      <c r="AB330" s="51"/>
      <c r="AC330" s="51"/>
      <c r="AD330" s="51"/>
      <c r="AE330" s="51"/>
      <c r="AF330" s="51"/>
    </row>
    <row r="331">
      <c r="A331" s="189">
        <v>1.0</v>
      </c>
      <c r="B331" s="190" t="s">
        <v>2575</v>
      </c>
      <c r="C331" s="55">
        <v>327.0</v>
      </c>
      <c r="D331" s="169">
        <v>10.0</v>
      </c>
      <c r="E331" s="169" t="s">
        <v>197</v>
      </c>
      <c r="F331" s="171" t="str">
        <f>HYPERLINK("https://bisnis.tempo.co/read/1198824/5-langkah-grab-wujudkan-transportasi-online-aman-bagi-perempuan ","sumber")</f>
        <v>sumber</v>
      </c>
      <c r="G331" s="171" t="str">
        <f t="shared" si="1"/>
        <v>lokasi</v>
      </c>
      <c r="H331" s="168">
        <v>317.0</v>
      </c>
      <c r="I331" s="55">
        <v>4.0</v>
      </c>
      <c r="J331" s="169">
        <v>1.0</v>
      </c>
      <c r="K331" s="172" t="s">
        <v>2576</v>
      </c>
      <c r="L331" s="55">
        <v>0.0</v>
      </c>
      <c r="M331" s="55">
        <v>0.0</v>
      </c>
      <c r="N331" s="173">
        <v>0.0</v>
      </c>
      <c r="O331" s="55">
        <v>0.0</v>
      </c>
      <c r="P331" s="55">
        <v>0.0</v>
      </c>
      <c r="Q331" s="55">
        <v>0.0</v>
      </c>
      <c r="R331" s="55">
        <v>1.0</v>
      </c>
      <c r="S331" s="174"/>
      <c r="T331" s="55">
        <v>0.0</v>
      </c>
      <c r="U331" s="55">
        <v>0.0</v>
      </c>
      <c r="V331" s="55">
        <v>1.0</v>
      </c>
      <c r="W331" s="46"/>
      <c r="X331" s="46"/>
      <c r="Y331" s="55"/>
      <c r="Z331" s="30"/>
      <c r="AA331" s="30"/>
      <c r="AB331" s="31"/>
      <c r="AC331" s="31"/>
      <c r="AD331" s="31"/>
      <c r="AE331" s="31"/>
      <c r="AF331" s="31"/>
    </row>
    <row r="332">
      <c r="A332" s="158">
        <v>1.0</v>
      </c>
      <c r="B332" s="159" t="s">
        <v>199</v>
      </c>
      <c r="C332" s="44">
        <v>328.0</v>
      </c>
      <c r="D332" s="160">
        <v>7.0</v>
      </c>
      <c r="E332" s="160" t="s">
        <v>197</v>
      </c>
      <c r="F332" s="162" t="str">
        <f>HYPERLINK("http://www.tribunnews.com/australia-plus/2019/04/24/surati-parlemen-eropa-brunei-bela-hukuman-mati-terhadap-pasangan-gay ","sumber")</f>
        <v>sumber</v>
      </c>
      <c r="G332" s="162" t="str">
        <f t="shared" si="1"/>
        <v>lokasi</v>
      </c>
      <c r="H332" s="159">
        <v>218.0</v>
      </c>
      <c r="I332" s="44">
        <v>1.0</v>
      </c>
      <c r="J332" s="160">
        <v>1.0</v>
      </c>
      <c r="K332" s="164" t="s">
        <v>2577</v>
      </c>
      <c r="L332" s="44">
        <v>0.0</v>
      </c>
      <c r="M332" s="44">
        <v>1.0</v>
      </c>
      <c r="N332" s="166">
        <v>0.0</v>
      </c>
      <c r="O332" s="44">
        <v>0.0</v>
      </c>
      <c r="P332" s="44">
        <v>0.0</v>
      </c>
      <c r="Q332" s="44" t="s">
        <v>53</v>
      </c>
      <c r="R332" s="44" t="s">
        <v>771</v>
      </c>
      <c r="S332" s="175"/>
      <c r="T332" s="44">
        <v>0.0</v>
      </c>
      <c r="U332" s="44">
        <v>0.0</v>
      </c>
      <c r="V332" s="44">
        <v>1.0</v>
      </c>
      <c r="W332" s="45"/>
      <c r="X332" s="45"/>
      <c r="Y332" s="45"/>
      <c r="Z332" s="9"/>
      <c r="AA332" s="52"/>
      <c r="AB332" s="9"/>
      <c r="AC332" s="9"/>
      <c r="AD332" s="9"/>
      <c r="AE332" s="9"/>
      <c r="AF332" s="9"/>
    </row>
    <row r="333">
      <c r="A333" s="158">
        <v>1.0</v>
      </c>
      <c r="B333" s="159" t="s">
        <v>2578</v>
      </c>
      <c r="C333" s="44">
        <v>329.0</v>
      </c>
      <c r="D333" s="160">
        <v>2.0</v>
      </c>
      <c r="E333" s="160" t="s">
        <v>553</v>
      </c>
      <c r="F333" s="162" t="str">
        <f>HYPERLINK("https://www.cnnindonesia.com/teknologi/20190424181532-185-389338/komnas-perempuan-imbau-pengguna-paham-aturan-keselamatan-ojol ","sumber")</f>
        <v>sumber</v>
      </c>
      <c r="G333" s="162" t="str">
        <f t="shared" si="1"/>
        <v>lokasi</v>
      </c>
      <c r="H333" s="159">
        <v>292.0</v>
      </c>
      <c r="I333" s="44">
        <v>2.0</v>
      </c>
      <c r="J333" s="160">
        <v>1.0</v>
      </c>
      <c r="K333" s="164" t="s">
        <v>2579</v>
      </c>
      <c r="L333" s="44">
        <v>0.0</v>
      </c>
      <c r="M333" s="44">
        <v>0.0</v>
      </c>
      <c r="N333" s="166">
        <v>0.0</v>
      </c>
      <c r="O333" s="44">
        <v>0.0</v>
      </c>
      <c r="P333" s="44">
        <v>0.0</v>
      </c>
      <c r="Q333" s="44" t="s">
        <v>61</v>
      </c>
      <c r="R333" s="44" t="s">
        <v>100</v>
      </c>
      <c r="S333" s="175"/>
      <c r="T333" s="44">
        <v>0.0</v>
      </c>
      <c r="U333" s="44">
        <v>0.0</v>
      </c>
      <c r="V333" s="44">
        <v>0.0</v>
      </c>
      <c r="W333" s="45"/>
      <c r="X333" s="45"/>
      <c r="Y333" s="45"/>
      <c r="Z333" s="9"/>
      <c r="AA333" s="52"/>
      <c r="AB333" s="9"/>
      <c r="AC333" s="9"/>
      <c r="AD333" s="9"/>
      <c r="AE333" s="9"/>
      <c r="AF333" s="9"/>
    </row>
    <row r="334">
      <c r="A334" s="158">
        <v>1.0</v>
      </c>
      <c r="B334" s="159" t="s">
        <v>2580</v>
      </c>
      <c r="C334" s="44">
        <v>330.0</v>
      </c>
      <c r="D334" s="160">
        <v>6.0</v>
      </c>
      <c r="E334" s="160" t="s">
        <v>553</v>
      </c>
      <c r="F334" s="162" t="str">
        <f>HYPERLINK("https://megapolitan.kompas.com/read/2019/04/25/07094731/viral-penumpang-wanita-alami-pelecehan-seksual-saat-naik-kereta-jakarta ","sumber")</f>
        <v>sumber</v>
      </c>
      <c r="G334" s="162" t="str">
        <f t="shared" si="1"/>
        <v>lokasi</v>
      </c>
      <c r="H334" s="159">
        <v>24.0</v>
      </c>
      <c r="I334" s="44">
        <v>1.0</v>
      </c>
      <c r="J334" s="160">
        <v>1.0</v>
      </c>
      <c r="K334" s="164" t="s">
        <v>2581</v>
      </c>
      <c r="L334" s="44">
        <v>0.0</v>
      </c>
      <c r="M334" s="44">
        <v>1.0</v>
      </c>
      <c r="N334" s="166">
        <v>0.0</v>
      </c>
      <c r="O334" s="44">
        <v>0.0</v>
      </c>
      <c r="P334" s="44">
        <v>-1.0</v>
      </c>
      <c r="Q334" s="44" t="s">
        <v>210</v>
      </c>
      <c r="R334" s="44" t="s">
        <v>100</v>
      </c>
      <c r="S334" s="175"/>
      <c r="T334" s="44">
        <v>0.0</v>
      </c>
      <c r="U334" s="44">
        <v>0.0</v>
      </c>
      <c r="V334" s="44">
        <v>0.0</v>
      </c>
      <c r="W334" s="45"/>
      <c r="X334" s="45"/>
      <c r="Y334" s="45"/>
      <c r="Z334" s="9"/>
      <c r="AA334" s="52"/>
      <c r="AB334" s="9"/>
      <c r="AC334" s="9"/>
      <c r="AD334" s="9"/>
      <c r="AE334" s="9"/>
      <c r="AF334" s="9"/>
    </row>
    <row r="335">
      <c r="A335" s="158">
        <v>1.0</v>
      </c>
      <c r="B335" s="159" t="s">
        <v>2582</v>
      </c>
      <c r="C335" s="44">
        <v>331.0</v>
      </c>
      <c r="D335" s="160">
        <v>7.0</v>
      </c>
      <c r="E335" s="160" t="s">
        <v>553</v>
      </c>
      <c r="F335" s="162" t="str">
        <f>HYPERLINK("http://www.tribunnews.com/nasional/2019/04/25/panjangnya-proses-pemilu-2019-disebut-menghambat-kajian-ruu-pks ","sumber")</f>
        <v>sumber</v>
      </c>
      <c r="G335" s="162" t="str">
        <f t="shared" si="1"/>
        <v>lokasi</v>
      </c>
      <c r="H335" s="159">
        <v>230.0</v>
      </c>
      <c r="I335" s="44">
        <v>4.0</v>
      </c>
      <c r="J335" s="160">
        <v>1.0</v>
      </c>
      <c r="K335" s="164" t="s">
        <v>2583</v>
      </c>
      <c r="L335" s="44">
        <v>0.0</v>
      </c>
      <c r="M335" s="44">
        <v>0.0</v>
      </c>
      <c r="N335" s="166">
        <v>0.0</v>
      </c>
      <c r="O335" s="44">
        <v>0.0</v>
      </c>
      <c r="P335" s="44">
        <v>0.0</v>
      </c>
      <c r="Q335" s="44">
        <v>0.0</v>
      </c>
      <c r="R335" s="44">
        <v>0.0</v>
      </c>
      <c r="S335" s="164"/>
      <c r="T335" s="44">
        <v>0.0</v>
      </c>
      <c r="U335" s="44">
        <v>0.0</v>
      </c>
      <c r="V335" s="44">
        <v>1.0</v>
      </c>
      <c r="W335" s="45"/>
      <c r="X335" s="45"/>
      <c r="Y335" s="45"/>
      <c r="Z335" s="9"/>
      <c r="AA335" s="52"/>
      <c r="AB335" s="9"/>
      <c r="AC335" s="9"/>
      <c r="AD335" s="9"/>
      <c r="AE335" s="9"/>
      <c r="AF335" s="9"/>
    </row>
    <row r="336">
      <c r="A336" s="158">
        <v>1.0</v>
      </c>
      <c r="B336" s="159" t="s">
        <v>2584</v>
      </c>
      <c r="C336" s="44">
        <v>332.0</v>
      </c>
      <c r="D336" s="160">
        <v>10.0</v>
      </c>
      <c r="E336" s="161">
        <v>43470.0</v>
      </c>
      <c r="F336" s="162" t="str">
        <f>HYPERLINK("https://dunia.tempo.co/read/1201043/aplikasi-cari-jodoh-tantan-dibekukan-di-cina ","sumber")</f>
        <v>sumber</v>
      </c>
      <c r="G336" s="162" t="str">
        <f t="shared" si="1"/>
        <v>lokasi</v>
      </c>
      <c r="H336" s="159">
        <v>328.0</v>
      </c>
      <c r="I336" s="44">
        <v>4.0</v>
      </c>
      <c r="J336" s="160">
        <v>1.0</v>
      </c>
      <c r="K336" s="164" t="s">
        <v>2585</v>
      </c>
      <c r="L336" s="44">
        <v>0.0</v>
      </c>
      <c r="M336" s="44">
        <v>0.0</v>
      </c>
      <c r="N336" s="166">
        <v>0.0</v>
      </c>
      <c r="O336" s="44">
        <v>0.0</v>
      </c>
      <c r="P336" s="44">
        <v>0.0</v>
      </c>
      <c r="Q336" s="44">
        <v>0.0</v>
      </c>
      <c r="R336" s="44">
        <v>0.0</v>
      </c>
      <c r="S336" s="175"/>
      <c r="T336" s="44">
        <v>0.0</v>
      </c>
      <c r="U336" s="44">
        <v>0.0</v>
      </c>
      <c r="V336" s="44">
        <v>0.0</v>
      </c>
      <c r="W336" s="45"/>
      <c r="X336" s="45"/>
      <c r="Y336" s="45"/>
      <c r="Z336" s="9"/>
      <c r="AA336" s="52"/>
      <c r="AB336" s="9"/>
      <c r="AC336" s="9"/>
      <c r="AD336" s="9"/>
      <c r="AE336" s="9"/>
      <c r="AF336" s="9"/>
    </row>
    <row r="337">
      <c r="A337" s="158">
        <v>1.0</v>
      </c>
      <c r="B337" s="159" t="s">
        <v>2586</v>
      </c>
      <c r="C337" s="44">
        <v>333.0</v>
      </c>
      <c r="D337" s="160">
        <v>8.0</v>
      </c>
      <c r="E337" s="161">
        <v>43529.0</v>
      </c>
      <c r="F337" s="162" t="str">
        <f>HYPERLINK("https://banten.suara.com/read/2019/05/03/181348/lewat-air-doa-bunga-ungkap-dosa-sang-guru-ngaji-cabul ","sumber")</f>
        <v>sumber</v>
      </c>
      <c r="G337" s="162" t="str">
        <f t="shared" si="1"/>
        <v>lokasi</v>
      </c>
      <c r="H337" s="159">
        <v>257.0</v>
      </c>
      <c r="I337" s="44">
        <v>1.0</v>
      </c>
      <c r="J337" s="160">
        <v>1.0</v>
      </c>
      <c r="K337" s="164" t="s">
        <v>2587</v>
      </c>
      <c r="L337" s="44">
        <v>0.0</v>
      </c>
      <c r="M337" s="44">
        <v>-1.0</v>
      </c>
      <c r="N337" s="166">
        <v>0.0</v>
      </c>
      <c r="O337" s="44">
        <v>-1.0</v>
      </c>
      <c r="P337" s="44">
        <v>-1.0</v>
      </c>
      <c r="Q337" s="44">
        <v>0.0</v>
      </c>
      <c r="R337" s="44">
        <v>0.0</v>
      </c>
      <c r="S337" s="175"/>
      <c r="T337" s="44">
        <v>0.0</v>
      </c>
      <c r="U337" s="44">
        <v>0.0</v>
      </c>
      <c r="V337" s="44">
        <v>0.0</v>
      </c>
      <c r="W337" s="45"/>
      <c r="X337" s="45"/>
      <c r="Y337" s="45"/>
      <c r="Z337" s="9"/>
      <c r="AA337" s="52"/>
      <c r="AB337" s="9"/>
      <c r="AC337" s="9"/>
      <c r="AD337" s="9"/>
      <c r="AE337" s="9"/>
      <c r="AF337" s="9"/>
    </row>
    <row r="338">
      <c r="A338" s="152">
        <v>2.0</v>
      </c>
      <c r="B338" s="153" t="s">
        <v>2588</v>
      </c>
      <c r="C338" s="47">
        <v>334.0</v>
      </c>
      <c r="D338" s="154">
        <v>3.0</v>
      </c>
      <c r="E338" s="155">
        <v>43804.0</v>
      </c>
      <c r="F338" s="156" t="str">
        <f>HYPERLINK("https://news.okezone.com/read/2019/05/12/337/2054671/viral-massa-geruduk-kasir-indomaret-karena-dikasih-sumbangan-rp1-000 ","sumber")</f>
        <v>sumber</v>
      </c>
      <c r="G338" s="156" t="str">
        <f t="shared" si="1"/>
        <v>lokasi</v>
      </c>
      <c r="H338" s="153">
        <v>359.0</v>
      </c>
      <c r="I338" s="48"/>
      <c r="J338" s="154">
        <v>1.0</v>
      </c>
      <c r="K338" s="165"/>
      <c r="L338" s="48"/>
      <c r="M338" s="48"/>
      <c r="N338" s="48"/>
      <c r="O338" s="48"/>
      <c r="P338" s="48"/>
      <c r="Q338" s="48"/>
      <c r="R338" s="48"/>
      <c r="S338" s="165"/>
      <c r="T338" s="48"/>
      <c r="U338" s="48"/>
      <c r="V338" s="48"/>
      <c r="W338" s="48"/>
      <c r="X338" s="48"/>
      <c r="Y338" s="48"/>
      <c r="Z338" s="51"/>
      <c r="AA338" s="51"/>
      <c r="AB338" s="51"/>
      <c r="AC338" s="51"/>
      <c r="AD338" s="51"/>
      <c r="AE338" s="51"/>
      <c r="AF338" s="51"/>
    </row>
    <row r="339">
      <c r="A339" s="158">
        <v>1.0</v>
      </c>
      <c r="B339" s="159" t="s">
        <v>2589</v>
      </c>
      <c r="C339" s="44">
        <v>335.0</v>
      </c>
      <c r="D339" s="160">
        <v>3.0</v>
      </c>
      <c r="E339" s="160" t="s">
        <v>247</v>
      </c>
      <c r="F339" s="162" t="str">
        <f>HYPERLINK("https://news.okezone.com/read/2019/05/13/338/2055053/pria-di-depok-masturbasi-di-depan-seluruh-penghuni-kos-wanita ","sumber")</f>
        <v>sumber</v>
      </c>
      <c r="G339" s="162" t="str">
        <f t="shared" si="1"/>
        <v>lokasi</v>
      </c>
      <c r="H339" s="159">
        <v>222.0</v>
      </c>
      <c r="I339" s="44">
        <v>1.0</v>
      </c>
      <c r="J339" s="160">
        <v>1.0</v>
      </c>
      <c r="K339" s="164" t="s">
        <v>2590</v>
      </c>
      <c r="L339" s="44">
        <v>0.0</v>
      </c>
      <c r="M339" s="44">
        <v>-1.0</v>
      </c>
      <c r="N339" s="166">
        <v>0.0</v>
      </c>
      <c r="O339" s="44">
        <v>0.0</v>
      </c>
      <c r="P339" s="44">
        <v>-1.0</v>
      </c>
      <c r="Q339" s="44">
        <v>0.0</v>
      </c>
      <c r="R339" s="44">
        <v>0.0</v>
      </c>
      <c r="S339" s="164"/>
      <c r="T339" s="44">
        <v>0.0</v>
      </c>
      <c r="U339" s="44">
        <v>0.0</v>
      </c>
      <c r="V339" s="44">
        <v>0.0</v>
      </c>
      <c r="W339" s="45"/>
      <c r="X339" s="45"/>
      <c r="Y339" s="45"/>
      <c r="Z339" s="9"/>
      <c r="AA339" s="52"/>
      <c r="AB339" s="9"/>
      <c r="AC339" s="9"/>
      <c r="AD339" s="9"/>
      <c r="AE339" s="9"/>
      <c r="AF339" s="9"/>
    </row>
    <row r="340">
      <c r="A340" s="158">
        <v>1.0</v>
      </c>
      <c r="B340" s="159" t="s">
        <v>2591</v>
      </c>
      <c r="C340" s="44">
        <v>336.0</v>
      </c>
      <c r="D340" s="160">
        <v>2.0</v>
      </c>
      <c r="E340" s="160" t="s">
        <v>394</v>
      </c>
      <c r="F340" s="162" t="str">
        <f>HYPERLINK("https://www.cnnindonesia.com/nasional/20190515195336-12-395220/polisi-garut-amankan-tersangka-pelecehan-seksual-ke-20-anak ","sumber")</f>
        <v>sumber</v>
      </c>
      <c r="G340" s="162" t="str">
        <f t="shared" si="1"/>
        <v>lokasi</v>
      </c>
      <c r="H340" s="159">
        <v>364.0</v>
      </c>
      <c r="I340" s="44">
        <v>1.0</v>
      </c>
      <c r="J340" s="160">
        <v>1.0</v>
      </c>
      <c r="K340" s="164" t="s">
        <v>2592</v>
      </c>
      <c r="L340" s="44">
        <v>0.0</v>
      </c>
      <c r="M340" s="44">
        <v>1.0</v>
      </c>
      <c r="N340" s="166">
        <v>0.0</v>
      </c>
      <c r="O340" s="44">
        <v>1.0</v>
      </c>
      <c r="P340" s="44">
        <v>0.0</v>
      </c>
      <c r="Q340" s="44" t="s">
        <v>61</v>
      </c>
      <c r="R340" s="44" t="s">
        <v>214</v>
      </c>
      <c r="S340" s="175"/>
      <c r="T340" s="44">
        <v>0.0</v>
      </c>
      <c r="U340" s="44">
        <v>0.0</v>
      </c>
      <c r="V340" s="44">
        <v>0.0</v>
      </c>
      <c r="W340" s="45"/>
      <c r="X340" s="45"/>
      <c r="Y340" s="45"/>
      <c r="Z340" s="9"/>
      <c r="AA340" s="52"/>
      <c r="AB340" s="9"/>
      <c r="AC340" s="9"/>
      <c r="AD340" s="9"/>
      <c r="AE340" s="9"/>
      <c r="AF340" s="9"/>
    </row>
    <row r="341">
      <c r="A341" s="158">
        <v>1.0</v>
      </c>
      <c r="B341" s="159" t="s">
        <v>2593</v>
      </c>
      <c r="C341" s="44">
        <v>337.0</v>
      </c>
      <c r="D341" s="160">
        <v>3.0</v>
      </c>
      <c r="E341" s="160" t="s">
        <v>394</v>
      </c>
      <c r="F341" s="162" t="str">
        <f>HYPERLINK("https://news.okezone.com/read/2019/05/14/338/2055690/ini-modus-tersangka-masturbasi-di-kos-wanita-depok ","sumber")</f>
        <v>sumber</v>
      </c>
      <c r="G341" s="162" t="str">
        <f t="shared" si="1"/>
        <v>lokasi</v>
      </c>
      <c r="H341" s="159">
        <v>202.0</v>
      </c>
      <c r="I341" s="44">
        <v>1.0</v>
      </c>
      <c r="J341" s="160">
        <v>1.0</v>
      </c>
      <c r="K341" s="164" t="s">
        <v>2594</v>
      </c>
      <c r="L341" s="44">
        <v>0.0</v>
      </c>
      <c r="M341" s="44">
        <v>-1.0</v>
      </c>
      <c r="N341" s="44">
        <v>-1.0</v>
      </c>
      <c r="O341" s="44">
        <v>0.0</v>
      </c>
      <c r="P341" s="44">
        <v>0.0</v>
      </c>
      <c r="Q341" s="44">
        <v>0.0</v>
      </c>
      <c r="R341" s="44">
        <v>0.0</v>
      </c>
      <c r="S341" s="175"/>
      <c r="T341" s="44">
        <v>0.0</v>
      </c>
      <c r="U341" s="44">
        <v>0.0</v>
      </c>
      <c r="V341" s="44">
        <v>0.0</v>
      </c>
      <c r="W341" s="45"/>
      <c r="X341" s="45"/>
      <c r="Y341" s="45"/>
      <c r="Z341" s="9"/>
      <c r="AA341" s="52"/>
      <c r="AB341" s="9"/>
      <c r="AC341" s="9"/>
      <c r="AD341" s="9"/>
      <c r="AE341" s="9"/>
      <c r="AF341" s="9"/>
    </row>
    <row r="342">
      <c r="A342" s="158">
        <v>1.0</v>
      </c>
      <c r="B342" s="159" t="s">
        <v>2595</v>
      </c>
      <c r="C342" s="44">
        <v>338.0</v>
      </c>
      <c r="D342" s="160">
        <v>1.0</v>
      </c>
      <c r="E342" s="160" t="s">
        <v>2596</v>
      </c>
      <c r="F342" s="162" t="str">
        <f>HYPERLINK("https://news.detik.com/berita-jawa-timur/d-4552634/nekat-tawarkan-prostitusi-di-eks-lokalisasi-dolly-satu-muncikari-diamankan ","sumber")</f>
        <v>sumber</v>
      </c>
      <c r="G342" s="162" t="str">
        <f t="shared" si="1"/>
        <v>lokasi</v>
      </c>
      <c r="H342" s="159">
        <v>241.0</v>
      </c>
      <c r="I342" s="44">
        <v>1.0</v>
      </c>
      <c r="J342" s="160">
        <v>1.0</v>
      </c>
      <c r="K342" s="164" t="s">
        <v>2597</v>
      </c>
      <c r="L342" s="44">
        <v>0.0</v>
      </c>
      <c r="M342" s="44">
        <v>-1.0</v>
      </c>
      <c r="N342" s="44">
        <v>-1.0</v>
      </c>
      <c r="O342" s="44">
        <v>0.0</v>
      </c>
      <c r="P342" s="44">
        <v>0.0</v>
      </c>
      <c r="Q342" s="44">
        <v>0.0</v>
      </c>
      <c r="R342" s="44">
        <v>0.0</v>
      </c>
      <c r="S342" s="175"/>
      <c r="T342" s="44">
        <v>0.0</v>
      </c>
      <c r="U342" s="44">
        <v>0.0</v>
      </c>
      <c r="V342" s="44">
        <v>0.0</v>
      </c>
      <c r="W342" s="45"/>
      <c r="X342" s="45"/>
      <c r="Y342" s="45"/>
      <c r="Z342" s="9"/>
      <c r="AA342" s="52"/>
      <c r="AB342" s="9"/>
      <c r="AC342" s="9"/>
      <c r="AD342" s="9"/>
      <c r="AE342" s="9"/>
      <c r="AF342" s="9"/>
    </row>
    <row r="343">
      <c r="A343" s="176">
        <v>1.0</v>
      </c>
      <c r="B343" s="196" t="s">
        <v>2598</v>
      </c>
      <c r="C343" s="178">
        <v>339.0</v>
      </c>
      <c r="D343" s="179">
        <v>9.0</v>
      </c>
      <c r="E343" s="179" t="s">
        <v>2599</v>
      </c>
      <c r="F343" s="180" t="str">
        <f>HYPERLINK("https://internasional.republika.co.id/berita/internasional/asia/ps3o0i368/pbb-desak-myanmar-ambil-tindakan-agar-rohingya-kembali ","sumber")</f>
        <v>sumber</v>
      </c>
      <c r="G343" s="180" t="str">
        <f t="shared" si="1"/>
        <v>lokasi</v>
      </c>
      <c r="H343" s="177">
        <v>346.0</v>
      </c>
      <c r="I343" s="178">
        <v>1.0</v>
      </c>
      <c r="J343" s="179">
        <v>1.0</v>
      </c>
      <c r="K343" s="181"/>
      <c r="L343" s="178">
        <v>0.0</v>
      </c>
      <c r="M343" s="188">
        <v>0.0</v>
      </c>
      <c r="N343" s="182">
        <v>0.0</v>
      </c>
      <c r="O343" s="178">
        <v>0.0</v>
      </c>
      <c r="P343" s="178">
        <v>0.0</v>
      </c>
      <c r="Q343" s="178"/>
      <c r="R343" s="178"/>
      <c r="S343" s="183"/>
      <c r="T343" s="178">
        <v>0.0</v>
      </c>
      <c r="U343" s="178">
        <v>0.0</v>
      </c>
      <c r="V343" s="178">
        <v>1.0</v>
      </c>
      <c r="W343" s="184"/>
      <c r="X343" s="184"/>
      <c r="Y343" s="178"/>
      <c r="Z343" s="185"/>
      <c r="AA343" s="185"/>
      <c r="AB343" s="186"/>
      <c r="AC343" s="186"/>
      <c r="AD343" s="186"/>
      <c r="AE343" s="186"/>
      <c r="AF343" s="186"/>
    </row>
    <row r="344">
      <c r="A344" s="152">
        <v>2.0</v>
      </c>
      <c r="B344" s="153" t="s">
        <v>2600</v>
      </c>
      <c r="C344" s="47">
        <v>340.0</v>
      </c>
      <c r="D344" s="154">
        <v>8.0</v>
      </c>
      <c r="E344" s="154" t="s">
        <v>237</v>
      </c>
      <c r="F344" s="156" t="str">
        <f>HYPERLINK("https://www.suara.com/entertainment/2019/05/21/182120/berada-di-penjara-saat-ramadan-vanessa-angel-menangis-setiap-dengar-adzan ","sumber")</f>
        <v>sumber</v>
      </c>
      <c r="G344" s="156" t="str">
        <f t="shared" si="1"/>
        <v>lokasi</v>
      </c>
      <c r="H344" s="153">
        <v>203.0</v>
      </c>
      <c r="I344" s="48"/>
      <c r="J344" s="154">
        <v>1.0</v>
      </c>
      <c r="K344" s="165"/>
      <c r="L344" s="48"/>
      <c r="M344" s="48"/>
      <c r="N344" s="48"/>
      <c r="O344" s="48"/>
      <c r="P344" s="48"/>
      <c r="Q344" s="48"/>
      <c r="R344" s="48"/>
      <c r="S344" s="165"/>
      <c r="T344" s="48"/>
      <c r="U344" s="48"/>
      <c r="V344" s="48"/>
      <c r="W344" s="48"/>
      <c r="X344" s="48"/>
      <c r="Y344" s="48"/>
      <c r="Z344" s="51"/>
      <c r="AA344" s="51"/>
      <c r="AB344" s="51"/>
      <c r="AC344" s="51"/>
      <c r="AD344" s="51"/>
      <c r="AE344" s="51"/>
      <c r="AF344" s="51"/>
    </row>
    <row r="345">
      <c r="A345" s="176">
        <v>1.0</v>
      </c>
      <c r="B345" s="196" t="s">
        <v>2601</v>
      </c>
      <c r="C345" s="178">
        <v>341.0</v>
      </c>
      <c r="D345" s="179">
        <v>9.0</v>
      </c>
      <c r="E345" s="195">
        <v>43743.0</v>
      </c>
      <c r="F345" s="180" t="str">
        <f>HYPERLINK("https://internasional.republika.co.id/berita/internasional/eropa/pr97zr423/paus-keluarkan-dekrit-terkait-pelaporan-pelecehan-di-gereja ","sumber")</f>
        <v>sumber</v>
      </c>
      <c r="G345" s="180" t="str">
        <f t="shared" si="1"/>
        <v>lokasi</v>
      </c>
      <c r="H345" s="177">
        <v>432.0</v>
      </c>
      <c r="I345" s="178">
        <v>1.0</v>
      </c>
      <c r="J345" s="179">
        <v>1.0</v>
      </c>
      <c r="K345" s="181" t="s">
        <v>2602</v>
      </c>
      <c r="L345" s="178">
        <v>0.0</v>
      </c>
      <c r="M345" s="178">
        <v>1.0</v>
      </c>
      <c r="N345" s="182">
        <v>0.0</v>
      </c>
      <c r="O345" s="178">
        <v>0.0</v>
      </c>
      <c r="P345" s="178">
        <v>0.0</v>
      </c>
      <c r="Q345" s="178" t="s">
        <v>61</v>
      </c>
      <c r="R345" s="178" t="s">
        <v>214</v>
      </c>
      <c r="S345" s="183"/>
      <c r="T345" s="178">
        <v>0.0</v>
      </c>
      <c r="U345" s="178">
        <v>0.0</v>
      </c>
      <c r="V345" s="178">
        <v>1.0</v>
      </c>
      <c r="W345" s="184"/>
      <c r="X345" s="184"/>
      <c r="Y345" s="184"/>
      <c r="Z345" s="186"/>
      <c r="AA345" s="185"/>
      <c r="AB345" s="186"/>
      <c r="AC345" s="186"/>
      <c r="AD345" s="186"/>
      <c r="AE345" s="186"/>
      <c r="AF345" s="186"/>
    </row>
    <row r="346">
      <c r="A346" s="158">
        <v>1.0</v>
      </c>
      <c r="B346" s="159" t="s">
        <v>2603</v>
      </c>
      <c r="C346" s="44">
        <v>342.0</v>
      </c>
      <c r="D346" s="160">
        <v>3.0</v>
      </c>
      <c r="E346" s="160" t="s">
        <v>2062</v>
      </c>
      <c r="F346" s="162" t="str">
        <f>HYPERLINK("https://news.okezone.com/read/2019/05/25/525/2060368/bongkar-prostitusi-online-di-garut-polisi-amankan-7-wanita-dan-5-pria ","sumber")</f>
        <v>sumber</v>
      </c>
      <c r="G346" s="162" t="str">
        <f t="shared" si="1"/>
        <v>lokasi</v>
      </c>
      <c r="H346" s="159">
        <v>403.0</v>
      </c>
      <c r="I346" s="44">
        <v>1.0</v>
      </c>
      <c r="J346" s="160">
        <v>1.0</v>
      </c>
      <c r="K346" s="164" t="s">
        <v>2604</v>
      </c>
      <c r="L346" s="44">
        <v>0.0</v>
      </c>
      <c r="M346" s="44">
        <v>-1.0</v>
      </c>
      <c r="N346" s="166">
        <v>0.0</v>
      </c>
      <c r="O346" s="44">
        <v>0.0</v>
      </c>
      <c r="P346" s="44">
        <v>0.0</v>
      </c>
      <c r="Q346" s="44">
        <v>0.0</v>
      </c>
      <c r="R346" s="44">
        <v>1.0</v>
      </c>
      <c r="S346" s="175"/>
      <c r="T346" s="44">
        <v>0.0</v>
      </c>
      <c r="U346" s="44">
        <v>0.0</v>
      </c>
      <c r="V346" s="44">
        <v>0.0</v>
      </c>
      <c r="W346" s="45"/>
      <c r="X346" s="45"/>
      <c r="Y346" s="45"/>
      <c r="Z346" s="9"/>
      <c r="AA346" s="52"/>
      <c r="AB346" s="9"/>
      <c r="AC346" s="9"/>
      <c r="AD346" s="9"/>
      <c r="AE346" s="9"/>
      <c r="AF346" s="9"/>
    </row>
    <row r="347">
      <c r="A347" s="158">
        <v>1.0</v>
      </c>
      <c r="B347" s="159" t="s">
        <v>2605</v>
      </c>
      <c r="C347" s="44">
        <v>343.0</v>
      </c>
      <c r="D347" s="160">
        <v>3.0</v>
      </c>
      <c r="E347" s="160" t="s">
        <v>212</v>
      </c>
      <c r="F347" s="162" t="str">
        <f>HYPERLINK("https://news.okezone.com/read/2019/05/31/18/2062398/skandal-seks-di-universitas-warwick-inggris-perkosa-mereka-semua-biar-kapok ","sumber")</f>
        <v>sumber</v>
      </c>
      <c r="G347" s="162" t="str">
        <f t="shared" si="1"/>
        <v>lokasi</v>
      </c>
      <c r="H347" s="159">
        <v>1262.0</v>
      </c>
      <c r="I347" s="44">
        <v>1.0</v>
      </c>
      <c r="J347" s="160">
        <v>1.0</v>
      </c>
      <c r="K347" s="164" t="s">
        <v>2606</v>
      </c>
      <c r="L347" s="44">
        <v>0.0</v>
      </c>
      <c r="M347" s="44">
        <v>1.0</v>
      </c>
      <c r="N347" s="166">
        <v>0.0</v>
      </c>
      <c r="O347" s="44">
        <v>-1.0</v>
      </c>
      <c r="P347" s="44">
        <v>-1.0</v>
      </c>
      <c r="Q347" s="44" t="s">
        <v>210</v>
      </c>
      <c r="R347" s="44" t="s">
        <v>780</v>
      </c>
      <c r="S347" s="175"/>
      <c r="T347" s="44">
        <v>0.0</v>
      </c>
      <c r="U347" s="44">
        <v>0.0</v>
      </c>
      <c r="V347" s="44">
        <v>0.0</v>
      </c>
      <c r="W347" s="45"/>
      <c r="X347" s="45"/>
      <c r="Y347" s="45"/>
      <c r="Z347" s="9"/>
      <c r="AA347" s="52"/>
      <c r="AB347" s="9"/>
      <c r="AC347" s="9"/>
      <c r="AD347" s="9"/>
      <c r="AE347" s="9"/>
      <c r="AF347" s="9"/>
    </row>
    <row r="348">
      <c r="A348" s="214">
        <v>2.0</v>
      </c>
      <c r="B348" s="215" t="s">
        <v>2607</v>
      </c>
      <c r="C348" s="47">
        <v>344.0</v>
      </c>
      <c r="D348" s="154">
        <v>9.0</v>
      </c>
      <c r="E348" s="154" t="s">
        <v>420</v>
      </c>
      <c r="F348" s="156" t="str">
        <f>HYPERLINK("https://republika.co.id/berita/retizen/surat-pembaca/pt8knd349/aborsi-kebebasan-memilih-ataukah-memilih-bebas ","sumber")</f>
        <v>sumber</v>
      </c>
      <c r="G348" s="156" t="str">
        <f t="shared" si="1"/>
        <v>lokasi</v>
      </c>
      <c r="H348" s="153">
        <v>960.0</v>
      </c>
      <c r="I348" s="48"/>
      <c r="J348" s="154">
        <v>1.0</v>
      </c>
      <c r="K348" s="165"/>
      <c r="L348" s="48"/>
      <c r="M348" s="48"/>
      <c r="N348" s="48"/>
      <c r="O348" s="48"/>
      <c r="P348" s="48"/>
      <c r="Q348" s="48"/>
      <c r="R348" s="48"/>
      <c r="S348" s="165"/>
      <c r="T348" s="48"/>
      <c r="U348" s="48"/>
      <c r="V348" s="48"/>
      <c r="W348" s="48"/>
      <c r="X348" s="48"/>
      <c r="Y348" s="47"/>
      <c r="Z348" s="43"/>
      <c r="AA348" s="51"/>
      <c r="AB348" s="51"/>
      <c r="AC348" s="51"/>
      <c r="AD348" s="51"/>
      <c r="AE348" s="51"/>
      <c r="AF348" s="51"/>
    </row>
    <row r="349">
      <c r="A349" s="158">
        <v>1.0</v>
      </c>
      <c r="B349" s="159" t="s">
        <v>2608</v>
      </c>
      <c r="C349" s="44">
        <v>345.0</v>
      </c>
      <c r="D349" s="160">
        <v>8.0</v>
      </c>
      <c r="E349" s="160" t="s">
        <v>420</v>
      </c>
      <c r="F349" s="162" t="str">
        <f>HYPERLINK("https://jatim.suara.com/read/2019/06/17/212702/terbukti-langgar-uu-ite-vanessa-angel-dituntut-enam-bulan-penjara ","sumber")</f>
        <v>sumber</v>
      </c>
      <c r="G349" s="162" t="str">
        <f t="shared" si="1"/>
        <v>lokasi</v>
      </c>
      <c r="H349" s="159">
        <v>250.0</v>
      </c>
      <c r="I349" s="44">
        <v>1.0</v>
      </c>
      <c r="J349" s="160">
        <v>1.0</v>
      </c>
      <c r="K349" s="164" t="s">
        <v>2609</v>
      </c>
      <c r="L349" s="44">
        <v>0.0</v>
      </c>
      <c r="M349" s="44">
        <v>-1.0</v>
      </c>
      <c r="N349" s="44">
        <v>-1.0</v>
      </c>
      <c r="O349" s="44">
        <v>0.0</v>
      </c>
      <c r="P349" s="44">
        <v>0.0</v>
      </c>
      <c r="Q349" s="44">
        <v>0.0</v>
      </c>
      <c r="R349" s="44">
        <v>1.0</v>
      </c>
      <c r="S349" s="175"/>
      <c r="T349" s="44">
        <v>0.0</v>
      </c>
      <c r="U349" s="44">
        <v>0.0</v>
      </c>
      <c r="V349" s="44">
        <v>0.0</v>
      </c>
      <c r="W349" s="45"/>
      <c r="X349" s="45"/>
      <c r="Y349" s="45"/>
      <c r="Z349" s="9"/>
      <c r="AA349" s="52"/>
      <c r="AB349" s="9"/>
      <c r="AC349" s="9"/>
      <c r="AD349" s="9"/>
      <c r="AE349" s="9"/>
      <c r="AF349" s="9"/>
    </row>
    <row r="350">
      <c r="A350" s="158">
        <v>1.0</v>
      </c>
      <c r="B350" s="159" t="s">
        <v>2610</v>
      </c>
      <c r="C350" s="44">
        <v>346.0</v>
      </c>
      <c r="D350" s="160">
        <v>7.0</v>
      </c>
      <c r="E350" s="160" t="s">
        <v>831</v>
      </c>
      <c r="F350" s="162" t="str">
        <f>HYPERLINK("http://www.tribunnews.com/kilas-daerah/2019/06/20/polres-indramayu-tangkap-mucikari-kapolres-psk-hanya-dapat-rp-70-100-ribu-per-malam ","sumber")</f>
        <v>sumber</v>
      </c>
      <c r="G350" s="162" t="str">
        <f t="shared" si="1"/>
        <v>lokasi</v>
      </c>
      <c r="H350" s="159">
        <v>120.0</v>
      </c>
      <c r="I350" s="44">
        <v>1.0</v>
      </c>
      <c r="J350" s="160">
        <v>1.0</v>
      </c>
      <c r="K350" s="164" t="s">
        <v>2611</v>
      </c>
      <c r="L350" s="44">
        <v>0.0</v>
      </c>
      <c r="M350" s="44">
        <v>-1.0</v>
      </c>
      <c r="N350" s="166">
        <v>0.0</v>
      </c>
      <c r="O350" s="44">
        <v>0.0</v>
      </c>
      <c r="P350" s="44">
        <v>0.0</v>
      </c>
      <c r="Q350" s="44">
        <v>0.0</v>
      </c>
      <c r="R350" s="44">
        <v>0.0</v>
      </c>
      <c r="S350" s="175"/>
      <c r="T350" s="44">
        <v>0.0</v>
      </c>
      <c r="U350" s="44">
        <v>0.0</v>
      </c>
      <c r="V350" s="44">
        <v>0.0</v>
      </c>
      <c r="W350" s="45"/>
      <c r="X350" s="45"/>
      <c r="Y350" s="45"/>
      <c r="Z350" s="9"/>
      <c r="AA350" s="52"/>
      <c r="AB350" s="9"/>
      <c r="AC350" s="9"/>
      <c r="AD350" s="9"/>
      <c r="AE350" s="9"/>
      <c r="AF350" s="9"/>
    </row>
    <row r="351">
      <c r="A351" s="176">
        <v>1.0</v>
      </c>
      <c r="B351" s="196" t="s">
        <v>2612</v>
      </c>
      <c r="C351" s="178">
        <v>347.0</v>
      </c>
      <c r="D351" s="179">
        <v>9.0</v>
      </c>
      <c r="E351" s="179" t="s">
        <v>414</v>
      </c>
      <c r="F351" s="180" t="str">
        <f>HYPERLINK("https://internasional.republika.co.id/berita/internasional/abc-australia-network/pt8df2/bekerja-di-australia-dilecehkan-hingga-dieksploitasi ","sumber")</f>
        <v>sumber</v>
      </c>
      <c r="G351" s="180" t="str">
        <f t="shared" si="1"/>
        <v>lokasi</v>
      </c>
      <c r="H351" s="177">
        <v>217.0</v>
      </c>
      <c r="I351" s="178">
        <v>1.0</v>
      </c>
      <c r="J351" s="179">
        <v>1.0</v>
      </c>
      <c r="K351" s="181" t="s">
        <v>2613</v>
      </c>
      <c r="L351" s="178">
        <v>0.0</v>
      </c>
      <c r="M351" s="178">
        <v>1.0</v>
      </c>
      <c r="N351" s="182">
        <v>0.0</v>
      </c>
      <c r="O351" s="178">
        <v>0.0</v>
      </c>
      <c r="P351" s="178">
        <v>0.0</v>
      </c>
      <c r="Q351" s="178" t="s">
        <v>2614</v>
      </c>
      <c r="R351" s="178" t="s">
        <v>2615</v>
      </c>
      <c r="S351" s="183"/>
      <c r="T351" s="178">
        <v>0.0</v>
      </c>
      <c r="U351" s="178">
        <v>0.0</v>
      </c>
      <c r="V351" s="178">
        <v>1.0</v>
      </c>
      <c r="W351" s="184"/>
      <c r="X351" s="184"/>
      <c r="Y351" s="178"/>
      <c r="Z351" s="185"/>
      <c r="AA351" s="185"/>
      <c r="AB351" s="186"/>
      <c r="AC351" s="186"/>
      <c r="AD351" s="186"/>
      <c r="AE351" s="186"/>
      <c r="AF351" s="186"/>
    </row>
    <row r="352">
      <c r="A352" s="152">
        <v>2.0</v>
      </c>
      <c r="B352" s="153" t="s">
        <v>2616</v>
      </c>
      <c r="C352" s="47">
        <v>348.0</v>
      </c>
      <c r="D352" s="154">
        <v>5.0</v>
      </c>
      <c r="E352" s="154" t="s">
        <v>270</v>
      </c>
      <c r="F352" s="156" t="str">
        <f>HYPERLINK("https://tirto.id/membaca-atheis-menelusuri-ruang-pengalaman-para-tokohnya-ecVU ","sumber")</f>
        <v>sumber</v>
      </c>
      <c r="G352" s="156" t="str">
        <f t="shared" si="1"/>
        <v>lokasi</v>
      </c>
      <c r="H352" s="153">
        <v>2075.0</v>
      </c>
      <c r="I352" s="48"/>
      <c r="J352" s="154">
        <v>1.0</v>
      </c>
      <c r="K352" s="165"/>
      <c r="L352" s="48"/>
      <c r="M352" s="48"/>
      <c r="N352" s="48"/>
      <c r="O352" s="48"/>
      <c r="P352" s="48"/>
      <c r="Q352" s="48"/>
      <c r="R352" s="48"/>
      <c r="S352" s="165"/>
      <c r="T352" s="48"/>
      <c r="U352" s="48"/>
      <c r="V352" s="48"/>
      <c r="W352" s="48"/>
      <c r="X352" s="48"/>
      <c r="Y352" s="48"/>
      <c r="Z352" s="51"/>
      <c r="AA352" s="51"/>
      <c r="AB352" s="51"/>
      <c r="AC352" s="51"/>
      <c r="AD352" s="51"/>
      <c r="AE352" s="51"/>
      <c r="AF352" s="51"/>
    </row>
    <row r="353">
      <c r="A353" s="152">
        <v>2.0</v>
      </c>
      <c r="B353" s="153" t="s">
        <v>2617</v>
      </c>
      <c r="C353" s="47">
        <v>349.0</v>
      </c>
      <c r="D353" s="154">
        <v>1.0</v>
      </c>
      <c r="E353" s="154" t="s">
        <v>616</v>
      </c>
      <c r="F353" s="156" t="str">
        <f>HYPERLINK("https://hot.detik.com/movie/d-4603034/james-wan-sibuk-banget-aquaman-2-kapan-digarap ","sumber")</f>
        <v>sumber</v>
      </c>
      <c r="G353" s="156" t="str">
        <f t="shared" si="1"/>
        <v>lokasi</v>
      </c>
      <c r="H353" s="153">
        <v>1651.0</v>
      </c>
      <c r="I353" s="48"/>
      <c r="J353" s="154">
        <v>1.0</v>
      </c>
      <c r="K353" s="165"/>
      <c r="L353" s="48"/>
      <c r="M353" s="48"/>
      <c r="N353" s="48"/>
      <c r="O353" s="48"/>
      <c r="P353" s="48"/>
      <c r="Q353" s="48"/>
      <c r="R353" s="48"/>
      <c r="S353" s="165"/>
      <c r="T353" s="48"/>
      <c r="U353" s="48"/>
      <c r="V353" s="48"/>
      <c r="W353" s="48"/>
      <c r="X353" s="48"/>
      <c r="Y353" s="47"/>
      <c r="Z353" s="43"/>
      <c r="AA353" s="51"/>
      <c r="AB353" s="51"/>
      <c r="AC353" s="51"/>
      <c r="AD353" s="51"/>
      <c r="AE353" s="51"/>
      <c r="AF353" s="51"/>
    </row>
    <row r="354">
      <c r="A354" s="176">
        <v>1.0</v>
      </c>
      <c r="B354" s="196" t="s">
        <v>1726</v>
      </c>
      <c r="C354" s="178">
        <v>350.0</v>
      </c>
      <c r="D354" s="179">
        <v>6.0</v>
      </c>
      <c r="E354" s="195">
        <v>43472.0</v>
      </c>
      <c r="F354" s="180" t="str">
        <f>HYPERLINK("https://entertainment.kompas.com/read/2019/07/01/102606210/didampingi-hotman-paris-fairuz-a-rafiq-dan-suami-sambangi-polda-metro ","sumber")</f>
        <v>sumber</v>
      </c>
      <c r="G354" s="180" t="str">
        <f t="shared" si="1"/>
        <v>lokasi</v>
      </c>
      <c r="H354" s="177">
        <v>201.0</v>
      </c>
      <c r="I354" s="178">
        <v>1.0</v>
      </c>
      <c r="J354" s="179">
        <v>1.0</v>
      </c>
      <c r="K354" s="181" t="s">
        <v>2454</v>
      </c>
      <c r="L354" s="178">
        <v>0.0</v>
      </c>
      <c r="M354" s="178">
        <v>-1.0</v>
      </c>
      <c r="N354" s="182">
        <v>0.0</v>
      </c>
      <c r="O354" s="178">
        <v>0.0</v>
      </c>
      <c r="P354" s="178">
        <v>0.0</v>
      </c>
      <c r="Q354" s="178">
        <v>0.0</v>
      </c>
      <c r="R354" s="178">
        <v>1.0</v>
      </c>
      <c r="S354" s="183"/>
      <c r="T354" s="178">
        <v>0.0</v>
      </c>
      <c r="U354" s="178">
        <v>0.0</v>
      </c>
      <c r="V354" s="178">
        <v>0.0</v>
      </c>
      <c r="W354" s="184"/>
      <c r="X354" s="184"/>
      <c r="Y354" s="178"/>
      <c r="Z354" s="185"/>
      <c r="AA354" s="185"/>
      <c r="AB354" s="186"/>
      <c r="AC354" s="186"/>
      <c r="AD354" s="186"/>
      <c r="AE354" s="186"/>
      <c r="AF354" s="186"/>
    </row>
    <row r="355">
      <c r="A355" s="158">
        <v>1.0</v>
      </c>
      <c r="B355" s="159" t="s">
        <v>2618</v>
      </c>
      <c r="C355" s="44">
        <v>351.0</v>
      </c>
      <c r="D355" s="160">
        <v>10.0</v>
      </c>
      <c r="E355" s="161">
        <v>43745.0</v>
      </c>
      <c r="F355" s="162" t="str">
        <f>HYPERLINK("https://nasional.tempo.co/read/1223074/yenny-wahid-ikut-dukung-pemberian-amnesti-untuk-baiq-nuril ","sumber")</f>
        <v>sumber</v>
      </c>
      <c r="G355" s="162" t="str">
        <f t="shared" si="1"/>
        <v>lokasi</v>
      </c>
      <c r="H355" s="159">
        <v>263.0</v>
      </c>
      <c r="I355" s="44">
        <v>4.0</v>
      </c>
      <c r="J355" s="160">
        <v>1.0</v>
      </c>
      <c r="K355" s="164" t="s">
        <v>2619</v>
      </c>
      <c r="L355" s="44">
        <v>0.0</v>
      </c>
      <c r="M355" s="44">
        <v>0.0</v>
      </c>
      <c r="N355" s="166">
        <v>0.0</v>
      </c>
      <c r="O355" s="44">
        <v>0.0</v>
      </c>
      <c r="P355" s="44">
        <v>0.0</v>
      </c>
      <c r="Q355" s="44">
        <v>0.0</v>
      </c>
      <c r="R355" s="44">
        <v>1.0</v>
      </c>
      <c r="S355" s="175"/>
      <c r="T355" s="44">
        <v>0.0</v>
      </c>
      <c r="U355" s="44">
        <v>0.0</v>
      </c>
      <c r="V355" s="44">
        <v>0.0</v>
      </c>
      <c r="W355" s="45"/>
      <c r="X355" s="45"/>
      <c r="Y355" s="45"/>
      <c r="Z355" s="9"/>
      <c r="AA355" s="52"/>
      <c r="AB355" s="9"/>
      <c r="AC355" s="9"/>
      <c r="AD355" s="9"/>
      <c r="AE355" s="9"/>
      <c r="AF355" s="9"/>
    </row>
    <row r="356">
      <c r="A356" s="152">
        <v>2.0</v>
      </c>
      <c r="B356" s="153" t="s">
        <v>2620</v>
      </c>
      <c r="C356" s="47">
        <v>352.0</v>
      </c>
      <c r="D356" s="154">
        <v>1.0</v>
      </c>
      <c r="E356" s="154" t="s">
        <v>645</v>
      </c>
      <c r="F356" s="156" t="str">
        <f>HYPERLINK("https://hot.detik.com/celeb/d-4622714/dinar-candy-rebut-pacar-orang ","sumber")</f>
        <v>sumber</v>
      </c>
      <c r="G356" s="156" t="str">
        <f t="shared" si="1"/>
        <v>lokasi</v>
      </c>
      <c r="H356" s="153">
        <v>1406.0</v>
      </c>
      <c r="I356" s="48"/>
      <c r="J356" s="154">
        <v>1.0</v>
      </c>
      <c r="K356" s="165"/>
      <c r="L356" s="48"/>
      <c r="M356" s="48"/>
      <c r="N356" s="48"/>
      <c r="O356" s="48"/>
      <c r="P356" s="48"/>
      <c r="Q356" s="48"/>
      <c r="R356" s="48"/>
      <c r="S356" s="165"/>
      <c r="T356" s="48"/>
      <c r="U356" s="48"/>
      <c r="V356" s="48"/>
      <c r="W356" s="48"/>
      <c r="X356" s="48"/>
      <c r="Y356" s="48"/>
      <c r="Z356" s="51"/>
      <c r="AA356" s="51"/>
      <c r="AB356" s="51"/>
      <c r="AC356" s="51"/>
      <c r="AD356" s="51"/>
      <c r="AE356" s="51"/>
      <c r="AF356" s="51"/>
    </row>
    <row r="357">
      <c r="A357" s="176">
        <v>1.0</v>
      </c>
      <c r="B357" s="196" t="s">
        <v>2621</v>
      </c>
      <c r="C357" s="178">
        <v>353.0</v>
      </c>
      <c r="D357" s="179">
        <v>3.0</v>
      </c>
      <c r="E357" s="179" t="s">
        <v>2622</v>
      </c>
      <c r="F357" s="180" t="str">
        <f>HYPERLINK("https://news.okezone.com/read/2019/07/29/18/2085125/mengaku-diperkosa-politisi-india-gadis-19-tahun-kritis-usai-mobil-ditabrak-truk ","sumber")</f>
        <v>sumber</v>
      </c>
      <c r="G357" s="180" t="str">
        <f t="shared" si="1"/>
        <v>lokasi</v>
      </c>
      <c r="H357" s="177">
        <v>288.0</v>
      </c>
      <c r="I357" s="178">
        <v>1.0</v>
      </c>
      <c r="J357" s="179">
        <v>1.0</v>
      </c>
      <c r="K357" s="181" t="s">
        <v>2623</v>
      </c>
      <c r="L357" s="178">
        <v>0.0</v>
      </c>
      <c r="M357" s="178">
        <v>1.0</v>
      </c>
      <c r="N357" s="178">
        <v>-1.0</v>
      </c>
      <c r="O357" s="178">
        <v>0.0</v>
      </c>
      <c r="P357" s="178">
        <v>0.0</v>
      </c>
      <c r="Q357" s="178">
        <v>0.0</v>
      </c>
      <c r="R357" s="178">
        <v>0.0</v>
      </c>
      <c r="S357" s="183"/>
      <c r="T357" s="178">
        <v>0.0</v>
      </c>
      <c r="U357" s="178">
        <v>0.0</v>
      </c>
      <c r="V357" s="178">
        <v>0.0</v>
      </c>
      <c r="W357" s="184"/>
      <c r="X357" s="184"/>
      <c r="Y357" s="184"/>
      <c r="Z357" s="186"/>
      <c r="AA357" s="185"/>
      <c r="AB357" s="186"/>
      <c r="AC357" s="186"/>
      <c r="AD357" s="186"/>
      <c r="AE357" s="186"/>
      <c r="AF357" s="186"/>
    </row>
    <row r="358">
      <c r="A358" s="176">
        <v>1.0</v>
      </c>
      <c r="B358" s="196" t="s">
        <v>2624</v>
      </c>
      <c r="C358" s="178">
        <v>354.0</v>
      </c>
      <c r="D358" s="179">
        <v>1.0</v>
      </c>
      <c r="E358" s="179" t="s">
        <v>431</v>
      </c>
      <c r="F358" s="180" t="str">
        <f>HYPERLINK("https://news.detik.com/bbc-world/d-4635437/kisah-para-korban-pelecehan-seksual-pastor-di-polandia ","sumber")</f>
        <v>sumber</v>
      </c>
      <c r="G358" s="180" t="str">
        <f t="shared" si="1"/>
        <v>lokasi</v>
      </c>
      <c r="H358" s="177">
        <v>1002.0</v>
      </c>
      <c r="I358" s="178">
        <v>1.0</v>
      </c>
      <c r="J358" s="179">
        <v>1.0</v>
      </c>
      <c r="K358" s="181" t="s">
        <v>2625</v>
      </c>
      <c r="L358" s="178">
        <v>0.0</v>
      </c>
      <c r="M358" s="178">
        <v>1.0</v>
      </c>
      <c r="N358" s="182">
        <v>0.0</v>
      </c>
      <c r="O358" s="178">
        <v>0.0</v>
      </c>
      <c r="P358" s="178">
        <v>0.0</v>
      </c>
      <c r="Q358" s="178" t="s">
        <v>2626</v>
      </c>
      <c r="R358" s="178" t="s">
        <v>2627</v>
      </c>
      <c r="S358" s="183"/>
      <c r="T358" s="178">
        <v>0.0</v>
      </c>
      <c r="U358" s="178">
        <v>0.0</v>
      </c>
      <c r="V358" s="178">
        <v>1.0</v>
      </c>
      <c r="W358" s="184"/>
      <c r="X358" s="184"/>
      <c r="Y358" s="178"/>
      <c r="Z358" s="185"/>
      <c r="AA358" s="185"/>
      <c r="AB358" s="186"/>
      <c r="AC358" s="186"/>
      <c r="AD358" s="186"/>
      <c r="AE358" s="186"/>
      <c r="AF358" s="186"/>
    </row>
    <row r="359">
      <c r="A359" s="152">
        <v>2.0</v>
      </c>
      <c r="B359" s="153" t="s">
        <v>2628</v>
      </c>
      <c r="C359" s="47">
        <v>355.0</v>
      </c>
      <c r="D359" s="154">
        <v>2.0</v>
      </c>
      <c r="E359" s="154" t="s">
        <v>431</v>
      </c>
      <c r="F359" s="156" t="str">
        <f>HYPERLINK("https://www.cnnindonesia.com/olahraga/20190723110120-178-414620/mayweather-loncat-kegirangan-lihat-pacquiao-jatuhkan-thurman ","sumber")</f>
        <v>sumber</v>
      </c>
      <c r="G359" s="156" t="str">
        <f t="shared" si="1"/>
        <v>lokasi</v>
      </c>
      <c r="H359" s="153">
        <v>320.0</v>
      </c>
      <c r="I359" s="48"/>
      <c r="J359" s="154">
        <v>1.0</v>
      </c>
      <c r="K359" s="165"/>
      <c r="L359" s="48"/>
      <c r="M359" s="48"/>
      <c r="N359" s="48"/>
      <c r="O359" s="48"/>
      <c r="P359" s="48"/>
      <c r="Q359" s="48"/>
      <c r="R359" s="48"/>
      <c r="S359" s="165"/>
      <c r="T359" s="48"/>
      <c r="U359" s="48"/>
      <c r="V359" s="48"/>
      <c r="W359" s="48"/>
      <c r="X359" s="48"/>
      <c r="Y359" s="47"/>
      <c r="Z359" s="43"/>
      <c r="AA359" s="51"/>
      <c r="AB359" s="51"/>
      <c r="AC359" s="51"/>
      <c r="AD359" s="51"/>
      <c r="AE359" s="51"/>
      <c r="AF359" s="51"/>
    </row>
    <row r="360">
      <c r="A360" s="158">
        <v>1.0</v>
      </c>
      <c r="B360" s="159" t="s">
        <v>2629</v>
      </c>
      <c r="C360" s="44">
        <v>356.0</v>
      </c>
      <c r="D360" s="160">
        <v>9.0</v>
      </c>
      <c r="E360" s="160" t="s">
        <v>431</v>
      </c>
      <c r="F360" s="162" t="str">
        <f>HYPERLINK("https://republika.co.id/berita/pv2sng349/lemahnya-hukum-dalam-grasi-neil-bantleman ","sumber")</f>
        <v>sumber</v>
      </c>
      <c r="G360" s="162" t="str">
        <f t="shared" si="1"/>
        <v>lokasi</v>
      </c>
      <c r="H360" s="159">
        <v>57.0</v>
      </c>
      <c r="I360" s="44">
        <v>1.0</v>
      </c>
      <c r="J360" s="160">
        <v>1.0</v>
      </c>
      <c r="K360" s="164" t="s">
        <v>2630</v>
      </c>
      <c r="L360" s="44">
        <v>0.0</v>
      </c>
      <c r="M360" s="44">
        <v>1.0</v>
      </c>
      <c r="N360" s="166">
        <v>0.0</v>
      </c>
      <c r="O360" s="44">
        <v>0.0</v>
      </c>
      <c r="P360" s="44">
        <v>0.0</v>
      </c>
      <c r="Q360" s="44" t="s">
        <v>61</v>
      </c>
      <c r="R360" s="44" t="s">
        <v>214</v>
      </c>
      <c r="S360" s="175"/>
      <c r="T360" s="44">
        <v>0.0</v>
      </c>
      <c r="U360" s="44">
        <v>0.0</v>
      </c>
      <c r="V360" s="44">
        <v>1.0</v>
      </c>
      <c r="W360" s="45"/>
      <c r="X360" s="45"/>
      <c r="Y360" s="45"/>
      <c r="Z360" s="9"/>
      <c r="AA360" s="52"/>
      <c r="AB360" s="9"/>
      <c r="AC360" s="9"/>
      <c r="AD360" s="9"/>
      <c r="AE360" s="9"/>
      <c r="AF360" s="9"/>
    </row>
    <row r="361">
      <c r="A361" s="158">
        <v>1.0</v>
      </c>
      <c r="B361" s="159" t="s">
        <v>2631</v>
      </c>
      <c r="C361" s="44">
        <v>357.0</v>
      </c>
      <c r="D361" s="160">
        <v>1.0</v>
      </c>
      <c r="E361" s="160" t="s">
        <v>871</v>
      </c>
      <c r="F361" s="162" t="str">
        <f>HYPERLINK("https://news.detik.com/berita-jawa-timur/d-4638442/kasus-pencabulan-guru-menyeruak-pemerhati-anak-sarankan-pencegahan ","sumber")</f>
        <v>sumber</v>
      </c>
      <c r="G361" s="162" t="str">
        <f t="shared" si="1"/>
        <v>lokasi</v>
      </c>
      <c r="H361" s="159">
        <v>333.0</v>
      </c>
      <c r="I361" s="44">
        <v>4.0</v>
      </c>
      <c r="J361" s="160">
        <v>1.0</v>
      </c>
      <c r="K361" s="164" t="s">
        <v>2632</v>
      </c>
      <c r="L361" s="44">
        <v>0.0</v>
      </c>
      <c r="M361" s="44">
        <v>0.0</v>
      </c>
      <c r="N361" s="166">
        <v>0.0</v>
      </c>
      <c r="O361" s="44">
        <v>0.0</v>
      </c>
      <c r="P361" s="44">
        <v>0.0</v>
      </c>
      <c r="Q361" s="44">
        <v>0.0</v>
      </c>
      <c r="R361" s="44">
        <v>1.0</v>
      </c>
      <c r="S361" s="175"/>
      <c r="T361" s="44">
        <v>0.0</v>
      </c>
      <c r="U361" s="44">
        <v>0.0</v>
      </c>
      <c r="V361" s="44">
        <v>1.0</v>
      </c>
      <c r="W361" s="45"/>
      <c r="X361" s="45"/>
      <c r="Y361" s="45"/>
      <c r="Z361" s="9"/>
      <c r="AA361" s="52"/>
      <c r="AB361" s="9"/>
      <c r="AC361" s="9"/>
      <c r="AD361" s="9"/>
      <c r="AE361" s="9"/>
      <c r="AF361" s="9"/>
    </row>
    <row r="362">
      <c r="A362" s="158">
        <v>1.0</v>
      </c>
      <c r="B362" s="159" t="s">
        <v>2633</v>
      </c>
      <c r="C362" s="44">
        <v>358.0</v>
      </c>
      <c r="D362" s="160">
        <v>9.0</v>
      </c>
      <c r="E362" s="160" t="s">
        <v>871</v>
      </c>
      <c r="F362" s="162" t="str">
        <f>HYPERLINK("https://nasional.republika.co.id/berita/pv5v6g428/menkumham-kita-lindungi-harkat-martabat-perempuan ","sumber")</f>
        <v>sumber</v>
      </c>
      <c r="G362" s="162" t="str">
        <f t="shared" si="1"/>
        <v>lokasi</v>
      </c>
      <c r="H362" s="159">
        <v>74.0</v>
      </c>
      <c r="I362" s="44">
        <v>4.0</v>
      </c>
      <c r="J362" s="160">
        <v>1.0</v>
      </c>
      <c r="K362" s="164" t="s">
        <v>2634</v>
      </c>
      <c r="L362" s="44">
        <v>0.0</v>
      </c>
      <c r="M362" s="44">
        <v>0.0</v>
      </c>
      <c r="N362" s="166">
        <v>0.0</v>
      </c>
      <c r="O362" s="44">
        <v>0.0</v>
      </c>
      <c r="P362" s="44">
        <v>0.0</v>
      </c>
      <c r="Q362" s="44" t="s">
        <v>1689</v>
      </c>
      <c r="R362" s="44" t="s">
        <v>392</v>
      </c>
      <c r="S362" s="175"/>
      <c r="T362" s="44">
        <v>0.0</v>
      </c>
      <c r="U362" s="44">
        <v>0.0</v>
      </c>
      <c r="V362" s="44">
        <v>1.0</v>
      </c>
      <c r="W362" s="45"/>
      <c r="X362" s="45"/>
      <c r="Y362" s="45"/>
      <c r="Z362" s="9"/>
      <c r="AA362" s="52"/>
      <c r="AB362" s="9"/>
      <c r="AC362" s="9"/>
      <c r="AD362" s="9"/>
      <c r="AE362" s="9"/>
      <c r="AF362" s="9"/>
    </row>
    <row r="363">
      <c r="A363" s="189">
        <v>1.0</v>
      </c>
      <c r="B363" s="190" t="s">
        <v>2635</v>
      </c>
      <c r="C363" s="55">
        <v>359.0</v>
      </c>
      <c r="D363" s="169">
        <v>1.0</v>
      </c>
      <c r="E363" s="169" t="s">
        <v>295</v>
      </c>
      <c r="F363" s="171" t="str">
        <f>HYPERLINK("https://news.detik.com/berita/d-4636758/pakaian-perempuan-tak-picu-pelecehan-mui-laki-laki-harus-peduli ","sumber")</f>
        <v>sumber</v>
      </c>
      <c r="G363" s="171" t="str">
        <f t="shared" si="1"/>
        <v>lokasi</v>
      </c>
      <c r="H363" s="168">
        <v>354.0</v>
      </c>
      <c r="I363" s="55">
        <v>2.0</v>
      </c>
      <c r="J363" s="169">
        <v>1.0</v>
      </c>
      <c r="K363" s="172" t="s">
        <v>2636</v>
      </c>
      <c r="L363" s="55">
        <v>0.0</v>
      </c>
      <c r="M363" s="55">
        <v>0.0</v>
      </c>
      <c r="N363" s="173">
        <v>0.0</v>
      </c>
      <c r="O363" s="55">
        <v>0.0</v>
      </c>
      <c r="P363" s="55">
        <v>0.0</v>
      </c>
      <c r="Q363" s="55">
        <v>0.0</v>
      </c>
      <c r="R363" s="55">
        <v>1.0</v>
      </c>
      <c r="S363" s="174"/>
      <c r="T363" s="55">
        <v>0.0</v>
      </c>
      <c r="U363" s="55">
        <v>0.0</v>
      </c>
      <c r="V363" s="55">
        <v>1.0</v>
      </c>
      <c r="W363" s="46"/>
      <c r="X363" s="46"/>
      <c r="Y363" s="46"/>
      <c r="Z363" s="31"/>
      <c r="AA363" s="30"/>
      <c r="AB363" s="31"/>
      <c r="AC363" s="31"/>
      <c r="AD363" s="31"/>
      <c r="AE363" s="31"/>
      <c r="AF363" s="31"/>
    </row>
    <row r="364">
      <c r="A364" s="158">
        <v>1.0</v>
      </c>
      <c r="B364" s="159" t="s">
        <v>1757</v>
      </c>
      <c r="C364" s="44">
        <v>360.0</v>
      </c>
      <c r="D364" s="160">
        <v>9.0</v>
      </c>
      <c r="E364" s="161">
        <v>43532.0</v>
      </c>
      <c r="F364" s="162" t="str">
        <f>HYPERLINK("https://nasional.republika.co.id/berita/pvn7o4415/pemerintah-kaji-revisi-uu-ite ","sumber")</f>
        <v>sumber</v>
      </c>
      <c r="G364" s="162" t="str">
        <f t="shared" si="1"/>
        <v>lokasi</v>
      </c>
      <c r="H364" s="159">
        <v>459.0</v>
      </c>
      <c r="I364" s="44">
        <v>4.0</v>
      </c>
      <c r="J364" s="160">
        <v>1.0</v>
      </c>
      <c r="K364" s="164" t="s">
        <v>2637</v>
      </c>
      <c r="L364" s="44">
        <v>0.0</v>
      </c>
      <c r="M364" s="44">
        <v>0.0</v>
      </c>
      <c r="N364" s="166">
        <v>0.0</v>
      </c>
      <c r="O364" s="44">
        <v>0.0</v>
      </c>
      <c r="P364" s="44">
        <v>0.0</v>
      </c>
      <c r="Q364" s="44" t="s">
        <v>119</v>
      </c>
      <c r="R364" s="44" t="s">
        <v>192</v>
      </c>
      <c r="S364" s="175"/>
      <c r="T364" s="44">
        <v>0.0</v>
      </c>
      <c r="U364" s="44">
        <v>0.0</v>
      </c>
      <c r="V364" s="44">
        <v>1.0</v>
      </c>
      <c r="W364" s="45"/>
      <c r="X364" s="45"/>
      <c r="Y364" s="45"/>
      <c r="Z364" s="9"/>
      <c r="AA364" s="52"/>
      <c r="AB364" s="9"/>
      <c r="AC364" s="9"/>
      <c r="AD364" s="9"/>
      <c r="AE364" s="9"/>
      <c r="AF364" s="9"/>
    </row>
    <row r="365">
      <c r="A365" s="158">
        <v>1.0</v>
      </c>
      <c r="B365" s="159" t="s">
        <v>2638</v>
      </c>
      <c r="C365" s="44">
        <v>361.0</v>
      </c>
      <c r="D365" s="160">
        <v>2.0</v>
      </c>
      <c r="E365" s="161">
        <v>43563.0</v>
      </c>
      <c r="F365" s="162" t="str">
        <f>HYPERLINK("https://www.cnnindonesia.com/nasional/20190803080939-20-418023/perjalanan-lombok-bogor-baiq-nuril-jemput-amnesti-jokowi ","sumber")</f>
        <v>sumber</v>
      </c>
      <c r="G365" s="162" t="str">
        <f t="shared" si="1"/>
        <v>lokasi</v>
      </c>
      <c r="H365" s="159">
        <v>789.0</v>
      </c>
      <c r="I365" s="44">
        <v>3.0</v>
      </c>
      <c r="J365" s="160">
        <v>1.0</v>
      </c>
      <c r="K365" s="164" t="s">
        <v>2639</v>
      </c>
      <c r="L365" s="44">
        <v>0.0</v>
      </c>
      <c r="M365" s="44">
        <v>0.0</v>
      </c>
      <c r="N365" s="166">
        <v>0.0</v>
      </c>
      <c r="O365" s="44">
        <v>0.0</v>
      </c>
      <c r="P365" s="44">
        <v>0.0</v>
      </c>
      <c r="Q365" s="44" t="s">
        <v>166</v>
      </c>
      <c r="R365" s="44" t="s">
        <v>131</v>
      </c>
      <c r="S365" s="175"/>
      <c r="T365" s="44">
        <v>0.0</v>
      </c>
      <c r="U365" s="44">
        <v>0.0</v>
      </c>
      <c r="V365" s="44">
        <v>0.0</v>
      </c>
      <c r="W365" s="45"/>
      <c r="X365" s="45"/>
      <c r="Y365" s="45"/>
      <c r="Z365" s="9"/>
      <c r="AA365" s="52"/>
      <c r="AB365" s="9"/>
      <c r="AC365" s="9"/>
      <c r="AD365" s="9"/>
      <c r="AE365" s="9"/>
      <c r="AF365" s="9"/>
    </row>
    <row r="366">
      <c r="A366" s="158">
        <v>1.0</v>
      </c>
      <c r="B366" s="159" t="s">
        <v>2640</v>
      </c>
      <c r="C366" s="44">
        <v>362.0</v>
      </c>
      <c r="D366" s="160">
        <v>4.0</v>
      </c>
      <c r="E366" s="161">
        <v>43685.0</v>
      </c>
      <c r="F366" s="162" t="str">
        <f>HYPERLINK("https://www.liputan6.com/news/read/3988180/terpidana-pelecehan-seksual-siswa-jis-bebas-ini-respons-orangtua ","sumber")</f>
        <v>sumber</v>
      </c>
      <c r="G366" s="162" t="str">
        <f t="shared" si="1"/>
        <v>lokasi</v>
      </c>
      <c r="H366" s="159">
        <v>366.0</v>
      </c>
      <c r="I366" s="44">
        <v>1.0</v>
      </c>
      <c r="J366" s="160">
        <v>1.0</v>
      </c>
      <c r="K366" s="164" t="s">
        <v>2641</v>
      </c>
      <c r="L366" s="44">
        <v>0.0</v>
      </c>
      <c r="M366" s="44">
        <v>1.0</v>
      </c>
      <c r="N366" s="166">
        <v>0.0</v>
      </c>
      <c r="O366" s="44">
        <v>0.0</v>
      </c>
      <c r="P366" s="44">
        <v>0.0</v>
      </c>
      <c r="Q366" s="44" t="s">
        <v>61</v>
      </c>
      <c r="R366" s="44" t="s">
        <v>100</v>
      </c>
      <c r="S366" s="175"/>
      <c r="T366" s="44">
        <v>0.0</v>
      </c>
      <c r="U366" s="44">
        <v>0.0</v>
      </c>
      <c r="V366" s="44">
        <v>0.0</v>
      </c>
      <c r="W366" s="45"/>
      <c r="X366" s="45"/>
      <c r="Y366" s="45"/>
      <c r="Z366" s="9"/>
      <c r="AA366" s="52"/>
      <c r="AB366" s="9"/>
      <c r="AC366" s="9"/>
      <c r="AD366" s="9"/>
      <c r="AE366" s="9"/>
      <c r="AF366" s="9"/>
    </row>
    <row r="367">
      <c r="A367" s="158">
        <v>1.0</v>
      </c>
      <c r="B367" s="159" t="s">
        <v>2642</v>
      </c>
      <c r="C367" s="44">
        <v>363.0</v>
      </c>
      <c r="D367" s="160">
        <v>3.0</v>
      </c>
      <c r="E367" s="161">
        <v>43777.0</v>
      </c>
      <c r="F367" s="162" t="str">
        <f>HYPERLINK("https://news.okezone.com/read/2019/08/11/608/2090513/orangtua-kristina-gultom-yakin-putrinya-diperkosa-lalu-dibunuh-pria-beranak-5 ","sumber")</f>
        <v>sumber</v>
      </c>
      <c r="G367" s="162" t="str">
        <f t="shared" si="1"/>
        <v>lokasi</v>
      </c>
      <c r="H367" s="159">
        <v>815.0</v>
      </c>
      <c r="I367" s="44">
        <v>1.0</v>
      </c>
      <c r="J367" s="160">
        <v>1.0</v>
      </c>
      <c r="K367" s="164" t="s">
        <v>2643</v>
      </c>
      <c r="L367" s="44">
        <v>0.0</v>
      </c>
      <c r="M367" s="44">
        <v>1.0</v>
      </c>
      <c r="N367" s="44">
        <v>-1.0</v>
      </c>
      <c r="O367" s="44">
        <v>0.0</v>
      </c>
      <c r="P367" s="44">
        <v>-1.0</v>
      </c>
      <c r="Q367" s="44" t="s">
        <v>53</v>
      </c>
      <c r="R367" s="44" t="s">
        <v>341</v>
      </c>
      <c r="S367" s="175"/>
      <c r="T367" s="44">
        <v>0.0</v>
      </c>
      <c r="U367" s="44">
        <v>0.0</v>
      </c>
      <c r="V367" s="44">
        <v>0.0</v>
      </c>
      <c r="W367" s="45"/>
      <c r="X367" s="45"/>
      <c r="Y367" s="45"/>
      <c r="Z367" s="9"/>
      <c r="AA367" s="52"/>
      <c r="AB367" s="9"/>
      <c r="AC367" s="9"/>
      <c r="AD367" s="9"/>
      <c r="AE367" s="9"/>
      <c r="AF367" s="9"/>
    </row>
    <row r="368">
      <c r="A368" s="158">
        <v>1.0</v>
      </c>
      <c r="B368" s="159" t="s">
        <v>2644</v>
      </c>
      <c r="C368" s="44">
        <v>364.0</v>
      </c>
      <c r="D368" s="160">
        <v>8.0</v>
      </c>
      <c r="E368" s="161">
        <v>43777.0</v>
      </c>
      <c r="F368" s="162" t="str">
        <f>HYPERLINK("https://www.suara.com/news/2019/08/11/204355/polisi-kejar-pelaku-begal-payudara-yang-buron ","sumber")</f>
        <v>sumber</v>
      </c>
      <c r="G368" s="162" t="str">
        <f t="shared" si="1"/>
        <v>lokasi</v>
      </c>
      <c r="H368" s="159">
        <v>284.0</v>
      </c>
      <c r="I368" s="44">
        <v>1.0</v>
      </c>
      <c r="J368" s="160">
        <v>1.0</v>
      </c>
      <c r="K368" s="164" t="s">
        <v>2645</v>
      </c>
      <c r="L368" s="44">
        <v>0.0</v>
      </c>
      <c r="M368" s="44">
        <v>1.0</v>
      </c>
      <c r="N368" s="166">
        <v>0.0</v>
      </c>
      <c r="O368" s="44">
        <v>0.0</v>
      </c>
      <c r="P368" s="44">
        <v>0.0</v>
      </c>
      <c r="Q368" s="44">
        <v>0.0</v>
      </c>
      <c r="R368" s="44">
        <v>0.0</v>
      </c>
      <c r="S368" s="175"/>
      <c r="T368" s="44">
        <v>0.0</v>
      </c>
      <c r="U368" s="44">
        <v>0.0</v>
      </c>
      <c r="V368" s="44">
        <v>0.0</v>
      </c>
      <c r="W368" s="45"/>
      <c r="X368" s="45"/>
      <c r="Y368" s="45"/>
      <c r="Z368" s="9"/>
      <c r="AA368" s="52"/>
      <c r="AB368" s="9"/>
      <c r="AC368" s="9"/>
      <c r="AD368" s="9"/>
      <c r="AE368" s="9"/>
      <c r="AF368" s="9"/>
    </row>
    <row r="369">
      <c r="A369" s="158">
        <v>1.0</v>
      </c>
      <c r="B369" s="159" t="s">
        <v>2646</v>
      </c>
      <c r="C369" s="44">
        <v>365.0</v>
      </c>
      <c r="D369" s="160">
        <v>1.0</v>
      </c>
      <c r="E369" s="161">
        <v>43807.0</v>
      </c>
      <c r="F369" s="162" t="str">
        <f>HYPERLINK("https://news.detik.com/berita-jawa-timur/d-4663000/viral-penumpang-wanita-loncat-setelah-digerayangi-driver-ojol-di-surabaya ","sumber")</f>
        <v>sumber</v>
      </c>
      <c r="G369" s="162" t="str">
        <f t="shared" si="1"/>
        <v>lokasi</v>
      </c>
      <c r="H369" s="159">
        <v>205.0</v>
      </c>
      <c r="I369" s="44">
        <v>1.0</v>
      </c>
      <c r="J369" s="160">
        <v>1.0</v>
      </c>
      <c r="K369" s="164" t="s">
        <v>2647</v>
      </c>
      <c r="L369" s="44">
        <v>0.0</v>
      </c>
      <c r="M369" s="44">
        <v>1.0</v>
      </c>
      <c r="N369" s="166">
        <v>0.0</v>
      </c>
      <c r="O369" s="44">
        <v>0.0</v>
      </c>
      <c r="P369" s="44">
        <v>-1.0</v>
      </c>
      <c r="Q369" s="44">
        <v>0.0</v>
      </c>
      <c r="R369" s="44">
        <v>0.0</v>
      </c>
      <c r="S369" s="164"/>
      <c r="T369" s="44">
        <v>0.0</v>
      </c>
      <c r="U369" s="44">
        <v>0.0</v>
      </c>
      <c r="V369" s="44">
        <v>0.0</v>
      </c>
      <c r="W369" s="45"/>
      <c r="X369" s="45"/>
      <c r="Y369" s="45"/>
      <c r="Z369" s="9"/>
      <c r="AA369" s="52"/>
      <c r="AB369" s="9"/>
      <c r="AC369" s="9"/>
      <c r="AD369" s="9"/>
      <c r="AE369" s="9"/>
      <c r="AF369" s="9"/>
    </row>
    <row r="370">
      <c r="A370" s="158">
        <v>1.0</v>
      </c>
      <c r="B370" s="159" t="s">
        <v>2648</v>
      </c>
      <c r="C370" s="44">
        <v>366.0</v>
      </c>
      <c r="D370" s="160">
        <v>8.0</v>
      </c>
      <c r="E370" s="160" t="s">
        <v>2090</v>
      </c>
      <c r="F370" s="162" t="str">
        <f>HYPERLINK("https://www.suara.com/otomotif/2019/08/13/192647/viral-perempuan-loncat-dari-motor-karena-dilecehkan-ojol-ini-kata-grab ","sumber")</f>
        <v>sumber</v>
      </c>
      <c r="G370" s="162" t="str">
        <f t="shared" si="1"/>
        <v>lokasi</v>
      </c>
      <c r="H370" s="159">
        <v>169.0</v>
      </c>
      <c r="I370" s="44">
        <v>1.0</v>
      </c>
      <c r="J370" s="160">
        <v>1.0</v>
      </c>
      <c r="K370" s="164" t="s">
        <v>2649</v>
      </c>
      <c r="L370" s="44">
        <v>0.0</v>
      </c>
      <c r="M370" s="44">
        <v>-1.0</v>
      </c>
      <c r="N370" s="166">
        <v>0.0</v>
      </c>
      <c r="O370" s="44">
        <v>0.0</v>
      </c>
      <c r="P370" s="44">
        <v>-1.0</v>
      </c>
      <c r="Q370" s="44">
        <v>0.0</v>
      </c>
      <c r="R370" s="44">
        <v>1.0</v>
      </c>
      <c r="S370" s="175"/>
      <c r="T370" s="44">
        <v>0.0</v>
      </c>
      <c r="U370" s="44">
        <v>0.0</v>
      </c>
      <c r="V370" s="44">
        <v>0.0</v>
      </c>
      <c r="W370" s="45"/>
      <c r="X370" s="45"/>
      <c r="Y370" s="45"/>
      <c r="Z370" s="9"/>
      <c r="AA370" s="52"/>
      <c r="AB370" s="9"/>
      <c r="AC370" s="9"/>
      <c r="AD370" s="9"/>
      <c r="AE370" s="9"/>
      <c r="AF370" s="9"/>
    </row>
    <row r="371">
      <c r="A371" s="152">
        <v>2.0</v>
      </c>
      <c r="B371" s="153" t="s">
        <v>2650</v>
      </c>
      <c r="C371" s="47">
        <v>367.0</v>
      </c>
      <c r="D371" s="154">
        <v>2.0</v>
      </c>
      <c r="E371" s="154" t="s">
        <v>2651</v>
      </c>
      <c r="F371" s="156" t="str">
        <f>HYPERLINK("https://www.cnnindonesia.com/nasional/20190815210836-32-421763/formappi-sebut-etos-kerja-dpr-keropos ","sumber")</f>
        <v>sumber</v>
      </c>
      <c r="G371" s="156" t="str">
        <f t="shared" si="1"/>
        <v>lokasi</v>
      </c>
      <c r="H371" s="153">
        <v>595.0</v>
      </c>
      <c r="I371" s="48"/>
      <c r="J371" s="154">
        <v>1.0</v>
      </c>
      <c r="K371" s="165"/>
      <c r="L371" s="48"/>
      <c r="M371" s="48"/>
      <c r="N371" s="48"/>
      <c r="O371" s="48"/>
      <c r="P371" s="48"/>
      <c r="Q371" s="48"/>
      <c r="R371" s="48"/>
      <c r="S371" s="165"/>
      <c r="T371" s="48"/>
      <c r="U371" s="48"/>
      <c r="V371" s="48"/>
      <c r="W371" s="48"/>
      <c r="X371" s="48"/>
      <c r="Y371" s="47"/>
      <c r="Z371" s="43"/>
      <c r="AA371" s="51"/>
      <c r="AB371" s="51"/>
      <c r="AC371" s="51"/>
      <c r="AD371" s="51"/>
      <c r="AE371" s="51"/>
      <c r="AF371" s="51"/>
    </row>
    <row r="372">
      <c r="A372" s="158">
        <v>1.0</v>
      </c>
      <c r="B372" s="159" t="s">
        <v>2652</v>
      </c>
      <c r="C372" s="44">
        <v>368.0</v>
      </c>
      <c r="D372" s="160">
        <v>3.0</v>
      </c>
      <c r="E372" s="160" t="s">
        <v>2651</v>
      </c>
      <c r="F372" s="162" t="str">
        <f>HYPERLINK("https://news.okezone.com/read/2019/08/16/519/2092964/motif-ari-jajakan-istrinya-threesome-untuk-biaya-persalinan ","sumber")</f>
        <v>sumber</v>
      </c>
      <c r="G372" s="162" t="str">
        <f t="shared" si="1"/>
        <v>lokasi</v>
      </c>
      <c r="H372" s="159">
        <v>252.0</v>
      </c>
      <c r="I372" s="44">
        <v>1.0</v>
      </c>
      <c r="J372" s="160">
        <v>1.0</v>
      </c>
      <c r="K372" s="164" t="s">
        <v>2653</v>
      </c>
      <c r="L372" s="44">
        <v>0.0</v>
      </c>
      <c r="M372" s="44">
        <v>1.0</v>
      </c>
      <c r="N372" s="166">
        <v>0.0</v>
      </c>
      <c r="O372" s="44">
        <v>0.0</v>
      </c>
      <c r="P372" s="44">
        <v>-1.0</v>
      </c>
      <c r="Q372" s="44" t="s">
        <v>61</v>
      </c>
      <c r="R372" s="44" t="s">
        <v>62</v>
      </c>
      <c r="S372" s="175"/>
      <c r="T372" s="44">
        <v>0.0</v>
      </c>
      <c r="U372" s="44">
        <v>0.0</v>
      </c>
      <c r="V372" s="44">
        <v>0.0</v>
      </c>
      <c r="W372" s="45"/>
      <c r="X372" s="45"/>
      <c r="Y372" s="45"/>
      <c r="Z372" s="9"/>
      <c r="AA372" s="52"/>
      <c r="AB372" s="9"/>
      <c r="AC372" s="9"/>
      <c r="AD372" s="9"/>
      <c r="AE372" s="9"/>
      <c r="AF372" s="9"/>
    </row>
    <row r="373">
      <c r="A373" s="176">
        <v>1.0</v>
      </c>
      <c r="B373" s="196" t="s">
        <v>2654</v>
      </c>
      <c r="C373" s="178">
        <v>369.0</v>
      </c>
      <c r="D373" s="179">
        <v>9.0</v>
      </c>
      <c r="E373" s="195">
        <v>43652.0</v>
      </c>
      <c r="F373" s="180" t="str">
        <f>HYPERLINK("https://senggang.republika.co.id/berita/senggang/blitz/psph04414/r-kelly-sangkal-seluruh-tuduhan-pelecehan-seksual ","sumber")</f>
        <v>sumber</v>
      </c>
      <c r="G373" s="180" t="str">
        <f t="shared" si="1"/>
        <v>lokasi</v>
      </c>
      <c r="H373" s="177">
        <v>296.0</v>
      </c>
      <c r="I373" s="178">
        <v>1.0</v>
      </c>
      <c r="J373" s="179">
        <v>1.0</v>
      </c>
      <c r="K373" s="181" t="s">
        <v>2655</v>
      </c>
      <c r="L373" s="178">
        <v>0.0</v>
      </c>
      <c r="M373" s="178">
        <v>-1.0</v>
      </c>
      <c r="N373" s="182">
        <v>0.0</v>
      </c>
      <c r="O373" s="178">
        <v>0.0</v>
      </c>
      <c r="P373" s="178">
        <v>0.0</v>
      </c>
      <c r="Q373" s="178">
        <v>0.0</v>
      </c>
      <c r="R373" s="178">
        <v>0.0</v>
      </c>
      <c r="S373" s="183"/>
      <c r="T373" s="178">
        <v>0.0</v>
      </c>
      <c r="U373" s="178">
        <v>0.0</v>
      </c>
      <c r="V373" s="178">
        <v>0.0</v>
      </c>
      <c r="W373" s="184"/>
      <c r="X373" s="184"/>
      <c r="Y373" s="184"/>
      <c r="Z373" s="186"/>
      <c r="AA373" s="185"/>
      <c r="AB373" s="186"/>
      <c r="AC373" s="186"/>
      <c r="AD373" s="186"/>
      <c r="AE373" s="186"/>
      <c r="AF373" s="186"/>
    </row>
    <row r="374">
      <c r="A374" s="158">
        <v>1.0</v>
      </c>
      <c r="B374" s="159" t="s">
        <v>2656</v>
      </c>
      <c r="C374" s="44">
        <v>370.0</v>
      </c>
      <c r="D374" s="160">
        <v>10.0</v>
      </c>
      <c r="E374" s="160" t="s">
        <v>2657</v>
      </c>
      <c r="F374" s="162" t="str">
        <f>HYPERLINK("https://dunia.tempo.co/read/1238854/terpidana-360-tahun-penjara-dibebaskan-jubir-duterte-dicurigai ","sumber")</f>
        <v>sumber</v>
      </c>
      <c r="G374" s="162" t="str">
        <f t="shared" si="1"/>
        <v>lokasi</v>
      </c>
      <c r="H374" s="159">
        <v>221.0</v>
      </c>
      <c r="I374" s="44">
        <v>1.0</v>
      </c>
      <c r="J374" s="160">
        <v>1.0</v>
      </c>
      <c r="K374" s="164" t="s">
        <v>2658</v>
      </c>
      <c r="L374" s="44">
        <v>0.0</v>
      </c>
      <c r="M374" s="44">
        <v>1.0</v>
      </c>
      <c r="N374" s="166">
        <v>0.0</v>
      </c>
      <c r="O374" s="44">
        <v>0.0</v>
      </c>
      <c r="P374" s="44">
        <v>0.0</v>
      </c>
      <c r="Q374" s="44">
        <v>0.0</v>
      </c>
      <c r="R374" s="44">
        <v>0.0</v>
      </c>
      <c r="S374" s="175"/>
      <c r="T374" s="44">
        <v>0.0</v>
      </c>
      <c r="U374" s="44">
        <v>0.0</v>
      </c>
      <c r="V374" s="44">
        <v>0.0</v>
      </c>
      <c r="W374" s="45"/>
      <c r="X374" s="45"/>
      <c r="Y374" s="45"/>
      <c r="Z374" s="9"/>
      <c r="AA374" s="52"/>
      <c r="AB374" s="9"/>
      <c r="AC374" s="9"/>
      <c r="AD374" s="9"/>
      <c r="AE374" s="9"/>
      <c r="AF374" s="9"/>
    </row>
    <row r="375">
      <c r="A375" s="158">
        <v>1.0</v>
      </c>
      <c r="B375" s="159" t="s">
        <v>2659</v>
      </c>
      <c r="C375" s="44">
        <v>371.0</v>
      </c>
      <c r="D375" s="160">
        <v>6.0</v>
      </c>
      <c r="E375" s="160" t="s">
        <v>306</v>
      </c>
      <c r="F375" s="162" t="str">
        <f>HYPERLINK("https://regional.kompas.com/read/2019/08/25/21300591/pemerkosa-9-anak-dapat-hukuman-kebiri-kimia-dan-baru-pertama-di-mojokerto ","sumber")</f>
        <v>sumber</v>
      </c>
      <c r="G375" s="162" t="str">
        <f t="shared" si="1"/>
        <v>lokasi</v>
      </c>
      <c r="H375" s="159">
        <v>203.0</v>
      </c>
      <c r="I375" s="44">
        <v>1.0</v>
      </c>
      <c r="J375" s="160">
        <v>1.0</v>
      </c>
      <c r="K375" s="164" t="s">
        <v>2660</v>
      </c>
      <c r="L375" s="44">
        <v>0.0</v>
      </c>
      <c r="M375" s="44">
        <v>1.0</v>
      </c>
      <c r="N375" s="166">
        <v>0.0</v>
      </c>
      <c r="O375" s="44">
        <v>0.0</v>
      </c>
      <c r="P375" s="44">
        <v>0.0</v>
      </c>
      <c r="Q375" s="44">
        <v>0.0</v>
      </c>
      <c r="R375" s="44">
        <v>0.0</v>
      </c>
      <c r="S375" s="175"/>
      <c r="T375" s="44">
        <v>0.0</v>
      </c>
      <c r="U375" s="44">
        <v>0.0</v>
      </c>
      <c r="V375" s="44">
        <v>0.0</v>
      </c>
      <c r="W375" s="45"/>
      <c r="X375" s="45"/>
      <c r="Y375" s="45"/>
      <c r="Z375" s="9"/>
      <c r="AA375" s="52"/>
      <c r="AB375" s="9"/>
      <c r="AC375" s="9"/>
      <c r="AD375" s="9"/>
      <c r="AE375" s="9"/>
      <c r="AF375" s="9"/>
    </row>
    <row r="376">
      <c r="A376" s="158">
        <v>1.0</v>
      </c>
      <c r="B376" s="159" t="s">
        <v>2661</v>
      </c>
      <c r="C376" s="44">
        <v>372.0</v>
      </c>
      <c r="D376" s="160">
        <v>3.0</v>
      </c>
      <c r="E376" s="160" t="s">
        <v>310</v>
      </c>
      <c r="F376" s="162" t="str">
        <f>HYPERLINK("https://news.okezone.com/read/2019/08/26/340/2096884/diduga-lecehkan-wanita-muda-wakil-ketua-dprd-sulut-dipolisikan ","sumber")</f>
        <v>sumber</v>
      </c>
      <c r="G376" s="162" t="str">
        <f t="shared" si="1"/>
        <v>lokasi</v>
      </c>
      <c r="H376" s="159">
        <v>511.0</v>
      </c>
      <c r="I376" s="44">
        <v>1.0</v>
      </c>
      <c r="J376" s="160">
        <v>1.0</v>
      </c>
      <c r="K376" s="164" t="s">
        <v>2662</v>
      </c>
      <c r="L376" s="44">
        <v>0.0</v>
      </c>
      <c r="M376" s="44">
        <v>1.0</v>
      </c>
      <c r="N376" s="166">
        <v>0.0</v>
      </c>
      <c r="O376" s="44">
        <v>0.0</v>
      </c>
      <c r="P376" s="44">
        <v>0.0</v>
      </c>
      <c r="Q376" s="44" t="s">
        <v>61</v>
      </c>
      <c r="R376" s="44" t="s">
        <v>85</v>
      </c>
      <c r="S376" s="175"/>
      <c r="T376" s="44">
        <v>0.0</v>
      </c>
      <c r="U376" s="44">
        <v>0.0</v>
      </c>
      <c r="V376" s="44">
        <v>0.0</v>
      </c>
      <c r="W376" s="45"/>
      <c r="X376" s="45"/>
      <c r="Y376" s="45"/>
      <c r="Z376" s="9"/>
      <c r="AA376" s="52"/>
      <c r="AB376" s="9"/>
      <c r="AC376" s="9"/>
      <c r="AD376" s="9"/>
      <c r="AE376" s="9"/>
      <c r="AF376" s="9"/>
    </row>
    <row r="377">
      <c r="A377" s="158">
        <v>1.0</v>
      </c>
      <c r="B377" s="159" t="s">
        <v>2663</v>
      </c>
      <c r="C377" s="44">
        <v>373.0</v>
      </c>
      <c r="D377" s="160">
        <v>10.0</v>
      </c>
      <c r="E377" s="160" t="s">
        <v>2479</v>
      </c>
      <c r="F377" s="162" t="str">
        <f>HYPERLINK("https://dunia.tempo.co/read/1241335/30-penyintas-bersaksi-atas-kejahatan-seks-miliarder-as-epstein ","sumber")</f>
        <v>sumber</v>
      </c>
      <c r="G377" s="162" t="str">
        <f t="shared" si="1"/>
        <v>lokasi</v>
      </c>
      <c r="H377" s="159">
        <v>261.0</v>
      </c>
      <c r="I377" s="44">
        <v>1.0</v>
      </c>
      <c r="J377" s="160">
        <v>1.0</v>
      </c>
      <c r="K377" s="164"/>
      <c r="L377" s="44">
        <v>0.0</v>
      </c>
      <c r="M377" s="188">
        <v>0.0</v>
      </c>
      <c r="N377" s="166">
        <v>0.0</v>
      </c>
      <c r="O377" s="44">
        <v>0.0</v>
      </c>
      <c r="P377" s="44">
        <v>0.0</v>
      </c>
      <c r="Q377" s="44"/>
      <c r="R377" s="44"/>
      <c r="S377" s="175"/>
      <c r="T377" s="44">
        <v>0.0</v>
      </c>
      <c r="U377" s="44">
        <v>0.0</v>
      </c>
      <c r="V377" s="44">
        <v>0.0</v>
      </c>
      <c r="W377" s="45"/>
      <c r="X377" s="45"/>
      <c r="Y377" s="45"/>
      <c r="Z377" s="9"/>
      <c r="AA377" s="52"/>
      <c r="AB377" s="9"/>
      <c r="AC377" s="9"/>
      <c r="AD377" s="9"/>
      <c r="AE377" s="9"/>
      <c r="AF377" s="9"/>
    </row>
    <row r="378">
      <c r="A378" s="158">
        <v>1.0</v>
      </c>
      <c r="B378" s="159" t="s">
        <v>2664</v>
      </c>
      <c r="C378" s="44">
        <v>374.0</v>
      </c>
      <c r="D378" s="160">
        <v>4.0</v>
      </c>
      <c r="E378" s="160" t="s">
        <v>2665</v>
      </c>
      <c r="F378" s="162" t="str">
        <f>HYPERLINK("https://www.liputan6.com/bola/read/4050607/ancam-tembak-mantan-pacar-bintang-nba-berurusan-dengan-polisi ","sumber")</f>
        <v>sumber</v>
      </c>
      <c r="G378" s="162" t="str">
        <f t="shared" si="1"/>
        <v>lokasi</v>
      </c>
      <c r="H378" s="159">
        <v>192.0</v>
      </c>
      <c r="I378" s="44">
        <v>1.0</v>
      </c>
      <c r="J378" s="160">
        <v>1.0</v>
      </c>
      <c r="K378" s="164"/>
      <c r="L378" s="44">
        <v>0.0</v>
      </c>
      <c r="M378" s="188">
        <v>0.0</v>
      </c>
      <c r="N378" s="166">
        <v>0.0</v>
      </c>
      <c r="O378" s="44">
        <v>0.0</v>
      </c>
      <c r="P378" s="44">
        <v>0.0</v>
      </c>
      <c r="Q378" s="44"/>
      <c r="R378" s="44"/>
      <c r="S378" s="175"/>
      <c r="T378" s="44">
        <v>0.0</v>
      </c>
      <c r="U378" s="44">
        <v>0.0</v>
      </c>
      <c r="V378" s="44">
        <v>0.0</v>
      </c>
      <c r="W378" s="45"/>
      <c r="X378" s="45"/>
      <c r="Y378" s="45"/>
      <c r="Z378" s="9"/>
      <c r="AA378" s="52"/>
      <c r="AB378" s="9"/>
      <c r="AC378" s="9"/>
      <c r="AD378" s="9"/>
      <c r="AE378" s="9"/>
      <c r="AF378" s="9"/>
    </row>
    <row r="379">
      <c r="A379" s="158">
        <v>1.0</v>
      </c>
      <c r="B379" s="159" t="s">
        <v>2666</v>
      </c>
      <c r="C379" s="44">
        <v>375.0</v>
      </c>
      <c r="D379" s="160">
        <v>6.0</v>
      </c>
      <c r="E379" s="160" t="s">
        <v>2095</v>
      </c>
      <c r="F379" s="162" t="str">
        <f>HYPERLINK("https://regional.kompas.com/read/2019/08/31/19253721/polisi-minta-video-bocah-10-tahun-korban-pencabulan-di-bogor-tidak ","sumber")</f>
        <v>sumber</v>
      </c>
      <c r="G379" s="162" t="str">
        <f t="shared" si="1"/>
        <v>lokasi</v>
      </c>
      <c r="H379" s="159">
        <v>261.0</v>
      </c>
      <c r="I379" s="44">
        <v>1.0</v>
      </c>
      <c r="J379" s="160">
        <v>1.0</v>
      </c>
      <c r="K379" s="164" t="s">
        <v>2667</v>
      </c>
      <c r="L379" s="44">
        <v>0.0</v>
      </c>
      <c r="M379" s="44">
        <v>-1.0</v>
      </c>
      <c r="N379" s="166">
        <v>0.0</v>
      </c>
      <c r="O379" s="44">
        <v>-1.0</v>
      </c>
      <c r="P379" s="44">
        <v>0.0</v>
      </c>
      <c r="Q379" s="44">
        <v>0.0</v>
      </c>
      <c r="R379" s="44">
        <v>0.0</v>
      </c>
      <c r="S379" s="175"/>
      <c r="T379" s="44">
        <v>0.0</v>
      </c>
      <c r="U379" s="44">
        <v>0.0</v>
      </c>
      <c r="V379" s="44">
        <v>0.0</v>
      </c>
      <c r="W379" s="45"/>
      <c r="X379" s="45"/>
      <c r="Y379" s="45"/>
      <c r="Z379" s="9"/>
      <c r="AA379" s="52"/>
      <c r="AB379" s="9"/>
      <c r="AC379" s="9"/>
      <c r="AD379" s="9"/>
      <c r="AE379" s="9"/>
      <c r="AF379" s="9"/>
    </row>
    <row r="380">
      <c r="A380" s="158">
        <v>1.0</v>
      </c>
      <c r="B380" s="159" t="s">
        <v>2668</v>
      </c>
      <c r="C380" s="44">
        <v>376.0</v>
      </c>
      <c r="D380" s="160">
        <v>6.0</v>
      </c>
      <c r="E380" s="161">
        <v>43505.0</v>
      </c>
      <c r="F380" s="162" t="str">
        <f>HYPERLINK("https://nasional.kompas.com/read/2019/09/02/17133371/menteri-pppa-desak-dpr-sahkan-ruu-pks-bulan-ini ","sumber")</f>
        <v>sumber</v>
      </c>
      <c r="G380" s="162" t="str">
        <f t="shared" si="1"/>
        <v>lokasi</v>
      </c>
      <c r="H380" s="159">
        <v>281.0</v>
      </c>
      <c r="I380" s="44">
        <v>4.0</v>
      </c>
      <c r="J380" s="160">
        <v>1.0</v>
      </c>
      <c r="K380" s="164" t="s">
        <v>2669</v>
      </c>
      <c r="L380" s="44">
        <v>0.0</v>
      </c>
      <c r="M380" s="44">
        <v>0.0</v>
      </c>
      <c r="N380" s="166">
        <v>0.0</v>
      </c>
      <c r="O380" s="44">
        <v>0.0</v>
      </c>
      <c r="P380" s="44">
        <v>0.0</v>
      </c>
      <c r="Q380" s="44">
        <v>0.0</v>
      </c>
      <c r="R380" s="44">
        <v>1.0</v>
      </c>
      <c r="S380" s="175"/>
      <c r="T380" s="44">
        <v>0.0</v>
      </c>
      <c r="U380" s="44">
        <v>0.0</v>
      </c>
      <c r="V380" s="44">
        <v>1.0</v>
      </c>
      <c r="W380" s="45"/>
      <c r="X380" s="45"/>
      <c r="Y380" s="45"/>
      <c r="Z380" s="9"/>
      <c r="AA380" s="52"/>
      <c r="AB380" s="9"/>
      <c r="AC380" s="9"/>
      <c r="AD380" s="9"/>
      <c r="AE380" s="9"/>
      <c r="AF380" s="9"/>
    </row>
    <row r="381">
      <c r="A381" s="158">
        <v>1.0</v>
      </c>
      <c r="B381" s="159" t="s">
        <v>2670</v>
      </c>
      <c r="C381" s="44">
        <v>377.0</v>
      </c>
      <c r="D381" s="160">
        <v>5.0</v>
      </c>
      <c r="E381" s="161">
        <v>43505.0</v>
      </c>
      <c r="F381" s="162" t="str">
        <f>HYPERLINK("https://tirto.id/pembahasan-ruu-pks-ditunda-lagi-dpr-dinilai-tak-serius-ehoc ","sumber")</f>
        <v>sumber</v>
      </c>
      <c r="G381" s="162" t="str">
        <f t="shared" si="1"/>
        <v>lokasi</v>
      </c>
      <c r="H381" s="159">
        <v>420.0</v>
      </c>
      <c r="I381" s="44">
        <v>4.0</v>
      </c>
      <c r="J381" s="160">
        <v>1.0</v>
      </c>
      <c r="K381" s="164" t="s">
        <v>2671</v>
      </c>
      <c r="L381" s="44">
        <v>0.0</v>
      </c>
      <c r="M381" s="44">
        <v>0.0</v>
      </c>
      <c r="N381" s="166">
        <v>0.0</v>
      </c>
      <c r="O381" s="44">
        <v>0.0</v>
      </c>
      <c r="P381" s="44">
        <v>0.0</v>
      </c>
      <c r="Q381" s="44" t="s">
        <v>100</v>
      </c>
      <c r="R381" s="44" t="s">
        <v>100</v>
      </c>
      <c r="S381" s="175"/>
      <c r="T381" s="44">
        <v>0.0</v>
      </c>
      <c r="U381" s="44">
        <v>0.0</v>
      </c>
      <c r="V381" s="44">
        <v>1.0</v>
      </c>
      <c r="W381" s="45"/>
      <c r="X381" s="45"/>
      <c r="Y381" s="45"/>
      <c r="Z381" s="9"/>
      <c r="AA381" s="52"/>
      <c r="AB381" s="9"/>
      <c r="AC381" s="9"/>
      <c r="AD381" s="9"/>
      <c r="AE381" s="9"/>
      <c r="AF381" s="9"/>
    </row>
    <row r="382">
      <c r="A382" s="158">
        <v>1.0</v>
      </c>
      <c r="B382" s="159" t="s">
        <v>2672</v>
      </c>
      <c r="C382" s="44">
        <v>378.0</v>
      </c>
      <c r="D382" s="160">
        <v>6.0</v>
      </c>
      <c r="E382" s="161">
        <v>43533.0</v>
      </c>
      <c r="F382" s="162" t="str">
        <f>HYPERLINK("https://nasional.kompas.com/read/2019/09/03/20541931/korban-pelecehan-berencana-laporakan-lagi-mantan-anggota-dewas-bpjs-tk-ke ","sumber")</f>
        <v>sumber</v>
      </c>
      <c r="G382" s="162" t="str">
        <f t="shared" si="1"/>
        <v>lokasi</v>
      </c>
      <c r="H382" s="159">
        <v>204.0</v>
      </c>
      <c r="I382" s="44">
        <v>1.0</v>
      </c>
      <c r="J382" s="160">
        <v>1.0</v>
      </c>
      <c r="K382" s="164" t="s">
        <v>2673</v>
      </c>
      <c r="L382" s="44">
        <v>0.0</v>
      </c>
      <c r="M382" s="44">
        <v>1.0</v>
      </c>
      <c r="N382" s="166">
        <v>0.0</v>
      </c>
      <c r="O382" s="44">
        <v>1.0</v>
      </c>
      <c r="P382" s="44">
        <v>0.0</v>
      </c>
      <c r="Q382" s="44">
        <v>0.0</v>
      </c>
      <c r="R382" s="44">
        <v>1.0</v>
      </c>
      <c r="S382" s="175"/>
      <c r="T382" s="44">
        <v>0.0</v>
      </c>
      <c r="U382" s="44">
        <v>0.0</v>
      </c>
      <c r="V382" s="44">
        <v>0.0</v>
      </c>
      <c r="W382" s="45"/>
      <c r="X382" s="45"/>
      <c r="Y382" s="45"/>
      <c r="Z382" s="9"/>
      <c r="AA382" s="52"/>
      <c r="AB382" s="9"/>
      <c r="AC382" s="9"/>
      <c r="AD382" s="9"/>
      <c r="AE382" s="9"/>
      <c r="AF382" s="9"/>
    </row>
    <row r="383">
      <c r="A383" s="152">
        <v>2.0</v>
      </c>
      <c r="B383" s="153" t="s">
        <v>2674</v>
      </c>
      <c r="C383" s="47">
        <v>379.0</v>
      </c>
      <c r="D383" s="154">
        <v>8.0</v>
      </c>
      <c r="E383" s="155">
        <v>43533.0</v>
      </c>
      <c r="F383" s="156" t="str">
        <f>HYPERLINK("https://jatim.suara.com/read/2019/09/03/163622/syamsul-minta-maaf-tapi-tetap-tuduh-mahasiswa-papua-buang-bendera ","sumber")</f>
        <v>sumber</v>
      </c>
      <c r="G383" s="156" t="str">
        <f t="shared" si="1"/>
        <v>lokasi</v>
      </c>
      <c r="H383" s="153">
        <v>285.0</v>
      </c>
      <c r="I383" s="48"/>
      <c r="J383" s="154">
        <v>1.0</v>
      </c>
      <c r="K383" s="165"/>
      <c r="L383" s="48"/>
      <c r="M383" s="48"/>
      <c r="N383" s="48"/>
      <c r="O383" s="48"/>
      <c r="P383" s="48"/>
      <c r="Q383" s="48"/>
      <c r="R383" s="48"/>
      <c r="S383" s="165"/>
      <c r="T383" s="48"/>
      <c r="U383" s="48"/>
      <c r="V383" s="48"/>
      <c r="W383" s="48"/>
      <c r="X383" s="48"/>
      <c r="Y383" s="48"/>
      <c r="Z383" s="51"/>
      <c r="AA383" s="51"/>
      <c r="AB383" s="51"/>
      <c r="AC383" s="51"/>
      <c r="AD383" s="51"/>
      <c r="AE383" s="51"/>
      <c r="AF383" s="51"/>
    </row>
    <row r="384">
      <c r="A384" s="158">
        <v>1.0</v>
      </c>
      <c r="B384" s="159" t="s">
        <v>2675</v>
      </c>
      <c r="C384" s="44">
        <v>380.0</v>
      </c>
      <c r="D384" s="160">
        <v>4.0</v>
      </c>
      <c r="E384" s="161">
        <v>43564.0</v>
      </c>
      <c r="F384" s="162" t="str">
        <f>HYPERLINK("https://www.liputan6.com/news/read/4054299/prostitusi-online-yang-sediakan-jasa-threesome-di-serang-terkuak ","sumber")</f>
        <v>sumber</v>
      </c>
      <c r="G384" s="162" t="str">
        <f t="shared" si="1"/>
        <v>lokasi</v>
      </c>
      <c r="H384" s="159">
        <v>299.0</v>
      </c>
      <c r="I384" s="44">
        <v>1.0</v>
      </c>
      <c r="J384" s="160">
        <v>1.0</v>
      </c>
      <c r="K384" s="164" t="s">
        <v>2676</v>
      </c>
      <c r="L384" s="44">
        <v>0.0</v>
      </c>
      <c r="M384" s="44">
        <v>-1.0</v>
      </c>
      <c r="N384" s="166">
        <v>0.0</v>
      </c>
      <c r="O384" s="44">
        <v>0.0</v>
      </c>
      <c r="P384" s="44">
        <v>-1.0</v>
      </c>
      <c r="Q384" s="44" t="s">
        <v>61</v>
      </c>
      <c r="R384" s="44" t="s">
        <v>85</v>
      </c>
      <c r="S384" s="175"/>
      <c r="T384" s="44">
        <v>0.0</v>
      </c>
      <c r="U384" s="44">
        <v>0.0</v>
      </c>
      <c r="V384" s="44">
        <v>0.0</v>
      </c>
      <c r="W384" s="45"/>
      <c r="X384" s="45"/>
      <c r="Y384" s="45"/>
      <c r="Z384" s="9"/>
      <c r="AA384" s="52"/>
      <c r="AB384" s="9"/>
      <c r="AC384" s="9"/>
      <c r="AD384" s="9"/>
      <c r="AE384" s="9"/>
      <c r="AF384" s="9"/>
    </row>
    <row r="385">
      <c r="A385" s="176">
        <v>1.0</v>
      </c>
      <c r="B385" s="196" t="s">
        <v>2677</v>
      </c>
      <c r="C385" s="178">
        <v>381.0</v>
      </c>
      <c r="D385" s="179">
        <v>10.0</v>
      </c>
      <c r="E385" s="195">
        <v>43564.0</v>
      </c>
      <c r="F385" s="180" t="str">
        <f>HYPERLINK("https://metro.tempo.co/read/1243578/polisi-tangkap-pelaku-pemerkosaan-siswi-sd-di-gunungputri ","sumber")</f>
        <v>sumber</v>
      </c>
      <c r="G385" s="180" t="str">
        <f t="shared" si="1"/>
        <v>lokasi</v>
      </c>
      <c r="H385" s="177">
        <v>271.0</v>
      </c>
      <c r="I385" s="178">
        <v>1.0</v>
      </c>
      <c r="J385" s="179">
        <v>1.0</v>
      </c>
      <c r="K385" s="181" t="s">
        <v>2678</v>
      </c>
      <c r="L385" s="178">
        <v>0.0</v>
      </c>
      <c r="M385" s="178">
        <v>-1.0</v>
      </c>
      <c r="N385" s="182">
        <v>0.0</v>
      </c>
      <c r="O385" s="178">
        <v>0.0</v>
      </c>
      <c r="P385" s="178">
        <v>0.0</v>
      </c>
      <c r="Q385" s="178">
        <v>0.0</v>
      </c>
      <c r="R385" s="178">
        <v>0.0</v>
      </c>
      <c r="S385" s="183"/>
      <c r="T385" s="178">
        <v>0.0</v>
      </c>
      <c r="U385" s="178">
        <v>0.0</v>
      </c>
      <c r="V385" s="178">
        <v>0.0</v>
      </c>
      <c r="W385" s="184"/>
      <c r="X385" s="184"/>
      <c r="Y385" s="184"/>
      <c r="Z385" s="186"/>
      <c r="AA385" s="185"/>
      <c r="AB385" s="186"/>
      <c r="AC385" s="186"/>
      <c r="AD385" s="186"/>
      <c r="AE385" s="186"/>
      <c r="AF385" s="186"/>
    </row>
    <row r="386">
      <c r="A386" s="158">
        <v>1.0</v>
      </c>
      <c r="B386" s="159" t="s">
        <v>2679</v>
      </c>
      <c r="C386" s="44">
        <v>382.0</v>
      </c>
      <c r="D386" s="160">
        <v>7.0</v>
      </c>
      <c r="E386" s="161">
        <v>43564.0</v>
      </c>
      <c r="F386" s="162" t="str">
        <f>HYPERLINK("https://www.tribunnews.com/regional/2019/09/04/duh-mucikari-jadikan-gadis-ini-atm-sehari-layani-5-lelaki-hidung-belang-dengan-tarif-rp-200-ribu ","sumber")</f>
        <v>sumber</v>
      </c>
      <c r="G386" s="162" t="str">
        <f t="shared" si="1"/>
        <v>lokasi</v>
      </c>
      <c r="H386" s="159">
        <v>257.0</v>
      </c>
      <c r="I386" s="44">
        <v>1.0</v>
      </c>
      <c r="J386" s="160">
        <v>1.0</v>
      </c>
      <c r="K386" s="164" t="s">
        <v>2680</v>
      </c>
      <c r="L386" s="44">
        <v>0.0</v>
      </c>
      <c r="M386" s="44">
        <v>-1.0</v>
      </c>
      <c r="N386" s="166">
        <v>0.0</v>
      </c>
      <c r="O386" s="44">
        <v>-1.0</v>
      </c>
      <c r="P386" s="44">
        <v>-1.0</v>
      </c>
      <c r="Q386" s="44" t="s">
        <v>61</v>
      </c>
      <c r="R386" s="44" t="s">
        <v>61</v>
      </c>
      <c r="S386" s="164" t="s">
        <v>2681</v>
      </c>
      <c r="T386" s="44">
        <v>3.0</v>
      </c>
      <c r="U386" s="44">
        <v>-1.0</v>
      </c>
      <c r="V386" s="44">
        <v>0.0</v>
      </c>
      <c r="W386" s="45"/>
      <c r="X386" s="45"/>
      <c r="Y386" s="45"/>
      <c r="Z386" s="9"/>
      <c r="AA386" s="52"/>
      <c r="AB386" s="9"/>
      <c r="AC386" s="9"/>
      <c r="AD386" s="9"/>
      <c r="AE386" s="9"/>
      <c r="AF386" s="9"/>
    </row>
    <row r="387">
      <c r="A387" s="176">
        <v>1.0</v>
      </c>
      <c r="B387" s="196" t="s">
        <v>2682</v>
      </c>
      <c r="C387" s="178">
        <v>383.0</v>
      </c>
      <c r="D387" s="179">
        <v>8.0</v>
      </c>
      <c r="E387" s="195">
        <v>43505.0</v>
      </c>
      <c r="F387" s="180" t="str">
        <f>HYPERLINK("https://banten.suara.com/read/2019/09/02/201542/hasil-forensik-gadis-baduy-dokter-ada-bekas-kekerasan-tumpul-pada-kelamin ","sumber")</f>
        <v>sumber</v>
      </c>
      <c r="G387" s="180" t="str">
        <f t="shared" si="1"/>
        <v>lokasi</v>
      </c>
      <c r="H387" s="177">
        <v>173.0</v>
      </c>
      <c r="I387" s="178">
        <v>1.0</v>
      </c>
      <c r="J387" s="179">
        <v>1.0</v>
      </c>
      <c r="K387" s="181" t="s">
        <v>2683</v>
      </c>
      <c r="L387" s="178">
        <v>0.0</v>
      </c>
      <c r="M387" s="178">
        <v>1.0</v>
      </c>
      <c r="N387" s="182">
        <v>0.0</v>
      </c>
      <c r="O387" s="178">
        <v>0.0</v>
      </c>
      <c r="P387" s="178">
        <v>0.0</v>
      </c>
      <c r="Q387" s="178" t="s">
        <v>61</v>
      </c>
      <c r="R387" s="178" t="s">
        <v>61</v>
      </c>
      <c r="S387" s="183"/>
      <c r="T387" s="178">
        <v>0.0</v>
      </c>
      <c r="U387" s="178">
        <v>-1.0</v>
      </c>
      <c r="V387" s="178">
        <v>0.0</v>
      </c>
      <c r="W387" s="184"/>
      <c r="X387" s="184"/>
      <c r="Y387" s="178"/>
      <c r="Z387" s="185"/>
      <c r="AA387" s="185"/>
      <c r="AB387" s="186"/>
      <c r="AC387" s="186"/>
      <c r="AD387" s="186"/>
      <c r="AE387" s="186"/>
      <c r="AF387" s="186"/>
    </row>
    <row r="388">
      <c r="A388" s="158">
        <v>1.0</v>
      </c>
      <c r="B388" s="159" t="s">
        <v>2684</v>
      </c>
      <c r="C388" s="44">
        <v>384.0</v>
      </c>
      <c r="D388" s="160">
        <v>8.0</v>
      </c>
      <c r="E388" s="160" t="s">
        <v>2685</v>
      </c>
      <c r="F388" s="162" t="str">
        <f>HYPERLINK("https://jabar.suara.com/read/2019/09/25/130931/geruduk-dprd-jabar-massa-lintas-iman-sebut-fpi-ormas-anti-ruu-pks ","sumber")</f>
        <v>sumber</v>
      </c>
      <c r="G388" s="162" t="str">
        <f t="shared" si="1"/>
        <v>lokasi</v>
      </c>
      <c r="H388" s="159">
        <v>522.0</v>
      </c>
      <c r="I388" s="44">
        <v>4.0</v>
      </c>
      <c r="J388" s="160">
        <v>1.0</v>
      </c>
      <c r="K388" s="164" t="s">
        <v>2686</v>
      </c>
      <c r="L388" s="44">
        <v>0.0</v>
      </c>
      <c r="M388" s="44">
        <v>0.0</v>
      </c>
      <c r="N388" s="166">
        <v>0.0</v>
      </c>
      <c r="O388" s="44">
        <v>0.0</v>
      </c>
      <c r="P388" s="44">
        <v>0.0</v>
      </c>
      <c r="Q388" s="44">
        <v>0.0</v>
      </c>
      <c r="R388" s="44">
        <v>1.0</v>
      </c>
      <c r="S388" s="175"/>
      <c r="T388" s="44">
        <v>0.0</v>
      </c>
      <c r="U388" s="44">
        <v>0.0</v>
      </c>
      <c r="V388" s="44">
        <v>1.0</v>
      </c>
      <c r="W388" s="45"/>
      <c r="X388" s="45"/>
      <c r="Y388" s="45"/>
      <c r="Z388" s="9"/>
      <c r="AA388" s="52"/>
      <c r="AB388" s="9"/>
      <c r="AC388" s="9"/>
      <c r="AD388" s="9"/>
      <c r="AE388" s="9"/>
      <c r="AF388" s="9"/>
    </row>
    <row r="389">
      <c r="A389" s="158">
        <v>1.0</v>
      </c>
      <c r="B389" s="159" t="s">
        <v>2687</v>
      </c>
      <c r="C389" s="44">
        <v>385.0</v>
      </c>
      <c r="D389" s="160">
        <v>7.0</v>
      </c>
      <c r="E389" s="160" t="s">
        <v>337</v>
      </c>
      <c r="F389" s="162" t="str">
        <f>HYPERLINK("https://www.tribunnews.com/nasional/2019/09/26/ketua-dpr-pastikan-pengesahan-ruu-pks-ditunda ","sumber")</f>
        <v>sumber</v>
      </c>
      <c r="G389" s="162" t="str">
        <f t="shared" si="1"/>
        <v>lokasi</v>
      </c>
      <c r="H389" s="159">
        <v>201.0</v>
      </c>
      <c r="I389" s="44">
        <v>4.0</v>
      </c>
      <c r="J389" s="160">
        <v>1.0</v>
      </c>
      <c r="K389" s="164" t="s">
        <v>380</v>
      </c>
      <c r="L389" s="44">
        <v>0.0</v>
      </c>
      <c r="M389" s="44">
        <v>0.0</v>
      </c>
      <c r="N389" s="166">
        <v>0.0</v>
      </c>
      <c r="O389" s="44">
        <v>0.0</v>
      </c>
      <c r="P389" s="44">
        <v>0.0</v>
      </c>
      <c r="Q389" s="44">
        <v>0.0</v>
      </c>
      <c r="R389" s="44">
        <v>0.0</v>
      </c>
      <c r="S389" s="175"/>
      <c r="T389" s="44">
        <v>0.0</v>
      </c>
      <c r="U389" s="44">
        <v>0.0</v>
      </c>
      <c r="V389" s="44">
        <v>1.0</v>
      </c>
      <c r="W389" s="45"/>
      <c r="X389" s="45"/>
      <c r="Y389" s="45"/>
      <c r="Z389" s="9"/>
      <c r="AA389" s="52"/>
      <c r="AB389" s="9"/>
      <c r="AC389" s="9"/>
      <c r="AD389" s="9"/>
      <c r="AE389" s="9"/>
      <c r="AF389" s="9"/>
    </row>
    <row r="390">
      <c r="A390" s="158">
        <v>1.0</v>
      </c>
      <c r="B390" s="159" t="s">
        <v>2688</v>
      </c>
      <c r="C390" s="44">
        <v>386.0</v>
      </c>
      <c r="D390" s="160">
        <v>1.0</v>
      </c>
      <c r="E390" s="160" t="s">
        <v>681</v>
      </c>
      <c r="F390" s="162" t="str">
        <f>HYPERLINK("https://news.detik.com/berita-jawa-timur/d-4725549/mahasiswinya-buat-laporan-palsu-ngaku-diperkosa-ini-sikap-ub ","sumber")</f>
        <v>sumber</v>
      </c>
      <c r="G390" s="162" t="str">
        <f t="shared" si="1"/>
        <v>lokasi</v>
      </c>
      <c r="H390" s="159">
        <v>235.0</v>
      </c>
      <c r="I390" s="44">
        <v>1.0</v>
      </c>
      <c r="J390" s="160">
        <v>1.0</v>
      </c>
      <c r="K390" s="164" t="s">
        <v>2689</v>
      </c>
      <c r="L390" s="44">
        <v>0.0</v>
      </c>
      <c r="M390" s="44">
        <v>1.0</v>
      </c>
      <c r="N390" s="166">
        <v>0.0</v>
      </c>
      <c r="O390" s="44">
        <v>0.0</v>
      </c>
      <c r="P390" s="44">
        <v>-1.0</v>
      </c>
      <c r="Q390" s="44" t="s">
        <v>61</v>
      </c>
      <c r="R390" s="44" t="s">
        <v>61</v>
      </c>
      <c r="S390" s="175"/>
      <c r="T390" s="44">
        <v>0.0</v>
      </c>
      <c r="U390" s="44">
        <v>0.0</v>
      </c>
      <c r="V390" s="44">
        <v>0.0</v>
      </c>
      <c r="W390" s="45"/>
      <c r="X390" s="45"/>
      <c r="Y390" s="45"/>
      <c r="Z390" s="9"/>
      <c r="AA390" s="52"/>
      <c r="AB390" s="9"/>
      <c r="AC390" s="9"/>
      <c r="AD390" s="9"/>
      <c r="AE390" s="9"/>
      <c r="AF390" s="9"/>
    </row>
    <row r="391">
      <c r="A391" s="152">
        <v>2.0</v>
      </c>
      <c r="B391" s="153" t="s">
        <v>2690</v>
      </c>
      <c r="C391" s="47">
        <v>387.0</v>
      </c>
      <c r="D391" s="154">
        <v>5.0</v>
      </c>
      <c r="E391" s="154" t="s">
        <v>2691</v>
      </c>
      <c r="F391" s="156" t="str">
        <f>HYPERLINK("https://tirto.id/kontras-demo-mujahid-212-dengan-aksi-mahasiswa-eiUo ","sumber")</f>
        <v>sumber</v>
      </c>
      <c r="G391" s="156" t="str">
        <f t="shared" si="1"/>
        <v>lokasi</v>
      </c>
      <c r="H391" s="153">
        <v>631.0</v>
      </c>
      <c r="I391" s="48"/>
      <c r="J391" s="154">
        <v>1.0</v>
      </c>
      <c r="K391" s="165"/>
      <c r="L391" s="48"/>
      <c r="M391" s="48"/>
      <c r="N391" s="48"/>
      <c r="O391" s="48"/>
      <c r="P391" s="48"/>
      <c r="Q391" s="48"/>
      <c r="R391" s="48"/>
      <c r="S391" s="165"/>
      <c r="T391" s="48"/>
      <c r="U391" s="48"/>
      <c r="V391" s="48"/>
      <c r="W391" s="48"/>
      <c r="X391" s="48"/>
      <c r="Y391" s="47"/>
      <c r="Z391" s="43"/>
      <c r="AA391" s="43"/>
      <c r="AB391" s="51"/>
      <c r="AC391" s="51"/>
      <c r="AD391" s="51"/>
      <c r="AE391" s="51"/>
      <c r="AF391" s="51"/>
    </row>
    <row r="392">
      <c r="A392" s="176">
        <v>1.0</v>
      </c>
      <c r="B392" s="177" t="s">
        <v>32</v>
      </c>
      <c r="C392" s="178">
        <v>388.0</v>
      </c>
      <c r="D392" s="216" t="s">
        <v>2692</v>
      </c>
      <c r="E392" s="217">
        <v>43900.0</v>
      </c>
      <c r="F392" s="218" t="str">
        <f>HYPERLINK("https://www.liputan6.com/regional/read/3865651/lbh-bandung-protes-pembubaran-acara-peluncuran-buku-jemaah-ahmadiyah","Sumber")</f>
        <v>Sumber</v>
      </c>
      <c r="G392" s="218" t="str">
        <f>HYPERLINK("https://drive.google.com/open?id=19U5mXMQvRwIAI8Qxot8jJ9wF8f1zgeq-","Lokasi")</f>
        <v>Lokasi</v>
      </c>
      <c r="H392" s="179">
        <v>293.0</v>
      </c>
      <c r="I392" s="185">
        <v>1.0</v>
      </c>
      <c r="J392" s="185">
        <v>4.0</v>
      </c>
      <c r="K392" s="219" t="s">
        <v>2693</v>
      </c>
      <c r="L392" s="185">
        <v>0.0</v>
      </c>
      <c r="M392" s="185">
        <v>0.0</v>
      </c>
      <c r="N392" s="220">
        <v>0.0</v>
      </c>
      <c r="O392" s="185">
        <v>0.0</v>
      </c>
      <c r="P392" s="185">
        <v>0.0</v>
      </c>
      <c r="Q392" s="185">
        <v>0.0</v>
      </c>
      <c r="R392" s="185">
        <v>1.0</v>
      </c>
      <c r="S392" s="221"/>
      <c r="T392" s="185">
        <v>0.0</v>
      </c>
      <c r="U392" s="185">
        <v>0.0</v>
      </c>
      <c r="V392" s="185">
        <v>1.0</v>
      </c>
      <c r="W392" s="186"/>
      <c r="X392" s="186"/>
      <c r="Y392" s="186"/>
      <c r="Z392" s="186"/>
      <c r="AA392" s="185"/>
      <c r="AB392" s="186"/>
      <c r="AC392" s="186"/>
      <c r="AD392" s="186"/>
      <c r="AE392" s="186"/>
      <c r="AF392" s="186"/>
    </row>
    <row r="393">
      <c r="A393" s="222">
        <v>2.0</v>
      </c>
      <c r="B393" s="223" t="s">
        <v>2694</v>
      </c>
      <c r="C393" s="47">
        <v>389.0</v>
      </c>
      <c r="D393" s="223" t="s">
        <v>2695</v>
      </c>
      <c r="E393" s="224">
        <v>43626.0</v>
      </c>
      <c r="F393" s="225" t="str">
        <f>HYPERLINK("https://www.cnnindonesia.com/internasional/20191006031847-120-437121/hari-kelima-demonstrasi-di-irak-total-94-orang-tewas ","Sumber")</f>
        <v>Sumber</v>
      </c>
      <c r="G393" s="43" t="s">
        <v>2696</v>
      </c>
      <c r="H393" s="223">
        <v>455.0</v>
      </c>
      <c r="I393" s="51"/>
      <c r="J393" s="51"/>
      <c r="K393" s="226"/>
      <c r="L393" s="51"/>
      <c r="M393" s="51"/>
      <c r="N393" s="51"/>
      <c r="O393" s="51"/>
      <c r="P393" s="51"/>
      <c r="Q393" s="51"/>
      <c r="R393" s="51"/>
      <c r="S393" s="226"/>
      <c r="T393" s="51"/>
      <c r="U393" s="51"/>
      <c r="V393" s="51"/>
      <c r="W393" s="51"/>
      <c r="X393" s="51"/>
      <c r="Y393" s="51"/>
      <c r="Z393" s="51"/>
      <c r="AA393" s="43"/>
      <c r="AB393" s="51"/>
      <c r="AC393" s="51"/>
      <c r="AD393" s="51"/>
      <c r="AE393" s="51"/>
      <c r="AF393" s="51"/>
    </row>
    <row r="394">
      <c r="A394" s="227">
        <v>1.0</v>
      </c>
      <c r="B394" s="228" t="s">
        <v>2697</v>
      </c>
      <c r="C394" s="44">
        <v>390.0</v>
      </c>
      <c r="D394" s="228" t="s">
        <v>2698</v>
      </c>
      <c r="E394" s="228" t="s">
        <v>2699</v>
      </c>
      <c r="F394" s="229" t="str">
        <f>HYPERLINK("https://jogja.suara.com/read/2019/11/13/205748/polda-diy-jelaskan-polemik-ritual-piodalan-peringati-wafatnya-ki-mangir ","Sumber")</f>
        <v>Sumber</v>
      </c>
      <c r="G394" s="229" t="str">
        <f>HYPERLINK("https://drive.google.com/open?id=1Re7U8G5aa2LYdfaD3fB4S98bKjHu5l2u","Lokasi")</f>
        <v>Lokasi</v>
      </c>
      <c r="H394" s="228">
        <v>220.0</v>
      </c>
      <c r="I394" s="52">
        <v>1.0</v>
      </c>
      <c r="J394" s="52">
        <v>4.0</v>
      </c>
      <c r="K394" s="230" t="s">
        <v>2700</v>
      </c>
      <c r="L394" s="52">
        <v>0.0</v>
      </c>
      <c r="M394" s="52">
        <v>-1.0</v>
      </c>
      <c r="N394" s="231">
        <v>0.0</v>
      </c>
      <c r="O394" s="52">
        <v>0.0</v>
      </c>
      <c r="P394" s="52">
        <v>0.0</v>
      </c>
      <c r="Q394" s="52">
        <v>0.0</v>
      </c>
      <c r="R394" s="52">
        <v>0.0</v>
      </c>
      <c r="S394" s="232"/>
      <c r="T394" s="52">
        <v>0.0</v>
      </c>
      <c r="U394" s="52">
        <v>0.0</v>
      </c>
      <c r="V394" s="52">
        <v>0.0</v>
      </c>
      <c r="W394" s="9"/>
      <c r="X394" s="9"/>
      <c r="Y394" s="9"/>
      <c r="Z394" s="9"/>
      <c r="AA394" s="9"/>
      <c r="AB394" s="9"/>
      <c r="AC394" s="9"/>
      <c r="AD394" s="9"/>
      <c r="AE394" s="9"/>
      <c r="AF394" s="9"/>
    </row>
    <row r="395">
      <c r="A395" s="222">
        <v>2.0</v>
      </c>
      <c r="B395" s="223" t="s">
        <v>2701</v>
      </c>
      <c r="C395" s="47">
        <v>391.0</v>
      </c>
      <c r="D395" s="223" t="s">
        <v>2702</v>
      </c>
      <c r="E395" s="223" t="s">
        <v>884</v>
      </c>
      <c r="F395" s="225" t="str">
        <f>HYPERLINK("https://kolom.tempo.co/read/1275144/keniscayaan-demokrasi-iran ","Sumber")</f>
        <v>Sumber</v>
      </c>
      <c r="G395" s="43" t="s">
        <v>2696</v>
      </c>
      <c r="H395" s="223">
        <v>637.0</v>
      </c>
      <c r="I395" s="51"/>
      <c r="J395" s="51"/>
      <c r="K395" s="226"/>
      <c r="L395" s="51"/>
      <c r="M395" s="51"/>
      <c r="N395" s="51"/>
      <c r="O395" s="51"/>
      <c r="P395" s="51"/>
      <c r="Q395" s="51"/>
      <c r="R395" s="51"/>
      <c r="S395" s="226"/>
      <c r="T395" s="51"/>
      <c r="U395" s="51"/>
      <c r="V395" s="51"/>
      <c r="W395" s="51"/>
      <c r="X395" s="51"/>
      <c r="Y395" s="51"/>
      <c r="Z395" s="51"/>
      <c r="AA395" s="51"/>
      <c r="AB395" s="51"/>
      <c r="AC395" s="51"/>
      <c r="AD395" s="51"/>
      <c r="AE395" s="51"/>
      <c r="AF395" s="51"/>
    </row>
    <row r="396">
      <c r="A396" s="222">
        <v>2.0</v>
      </c>
      <c r="B396" s="223" t="s">
        <v>2703</v>
      </c>
      <c r="C396" s="47">
        <v>392.0</v>
      </c>
      <c r="D396" s="223" t="s">
        <v>2704</v>
      </c>
      <c r="E396" s="223" t="s">
        <v>2705</v>
      </c>
      <c r="F396" s="225" t="str">
        <f>HYPERLINK("https://tirto.id/20-calon-anggota-komnas-perempuan-lolos-dari-tahap-wawancara-emaB ","Sumber")</f>
        <v>Sumber</v>
      </c>
      <c r="G396" s="43" t="s">
        <v>2696</v>
      </c>
      <c r="H396" s="223">
        <v>278.0</v>
      </c>
      <c r="I396" s="51"/>
      <c r="J396" s="51"/>
      <c r="K396" s="226"/>
      <c r="L396" s="51"/>
      <c r="M396" s="51"/>
      <c r="N396" s="51"/>
      <c r="O396" s="51"/>
      <c r="P396" s="51"/>
      <c r="Q396" s="51"/>
      <c r="R396" s="51"/>
      <c r="S396" s="226"/>
      <c r="T396" s="51"/>
      <c r="U396" s="51"/>
      <c r="V396" s="51"/>
      <c r="W396" s="51"/>
      <c r="X396" s="51"/>
      <c r="Y396" s="51"/>
      <c r="Z396" s="51"/>
      <c r="AA396" s="51"/>
      <c r="AB396" s="51"/>
      <c r="AC396" s="51"/>
      <c r="AD396" s="51"/>
      <c r="AE396" s="51"/>
      <c r="AF396" s="51"/>
    </row>
    <row r="397">
      <c r="A397" s="222">
        <v>2.0</v>
      </c>
      <c r="B397" s="223" t="s">
        <v>2706</v>
      </c>
      <c r="C397" s="47">
        <v>393.0</v>
      </c>
      <c r="D397" s="223" t="s">
        <v>2707</v>
      </c>
      <c r="E397" s="224">
        <v>43792.0</v>
      </c>
      <c r="F397" s="225" t="str">
        <f>HYPERLINK("https://republika.co.id/berita/q1f6fa423/bri-persiapkan-kaum-milenial-jadi-wirausaha ","Sumber")</f>
        <v>Sumber</v>
      </c>
      <c r="G397" s="43" t="s">
        <v>2696</v>
      </c>
      <c r="H397" s="223">
        <v>276.0</v>
      </c>
      <c r="I397" s="51"/>
      <c r="J397" s="51"/>
      <c r="K397" s="226"/>
      <c r="L397" s="51"/>
      <c r="M397" s="51"/>
      <c r="N397" s="51"/>
      <c r="O397" s="51"/>
      <c r="P397" s="51"/>
      <c r="Q397" s="51"/>
      <c r="R397" s="51"/>
      <c r="S397" s="226"/>
      <c r="T397" s="51"/>
      <c r="U397" s="51"/>
      <c r="V397" s="51"/>
      <c r="W397" s="51"/>
      <c r="X397" s="51"/>
      <c r="Y397" s="51"/>
      <c r="Z397" s="51"/>
      <c r="AA397" s="51"/>
      <c r="AB397" s="51"/>
      <c r="AC397" s="51"/>
      <c r="AD397" s="51"/>
      <c r="AE397" s="51"/>
      <c r="AF397" s="51"/>
    </row>
    <row r="398">
      <c r="A398" s="222">
        <v>2.0</v>
      </c>
      <c r="B398" s="223" t="s">
        <v>2708</v>
      </c>
      <c r="C398" s="47">
        <v>394.0</v>
      </c>
      <c r="D398" s="223" t="s">
        <v>2709</v>
      </c>
      <c r="E398" s="233">
        <v>43794.0</v>
      </c>
      <c r="F398" s="234" t="str">
        <f>HYPERLINK("https://news.okezone.com/read/2019/11/24/65/2133755/5-fakta-perguruan-tinggi-di-ri-dengan-penelitian-terbaik ","Sumber")</f>
        <v>Sumber</v>
      </c>
      <c r="G398" s="43" t="s">
        <v>2696</v>
      </c>
      <c r="H398" s="223">
        <v>388.0</v>
      </c>
      <c r="I398" s="51"/>
      <c r="J398" s="51"/>
      <c r="K398" s="226"/>
      <c r="L398" s="51"/>
      <c r="M398" s="51"/>
      <c r="N398" s="51"/>
      <c r="O398" s="51"/>
      <c r="P398" s="51"/>
      <c r="Q398" s="51"/>
      <c r="R398" s="51"/>
      <c r="S398" s="226"/>
      <c r="T398" s="51"/>
      <c r="U398" s="51"/>
      <c r="V398" s="51"/>
      <c r="W398" s="51"/>
      <c r="X398" s="51"/>
      <c r="Y398" s="51"/>
      <c r="Z398" s="51"/>
      <c r="AA398" s="51"/>
      <c r="AB398" s="51"/>
      <c r="AC398" s="51"/>
      <c r="AD398" s="51"/>
      <c r="AE398" s="51"/>
      <c r="AF398" s="51"/>
    </row>
    <row r="399">
      <c r="A399" s="222">
        <v>2.0</v>
      </c>
      <c r="B399" s="223" t="s">
        <v>2710</v>
      </c>
      <c r="C399" s="47">
        <v>395.0</v>
      </c>
      <c r="D399" s="223" t="s">
        <v>2702</v>
      </c>
      <c r="E399" s="233">
        <v>43795.0</v>
      </c>
      <c r="F399" s="235" t="str">
        <f>HYPERLINK("https://nasional.tempo.co/read/1276837/2-siswa-di-batam-dikeluarkan-karena-tak-mau-hormat-bendera","sumber")</f>
        <v>sumber</v>
      </c>
      <c r="G399" s="43" t="s">
        <v>2696</v>
      </c>
      <c r="H399" s="223">
        <v>297.0</v>
      </c>
      <c r="I399" s="51"/>
      <c r="J399" s="51"/>
      <c r="K399" s="226"/>
      <c r="L399" s="51"/>
      <c r="M399" s="51"/>
      <c r="N399" s="51"/>
      <c r="O399" s="51"/>
      <c r="P399" s="51"/>
      <c r="Q399" s="51"/>
      <c r="R399" s="51"/>
      <c r="S399" s="226"/>
      <c r="T399" s="51"/>
      <c r="U399" s="51"/>
      <c r="V399" s="51"/>
      <c r="W399" s="51"/>
      <c r="X399" s="51"/>
      <c r="Y399" s="51"/>
      <c r="Z399" s="51"/>
      <c r="AA399" s="51"/>
      <c r="AB399" s="51"/>
      <c r="AC399" s="51"/>
      <c r="AD399" s="51"/>
      <c r="AE399" s="51"/>
      <c r="AF399" s="51"/>
    </row>
    <row r="400">
      <c r="A400" s="222">
        <v>2.0</v>
      </c>
      <c r="B400" s="223" t="s">
        <v>2711</v>
      </c>
      <c r="C400" s="47">
        <v>396.0</v>
      </c>
      <c r="D400" s="223" t="s">
        <v>2692</v>
      </c>
      <c r="E400" s="233">
        <v>43811.0</v>
      </c>
      <c r="F400" s="234" t="str">
        <f>HYPERLINK("https://www.liputan6.com/global/read/4131834/china-bersikeras-akan-terus-lanjutkan-pelatihan-di-xinjiang","Sumber")</f>
        <v>Sumber</v>
      </c>
      <c r="G400" s="43" t="s">
        <v>2696</v>
      </c>
      <c r="H400" s="223">
        <v>404.0</v>
      </c>
      <c r="I400" s="51"/>
      <c r="J400" s="51"/>
      <c r="K400" s="226"/>
      <c r="L400" s="51"/>
      <c r="M400" s="51"/>
      <c r="N400" s="51"/>
      <c r="O400" s="51"/>
      <c r="P400" s="51"/>
      <c r="Q400" s="51"/>
      <c r="R400" s="51"/>
      <c r="S400" s="226"/>
      <c r="T400" s="51"/>
      <c r="U400" s="51"/>
      <c r="V400" s="51"/>
      <c r="W400" s="51"/>
      <c r="X400" s="51"/>
      <c r="Y400" s="51"/>
      <c r="Z400" s="51"/>
      <c r="AA400" s="51"/>
      <c r="AB400" s="51"/>
      <c r="AC400" s="51"/>
      <c r="AD400" s="51"/>
      <c r="AE400" s="51"/>
      <c r="AF400" s="51"/>
    </row>
    <row r="401">
      <c r="A401" s="222">
        <v>2.0</v>
      </c>
      <c r="B401" s="223" t="s">
        <v>2712</v>
      </c>
      <c r="C401" s="47">
        <v>397.0</v>
      </c>
      <c r="D401" s="223" t="s">
        <v>2704</v>
      </c>
      <c r="E401" s="233">
        <v>43821.0</v>
      </c>
      <c r="F401" s="234" t="str">
        <f>HYPERLINK("https://tirto.id/polri-tindak-tegas-aksi-razia-ormas-saat-natal-kok-baru-sekarang-eoie","Sumber")</f>
        <v>Sumber</v>
      </c>
      <c r="G401" s="43" t="s">
        <v>2696</v>
      </c>
      <c r="H401" s="223">
        <v>370.0</v>
      </c>
      <c r="I401" s="51"/>
      <c r="J401" s="51"/>
      <c r="K401" s="226"/>
      <c r="L401" s="51"/>
      <c r="M401" s="51"/>
      <c r="N401" s="51"/>
      <c r="O401" s="51"/>
      <c r="P401" s="51"/>
      <c r="Q401" s="51"/>
      <c r="R401" s="51"/>
      <c r="S401" s="226"/>
      <c r="T401" s="51"/>
      <c r="U401" s="51"/>
      <c r="V401" s="51"/>
      <c r="W401" s="51"/>
      <c r="X401" s="51"/>
      <c r="Y401" s="51"/>
      <c r="Z401" s="51"/>
      <c r="AA401" s="51"/>
      <c r="AB401" s="51"/>
      <c r="AC401" s="51"/>
      <c r="AD401" s="51"/>
      <c r="AE401" s="51"/>
      <c r="AF401" s="51"/>
    </row>
    <row r="402">
      <c r="A402" s="222">
        <v>2.0</v>
      </c>
      <c r="B402" s="223" t="s">
        <v>2713</v>
      </c>
      <c r="C402" s="47">
        <v>398.0</v>
      </c>
      <c r="D402" s="223" t="s">
        <v>2709</v>
      </c>
      <c r="E402" s="233">
        <v>43822.0</v>
      </c>
      <c r="F402" s="234" t="str">
        <f>HYPERLINK("https://news.okezone.com/read/2019/12/23/18/2145122/profesor-di-pakistan-divonis-mati-atas-tuduhan-menghina-nabi-muhammad","Sumber")</f>
        <v>Sumber</v>
      </c>
      <c r="G402" s="225" t="str">
        <f>HYPERLINK("https://drive.google.com/open?id=1TDY7LJXm132B6KYMEWxrh1o3DUYe9KMH","Lokasi")</f>
        <v>Lokasi</v>
      </c>
      <c r="H402" s="223">
        <v>362.0</v>
      </c>
      <c r="I402" s="43"/>
      <c r="J402" s="43"/>
      <c r="K402" s="236"/>
      <c r="L402" s="43"/>
      <c r="M402" s="43"/>
      <c r="N402" s="43"/>
      <c r="O402" s="43"/>
      <c r="P402" s="43"/>
      <c r="Q402" s="43"/>
      <c r="R402" s="43"/>
      <c r="S402" s="226"/>
      <c r="T402" s="43"/>
      <c r="U402" s="43"/>
      <c r="V402" s="43"/>
      <c r="W402" s="51"/>
      <c r="X402" s="51"/>
      <c r="Y402" s="51"/>
      <c r="Z402" s="51"/>
      <c r="AA402" s="51"/>
      <c r="AB402" s="51"/>
      <c r="AC402" s="51"/>
      <c r="AD402" s="51"/>
      <c r="AE402" s="51"/>
      <c r="AF402" s="51"/>
    </row>
    <row r="403">
      <c r="A403" s="222">
        <v>2.0</v>
      </c>
      <c r="B403" s="223" t="s">
        <v>2714</v>
      </c>
      <c r="C403" s="47">
        <v>399.0</v>
      </c>
      <c r="D403" s="223" t="s">
        <v>2698</v>
      </c>
      <c r="E403" s="233">
        <v>43822.0</v>
      </c>
      <c r="F403" s="234" t="str">
        <f>HYPERLINK("https://jatim.suara.com/read/2019/12/23/111905/maruf-amin-boleh-ucapkan-natal-lawan-mui-jatim-jangan-jadi-calo-tuhan","Sumber")</f>
        <v>Sumber</v>
      </c>
      <c r="G403" s="43" t="s">
        <v>2696</v>
      </c>
      <c r="H403" s="223">
        <v>418.0</v>
      </c>
      <c r="I403" s="51"/>
      <c r="J403" s="51"/>
      <c r="K403" s="226"/>
      <c r="L403" s="51"/>
      <c r="M403" s="51"/>
      <c r="N403" s="51"/>
      <c r="O403" s="51"/>
      <c r="P403" s="51"/>
      <c r="Q403" s="51"/>
      <c r="R403" s="51"/>
      <c r="S403" s="226"/>
      <c r="T403" s="51"/>
      <c r="U403" s="51"/>
      <c r="V403" s="51"/>
      <c r="W403" s="51"/>
      <c r="X403" s="51"/>
      <c r="Y403" s="51"/>
      <c r="Z403" s="51"/>
      <c r="AA403" s="51"/>
      <c r="AB403" s="51"/>
      <c r="AC403" s="51"/>
      <c r="AD403" s="51"/>
      <c r="AE403" s="51"/>
      <c r="AF403" s="51"/>
    </row>
    <row r="404">
      <c r="A404" s="222">
        <v>2.0</v>
      </c>
      <c r="B404" s="223" t="s">
        <v>1997</v>
      </c>
      <c r="C404" s="47">
        <v>400.0</v>
      </c>
      <c r="D404" s="223" t="s">
        <v>2715</v>
      </c>
      <c r="E404" s="233">
        <v>43822.0</v>
      </c>
      <c r="F404" s="234" t="str">
        <f>HYPERLINK("https://www.tribunnews.com/regional/2019/12/23/fakta-fakta-mahasiswi-di-aceh-gantung-diri-awal-ditemukan-hingga-ditemukannya-surat-wasiat","Sumber")</f>
        <v>Sumber</v>
      </c>
      <c r="G404" s="43" t="s">
        <v>2696</v>
      </c>
      <c r="H404" s="223">
        <v>197.0</v>
      </c>
      <c r="I404" s="51"/>
      <c r="J404" s="51"/>
      <c r="K404" s="226"/>
      <c r="L404" s="51"/>
      <c r="M404" s="51"/>
      <c r="N404" s="43"/>
      <c r="O404" s="43"/>
      <c r="P404" s="43"/>
      <c r="Q404" s="51"/>
      <c r="R404" s="51"/>
      <c r="S404" s="226"/>
      <c r="T404" s="51"/>
      <c r="U404" s="51"/>
      <c r="V404" s="51"/>
      <c r="W404" s="51"/>
      <c r="X404" s="51"/>
      <c r="Y404" s="51"/>
      <c r="Z404" s="51"/>
      <c r="AA404" s="51"/>
      <c r="AB404" s="51"/>
      <c r="AC404" s="51"/>
      <c r="AD404" s="51"/>
      <c r="AE404" s="51"/>
      <c r="AF404" s="51"/>
    </row>
    <row r="405">
      <c r="A405" s="176">
        <v>1.0</v>
      </c>
      <c r="B405" s="237" t="s">
        <v>2716</v>
      </c>
      <c r="C405" s="178">
        <v>401.0</v>
      </c>
      <c r="D405" s="216" t="s">
        <v>2695</v>
      </c>
      <c r="E405" s="238">
        <v>43826.0</v>
      </c>
      <c r="F405" s="239" t="str">
        <f>HYPERLINK("https://www.cnnindonesia.com/internasional/20191213131933-113-456691/demo-tolak-ruu-kewarganegaraan-di-india-telan-korban-jiwa","Sumber")</f>
        <v>Sumber</v>
      </c>
      <c r="G405" s="218" t="str">
        <f>HYPERLINK("https://drive.google.com/open?id=1KtzFn3_hlrYSHL2NE8pqPTfMBZrrcUOW","Lokasi")</f>
        <v>Lokasi</v>
      </c>
      <c r="H405" s="240">
        <v>318.0</v>
      </c>
      <c r="I405" s="185">
        <v>1.0</v>
      </c>
      <c r="J405" s="185">
        <v>4.0</v>
      </c>
      <c r="K405" s="241" t="s">
        <v>2717</v>
      </c>
      <c r="L405" s="185">
        <v>0.0</v>
      </c>
      <c r="M405" s="185">
        <v>-1.0</v>
      </c>
      <c r="N405" s="220">
        <v>0.0</v>
      </c>
      <c r="O405" s="185">
        <v>0.0</v>
      </c>
      <c r="P405" s="185">
        <v>0.0</v>
      </c>
      <c r="Q405" s="185" t="s">
        <v>61</v>
      </c>
      <c r="R405" s="185" t="s">
        <v>100</v>
      </c>
      <c r="S405" s="221"/>
      <c r="T405" s="185">
        <v>0.0</v>
      </c>
      <c r="U405" s="185">
        <v>0.0</v>
      </c>
      <c r="V405" s="185">
        <v>1.0</v>
      </c>
      <c r="W405" s="186"/>
      <c r="X405" s="186"/>
      <c r="Y405" s="186"/>
      <c r="Z405" s="186"/>
      <c r="AA405" s="186"/>
      <c r="AB405" s="186"/>
      <c r="AC405" s="186"/>
      <c r="AD405" s="186"/>
      <c r="AE405" s="186"/>
      <c r="AF405" s="186"/>
    </row>
    <row r="406">
      <c r="A406" s="222">
        <v>2.0</v>
      </c>
      <c r="B406" s="223" t="s">
        <v>2718</v>
      </c>
      <c r="C406" s="47">
        <v>403.0</v>
      </c>
      <c r="D406" s="223" t="s">
        <v>2695</v>
      </c>
      <c r="E406" s="233">
        <v>43830.0</v>
      </c>
      <c r="F406" s="234" t="str">
        <f>HYPERLINK("https://www.cnnindonesia.com/internasional/20191231143833-120-461338/kecam-serangan-udara-irak-akan-panggil-dubes-as","Sumber")</f>
        <v>Sumber</v>
      </c>
      <c r="G406" s="43" t="s">
        <v>2696</v>
      </c>
      <c r="H406" s="223">
        <v>340.0</v>
      </c>
      <c r="I406" s="51"/>
      <c r="J406" s="51"/>
      <c r="K406" s="226"/>
      <c r="L406" s="51"/>
      <c r="M406" s="51"/>
      <c r="N406" s="51"/>
      <c r="O406" s="51"/>
      <c r="P406" s="51"/>
      <c r="Q406" s="51"/>
      <c r="R406" s="51"/>
      <c r="S406" s="226"/>
      <c r="T406" s="51"/>
      <c r="U406" s="51"/>
      <c r="V406" s="51"/>
      <c r="W406" s="51"/>
      <c r="X406" s="51"/>
      <c r="Y406" s="51"/>
      <c r="Z406" s="51"/>
      <c r="AA406" s="51"/>
      <c r="AB406" s="51"/>
      <c r="AC406" s="51"/>
      <c r="AD406" s="51"/>
      <c r="AE406" s="51"/>
      <c r="AF406" s="51"/>
    </row>
    <row r="407">
      <c r="A407" s="227">
        <v>1.0</v>
      </c>
      <c r="B407" s="228" t="s">
        <v>2719</v>
      </c>
      <c r="C407" s="44">
        <v>404.0</v>
      </c>
      <c r="D407" s="228" t="s">
        <v>2702</v>
      </c>
      <c r="E407" s="242">
        <v>43741.0</v>
      </c>
      <c r="F407" s="243" t="str">
        <f>HYPERLINK("https://gaya.tempo.co/read/1255304/karakter-joker-mengidap-skizofrenia-waspadai-gejalanya","Sumber")</f>
        <v>Sumber</v>
      </c>
      <c r="G407" s="229" t="str">
        <f>HYPERLINK("https://drive.google.com/open?id=17cYqpst6WO7d952_Uo7sPYa12f5XRric","Lokasi")</f>
        <v>Lokasi</v>
      </c>
      <c r="H407" s="228">
        <v>211.0</v>
      </c>
      <c r="I407" s="52">
        <v>5.0</v>
      </c>
      <c r="J407" s="52">
        <v>2.0</v>
      </c>
      <c r="K407" s="244"/>
      <c r="L407" s="52">
        <v>0.0</v>
      </c>
      <c r="M407" s="52">
        <v>0.0</v>
      </c>
      <c r="N407" s="231">
        <v>0.0</v>
      </c>
      <c r="O407" s="52">
        <v>0.0</v>
      </c>
      <c r="P407" s="52">
        <v>0.0</v>
      </c>
      <c r="Q407" s="52"/>
      <c r="R407" s="52"/>
      <c r="S407" s="232"/>
      <c r="T407" s="52">
        <v>0.0</v>
      </c>
      <c r="U407" s="52">
        <v>0.0</v>
      </c>
      <c r="V407" s="52">
        <v>1.0</v>
      </c>
      <c r="W407" s="9"/>
      <c r="X407" s="9"/>
      <c r="Y407" s="9"/>
      <c r="Z407" s="9"/>
      <c r="AA407" s="9"/>
      <c r="AB407" s="9"/>
      <c r="AC407" s="9"/>
      <c r="AD407" s="9"/>
      <c r="AE407" s="9"/>
      <c r="AF407" s="9"/>
    </row>
    <row r="408">
      <c r="A408" s="189">
        <v>1.0</v>
      </c>
      <c r="B408" s="245" t="s">
        <v>2720</v>
      </c>
      <c r="C408" s="55">
        <v>405.0</v>
      </c>
      <c r="D408" s="246" t="s">
        <v>2692</v>
      </c>
      <c r="E408" s="247">
        <v>43744.0</v>
      </c>
      <c r="F408" s="248" t="str">
        <f>HYPERLINK("https://www.liputan6.com/citizen6/read/4079263/fakta-fakta-tiyo-bocah-disabilitas-asal-ciamis-pemilik-iq-tinggi","Sumber")</f>
        <v>Sumber</v>
      </c>
      <c r="G408" s="249" t="str">
        <f>HYPERLINK("https://drive.google.com/open?id=1H5PJJJ1_bGKO4fqXeB4GAzE5pqX59QRe","Lokasi")</f>
        <v>Lokasi</v>
      </c>
      <c r="H408" s="250">
        <v>227.0</v>
      </c>
      <c r="I408" s="30">
        <v>2.0</v>
      </c>
      <c r="J408" s="30">
        <v>2.0</v>
      </c>
      <c r="K408" s="251"/>
      <c r="L408" s="30">
        <v>0.0</v>
      </c>
      <c r="M408" s="30">
        <v>0.0</v>
      </c>
      <c r="N408" s="252">
        <v>0.0</v>
      </c>
      <c r="O408" s="30">
        <v>0.0</v>
      </c>
      <c r="P408" s="30">
        <v>0.0</v>
      </c>
      <c r="Q408" s="30"/>
      <c r="R408" s="30"/>
      <c r="S408" s="251" t="s">
        <v>2721</v>
      </c>
      <c r="T408" s="30">
        <v>4.0</v>
      </c>
      <c r="U408" s="30">
        <v>0.0</v>
      </c>
      <c r="V408" s="30">
        <v>0.0</v>
      </c>
      <c r="W408" s="31"/>
      <c r="X408" s="31"/>
      <c r="Y408" s="31"/>
      <c r="Z408" s="31"/>
      <c r="AA408" s="31"/>
      <c r="AB408" s="31"/>
      <c r="AC408" s="31"/>
      <c r="AD408" s="31"/>
      <c r="AE408" s="31"/>
      <c r="AF408" s="31"/>
    </row>
    <row r="409">
      <c r="A409" s="227">
        <v>1.0</v>
      </c>
      <c r="B409" s="228" t="s">
        <v>1833</v>
      </c>
      <c r="C409" s="44">
        <v>406.0</v>
      </c>
      <c r="D409" s="228" t="s">
        <v>2698</v>
      </c>
      <c r="E409" s="242">
        <v>43745.0</v>
      </c>
      <c r="F409" s="253" t="str">
        <f>HYPERLINK("https://www.suara.com/health/2019/10/07/201000/dokter-jiwa-usul-percobaan-bunuh-diri-ditanggung-bpjs-ini-alasannya","Sumber")</f>
        <v>Sumber</v>
      </c>
      <c r="G409" s="229" t="str">
        <f>HYPERLINK("https://drive.google.com/open?id=13ZSHDQtmIkJDf6MzD9rSF8sFzSC6ribO","Lokasi")</f>
        <v>Lokasi</v>
      </c>
      <c r="H409" s="228">
        <v>312.0</v>
      </c>
      <c r="I409" s="52">
        <v>4.0</v>
      </c>
      <c r="J409" s="52">
        <v>2.0</v>
      </c>
      <c r="K409" s="244" t="s">
        <v>2722</v>
      </c>
      <c r="L409" s="52">
        <v>0.0</v>
      </c>
      <c r="M409" s="52">
        <v>0.0</v>
      </c>
      <c r="N409" s="231">
        <v>0.0</v>
      </c>
      <c r="O409" s="52">
        <v>0.0</v>
      </c>
      <c r="P409" s="52">
        <v>0.0</v>
      </c>
      <c r="Q409" s="52">
        <v>0.0</v>
      </c>
      <c r="R409" s="52">
        <v>1.0</v>
      </c>
      <c r="S409" s="232"/>
      <c r="T409" s="52">
        <v>0.0</v>
      </c>
      <c r="U409" s="52">
        <v>0.0</v>
      </c>
      <c r="V409" s="52">
        <v>1.0</v>
      </c>
      <c r="W409" s="9"/>
      <c r="X409" s="9"/>
      <c r="Y409" s="9"/>
      <c r="Z409" s="9"/>
      <c r="AA409" s="9"/>
      <c r="AB409" s="9"/>
      <c r="AC409" s="9"/>
      <c r="AD409" s="9"/>
      <c r="AE409" s="9"/>
      <c r="AF409" s="9"/>
    </row>
    <row r="410">
      <c r="A410" s="254">
        <v>1.0</v>
      </c>
      <c r="B410" s="68" t="s">
        <v>2723</v>
      </c>
      <c r="C410" s="55">
        <v>407.0</v>
      </c>
      <c r="D410" s="246" t="s">
        <v>2724</v>
      </c>
      <c r="E410" s="247">
        <v>43746.0</v>
      </c>
      <c r="F410" s="248" t="str">
        <f>HYPERLINK("https://regional.kompas.com/read/2019/10/04/20181531/bocah-12-tahun-yang-dikurung-di-bekas-kandang-ayam-pernah-dikubur-separuh ","Sumber")</f>
        <v>Sumber</v>
      </c>
      <c r="G410" s="249" t="str">
        <f>HYPERLINK("https://drive.google.com/open?id=1vIg2jrvGbU26bfVo8LzkPzNznlAnLJb7","Lokasi")</f>
        <v>Lokasi</v>
      </c>
      <c r="H410" s="246">
        <v>230.0</v>
      </c>
      <c r="I410" s="30">
        <v>2.0</v>
      </c>
      <c r="J410" s="30">
        <v>2.0</v>
      </c>
      <c r="K410" s="251" t="s">
        <v>2725</v>
      </c>
      <c r="L410" s="30">
        <v>0.0</v>
      </c>
      <c r="M410" s="30">
        <v>0.0</v>
      </c>
      <c r="N410" s="252">
        <v>0.0</v>
      </c>
      <c r="O410" s="30">
        <v>0.0</v>
      </c>
      <c r="P410" s="30">
        <v>0.0</v>
      </c>
      <c r="Q410" s="30" t="s">
        <v>61</v>
      </c>
      <c r="R410" s="30" t="s">
        <v>61</v>
      </c>
      <c r="S410" s="251" t="s">
        <v>2726</v>
      </c>
      <c r="T410" s="30">
        <v>1.0</v>
      </c>
      <c r="U410" s="30">
        <v>0.0</v>
      </c>
      <c r="V410" s="30">
        <v>0.0</v>
      </c>
      <c r="W410" s="31"/>
      <c r="X410" s="31"/>
      <c r="Y410" s="31"/>
      <c r="Z410" s="31"/>
      <c r="AA410" s="31"/>
      <c r="AB410" s="31"/>
      <c r="AC410" s="31"/>
      <c r="AD410" s="31"/>
      <c r="AE410" s="31"/>
      <c r="AF410" s="31"/>
    </row>
    <row r="411">
      <c r="A411" s="222">
        <v>2.0</v>
      </c>
      <c r="B411" s="223" t="s">
        <v>2727</v>
      </c>
      <c r="C411" s="47">
        <v>409.0</v>
      </c>
      <c r="D411" s="223" t="s">
        <v>2709</v>
      </c>
      <c r="E411" s="233">
        <v>43746.0</v>
      </c>
      <c r="F411" s="234" t="str">
        <f>HYPERLINK("https://lifestyle.okezone.com/read/2019/10/08/481/2114410/4-teknologi-terbaru-bayi-tabung-yang-tingkatkan-peluang-keberhasilan","Sumber")</f>
        <v>Sumber</v>
      </c>
      <c r="G411" s="43" t="s">
        <v>2696</v>
      </c>
      <c r="H411" s="223">
        <v>654.0</v>
      </c>
      <c r="I411" s="51"/>
      <c r="J411" s="51"/>
      <c r="K411" s="226"/>
      <c r="L411" s="51"/>
      <c r="M411" s="51"/>
      <c r="N411" s="51"/>
      <c r="O411" s="51"/>
      <c r="P411" s="51"/>
      <c r="Q411" s="51"/>
      <c r="R411" s="51"/>
      <c r="S411" s="226"/>
      <c r="T411" s="51"/>
      <c r="U411" s="51"/>
      <c r="V411" s="51"/>
      <c r="W411" s="51"/>
      <c r="X411" s="51"/>
      <c r="Y411" s="51"/>
      <c r="Z411" s="51"/>
      <c r="AA411" s="51"/>
      <c r="AB411" s="51"/>
      <c r="AC411" s="51"/>
      <c r="AD411" s="51"/>
      <c r="AE411" s="51"/>
      <c r="AF411" s="51"/>
    </row>
    <row r="412">
      <c r="A412" s="189">
        <v>1.0</v>
      </c>
      <c r="B412" s="245" t="s">
        <v>2728</v>
      </c>
      <c r="C412" s="55">
        <v>410.0</v>
      </c>
      <c r="D412" s="246" t="s">
        <v>2702</v>
      </c>
      <c r="E412" s="247">
        <v>43746.0</v>
      </c>
      <c r="F412" s="248" t="str">
        <f>HYPERLINK("https://gaya.tempo.co/read/1257370/katarak-penyebab-tertinggi-kebutaan-di-indonesia","Sumber")</f>
        <v>Sumber</v>
      </c>
      <c r="G412" s="249" t="str">
        <f>HYPERLINK("https://drive.google.com/open?id=1gMUx-CVmvHfpQf5FqKLMSfVAP--Imrqp","Lokasi")</f>
        <v>Lokasi</v>
      </c>
      <c r="H412" s="250">
        <v>319.0</v>
      </c>
      <c r="I412" s="30">
        <v>4.0</v>
      </c>
      <c r="J412" s="30">
        <v>2.0</v>
      </c>
      <c r="K412" s="251" t="s">
        <v>2729</v>
      </c>
      <c r="L412" s="30">
        <v>0.0</v>
      </c>
      <c r="M412" s="30">
        <v>0.0</v>
      </c>
      <c r="N412" s="252">
        <v>0.0</v>
      </c>
      <c r="O412" s="30">
        <v>0.0</v>
      </c>
      <c r="P412" s="30">
        <v>0.0</v>
      </c>
      <c r="Q412" s="30">
        <v>0.0</v>
      </c>
      <c r="R412" s="30">
        <v>0.0</v>
      </c>
      <c r="S412" s="255"/>
      <c r="T412" s="30">
        <v>0.0</v>
      </c>
      <c r="U412" s="30">
        <v>0.0</v>
      </c>
      <c r="V412" s="30">
        <v>1.0</v>
      </c>
      <c r="W412" s="31"/>
      <c r="X412" s="31"/>
      <c r="Y412" s="31"/>
      <c r="Z412" s="31"/>
      <c r="AA412" s="31"/>
      <c r="AB412" s="31"/>
      <c r="AC412" s="31"/>
      <c r="AD412" s="31"/>
      <c r="AE412" s="31"/>
      <c r="AF412" s="31"/>
    </row>
    <row r="413">
      <c r="A413" s="222">
        <v>2.0</v>
      </c>
      <c r="B413" s="223" t="s">
        <v>2730</v>
      </c>
      <c r="C413" s="47">
        <v>411.0</v>
      </c>
      <c r="D413" s="223" t="s">
        <v>2704</v>
      </c>
      <c r="E413" s="233">
        <v>43746.0</v>
      </c>
      <c r="F413" s="234" t="str">
        <f>HYPERLINK("https://tirto.id/polisi-klaim-surya-anta-sudah-ditangani-dokter-belum-perlu-ke-rs-ejqf","Sumber")</f>
        <v>Sumber</v>
      </c>
      <c r="G413" s="43" t="s">
        <v>2696</v>
      </c>
      <c r="H413" s="223">
        <v>524.0</v>
      </c>
      <c r="I413" s="51"/>
      <c r="J413" s="51"/>
      <c r="K413" s="226"/>
      <c r="L413" s="51"/>
      <c r="M413" s="51"/>
      <c r="N413" s="51"/>
      <c r="O413" s="51"/>
      <c r="P413" s="51"/>
      <c r="Q413" s="51"/>
      <c r="R413" s="51"/>
      <c r="S413" s="226"/>
      <c r="T413" s="51"/>
      <c r="U413" s="51"/>
      <c r="V413" s="51"/>
      <c r="W413" s="51"/>
      <c r="X413" s="51"/>
      <c r="Y413" s="51"/>
      <c r="Z413" s="51"/>
      <c r="AA413" s="51"/>
      <c r="AB413" s="51"/>
      <c r="AC413" s="51"/>
      <c r="AD413" s="51"/>
      <c r="AE413" s="51"/>
      <c r="AF413" s="51"/>
    </row>
    <row r="414">
      <c r="A414" s="222">
        <v>2.0</v>
      </c>
      <c r="B414" s="223" t="s">
        <v>2731</v>
      </c>
      <c r="C414" s="47">
        <v>412.0</v>
      </c>
      <c r="D414" s="223" t="s">
        <v>2715</v>
      </c>
      <c r="E414" s="233">
        <v>43747.0</v>
      </c>
      <c r="F414" s="234" t="str">
        <f>HYPERLINK("https://www.tribunnews.com/internasional/2019/10/09/viral-remaja-pengidap-sakit-jantung-putus-sekolah-untuk-rawat-6-adiknya-sudah-jadi-yatim-piatu","Sumber")</f>
        <v>Sumber</v>
      </c>
      <c r="G414" s="43" t="s">
        <v>2696</v>
      </c>
      <c r="H414" s="223">
        <v>179.0</v>
      </c>
      <c r="I414" s="51"/>
      <c r="J414" s="51"/>
      <c r="K414" s="226"/>
      <c r="L414" s="51"/>
      <c r="M414" s="51"/>
      <c r="N414" s="51"/>
      <c r="O414" s="51"/>
      <c r="P414" s="51"/>
      <c r="Q414" s="51"/>
      <c r="R414" s="51"/>
      <c r="S414" s="226"/>
      <c r="T414" s="51"/>
      <c r="U414" s="51"/>
      <c r="V414" s="51"/>
      <c r="W414" s="51"/>
      <c r="X414" s="51"/>
      <c r="Y414" s="51"/>
      <c r="Z414" s="51"/>
      <c r="AA414" s="51"/>
      <c r="AB414" s="51"/>
      <c r="AC414" s="51"/>
      <c r="AD414" s="51"/>
      <c r="AE414" s="51"/>
      <c r="AF414" s="51"/>
    </row>
    <row r="415">
      <c r="A415" s="227">
        <v>1.0</v>
      </c>
      <c r="B415" s="228" t="s">
        <v>2732</v>
      </c>
      <c r="C415" s="44">
        <v>413.0</v>
      </c>
      <c r="D415" s="228" t="s">
        <v>2698</v>
      </c>
      <c r="E415" s="242">
        <v>43788.0</v>
      </c>
      <c r="F415" s="253" t="str">
        <f>HYPERLINK("https://jateng.suara.com/read/2019/11/19/143138/sosok-ibu-remaja-yang-mayatnya-dibungkus-plastik-dikenal-jago-bahasa-asing","Sumber")</f>
        <v>Sumber</v>
      </c>
      <c r="G415" s="229" t="str">
        <f>HYPERLINK("https://drive.google.com/open?id=17Ax5tEE4PtmYxgfEeeBt8esMDZXsAATx","Lokasi")</f>
        <v>Lokasi</v>
      </c>
      <c r="H415" s="228">
        <v>407.0</v>
      </c>
      <c r="I415" s="52">
        <v>1.0</v>
      </c>
      <c r="J415" s="52">
        <v>2.0</v>
      </c>
      <c r="K415" s="244" t="s">
        <v>2733</v>
      </c>
      <c r="L415" s="52">
        <v>0.0</v>
      </c>
      <c r="M415" s="52">
        <v>0.0</v>
      </c>
      <c r="N415" s="231">
        <v>0.0</v>
      </c>
      <c r="O415" s="52">
        <v>0.0</v>
      </c>
      <c r="P415" s="52">
        <v>0.0</v>
      </c>
      <c r="Q415" s="52" t="s">
        <v>61</v>
      </c>
      <c r="R415" s="52" t="s">
        <v>61</v>
      </c>
      <c r="S415" s="232"/>
      <c r="T415" s="52">
        <v>0.0</v>
      </c>
      <c r="U415" s="52">
        <v>0.0</v>
      </c>
      <c r="V415" s="52">
        <v>0.0</v>
      </c>
      <c r="W415" s="9"/>
      <c r="X415" s="9"/>
      <c r="Y415" s="9"/>
      <c r="Z415" s="9"/>
      <c r="AA415" s="9"/>
      <c r="AB415" s="9"/>
      <c r="AC415" s="9"/>
      <c r="AD415" s="9"/>
      <c r="AE415" s="9"/>
      <c r="AF415" s="9"/>
    </row>
    <row r="416">
      <c r="A416" s="189">
        <v>1.0</v>
      </c>
      <c r="B416" s="245" t="s">
        <v>2734</v>
      </c>
      <c r="C416" s="55">
        <v>414.0</v>
      </c>
      <c r="D416" s="246" t="s">
        <v>2715</v>
      </c>
      <c r="E416" s="247">
        <v>43788.0</v>
      </c>
      <c r="F416" s="248" t="str">
        <f>HYPERLINK("https://www.tribunnews.com/nasional/2019/11/26/simak-ini-rincian-tugas-pada-jabatan-pelamar-kategori-disabilitas-untuk-formasi-bkn-cpns-2019","Sumber")</f>
        <v>Sumber</v>
      </c>
      <c r="G416" s="249" t="str">
        <f>HYPERLINK("https://drive.google.com/open?id=1QSpct3NRJ4iZ-wKWOqABqAVlhrONBp-p","Lokasi")</f>
        <v>Lokasi</v>
      </c>
      <c r="H416" s="250">
        <v>207.0</v>
      </c>
      <c r="I416" s="30">
        <v>4.0</v>
      </c>
      <c r="J416" s="30">
        <v>2.0</v>
      </c>
      <c r="K416" s="251"/>
      <c r="L416" s="30">
        <v>0.0</v>
      </c>
      <c r="M416" s="30">
        <v>0.0</v>
      </c>
      <c r="N416" s="252">
        <v>0.0</v>
      </c>
      <c r="O416" s="30">
        <v>0.0</v>
      </c>
      <c r="P416" s="30">
        <v>0.0</v>
      </c>
      <c r="Q416" s="30"/>
      <c r="R416" s="30"/>
      <c r="S416" s="255"/>
      <c r="T416" s="30">
        <v>0.0</v>
      </c>
      <c r="U416" s="30">
        <v>0.0</v>
      </c>
      <c r="V416" s="30">
        <v>1.0</v>
      </c>
      <c r="W416" s="31"/>
      <c r="X416" s="31"/>
      <c r="Y416" s="31"/>
      <c r="Z416" s="31"/>
      <c r="AA416" s="31"/>
      <c r="AB416" s="31"/>
      <c r="AC416" s="31"/>
      <c r="AD416" s="31"/>
      <c r="AE416" s="31"/>
      <c r="AF416" s="31"/>
    </row>
    <row r="417">
      <c r="A417" s="222">
        <v>2.0</v>
      </c>
      <c r="B417" s="223" t="s">
        <v>2735</v>
      </c>
      <c r="C417" s="47">
        <v>415.0</v>
      </c>
      <c r="D417" s="223" t="s">
        <v>2724</v>
      </c>
      <c r="E417" s="233">
        <v>43789.0</v>
      </c>
      <c r="F417" s="234" t="str">
        <f>HYPERLINK("https://megapolitan.kompas.com/read/2019/11/20/15070011/pengemudi-ojek-hingga-tukang-pijat-9-orang-ini-buktikan-siapa-saja-bisa","Sumber")</f>
        <v>Sumber</v>
      </c>
      <c r="G417" s="43" t="s">
        <v>2696</v>
      </c>
      <c r="H417" s="223">
        <v>1631.0</v>
      </c>
      <c r="I417" s="51"/>
      <c r="J417" s="51"/>
      <c r="K417" s="226"/>
      <c r="L417" s="51"/>
      <c r="M417" s="51"/>
      <c r="N417" s="51"/>
      <c r="O417" s="51"/>
      <c r="P417" s="51"/>
      <c r="Q417" s="51"/>
      <c r="R417" s="51"/>
      <c r="S417" s="226"/>
      <c r="T417" s="51"/>
      <c r="U417" s="51"/>
      <c r="V417" s="51"/>
      <c r="W417" s="51"/>
      <c r="X417" s="51"/>
      <c r="Y417" s="51"/>
      <c r="Z417" s="51"/>
      <c r="AA417" s="51"/>
      <c r="AB417" s="51"/>
      <c r="AC417" s="51"/>
      <c r="AD417" s="51"/>
      <c r="AE417" s="51"/>
      <c r="AF417" s="51"/>
    </row>
    <row r="418">
      <c r="A418" s="189">
        <v>1.0</v>
      </c>
      <c r="B418" s="245" t="s">
        <v>2736</v>
      </c>
      <c r="C418" s="55">
        <v>416.0</v>
      </c>
      <c r="D418" s="246" t="s">
        <v>2695</v>
      </c>
      <c r="E418" s="247">
        <v>43790.0</v>
      </c>
      <c r="F418" s="248" t="str">
        <f>HYPERLINK("https://www.cnnindonesia.com/nasional/20191121183103-20-450423/angkie-yudistia-penulis-tunarungu-yang-jadi-stafsus-jokowi","Sumber")</f>
        <v>Sumber</v>
      </c>
      <c r="G418" s="249" t="str">
        <f>HYPERLINK("https://drive.google.com/open?id=13W2N0f7834YAX3QoyssadCNvXujkqoan","Lokasi")</f>
        <v>Lokasi</v>
      </c>
      <c r="H418" s="250">
        <v>453.0</v>
      </c>
      <c r="I418" s="30">
        <v>2.0</v>
      </c>
      <c r="J418" s="30">
        <v>2.0</v>
      </c>
      <c r="K418" s="251" t="s">
        <v>2737</v>
      </c>
      <c r="L418" s="30">
        <v>0.0</v>
      </c>
      <c r="M418" s="30">
        <v>0.0</v>
      </c>
      <c r="N418" s="252">
        <v>0.0</v>
      </c>
      <c r="O418" s="30">
        <v>0.0</v>
      </c>
      <c r="P418" s="30">
        <v>0.0</v>
      </c>
      <c r="Q418" s="30">
        <v>2.0</v>
      </c>
      <c r="R418" s="30">
        <v>1.0</v>
      </c>
      <c r="S418" s="256"/>
      <c r="T418" s="30">
        <v>0.0</v>
      </c>
      <c r="U418" s="30">
        <v>0.0</v>
      </c>
      <c r="V418" s="30">
        <v>0.0</v>
      </c>
      <c r="W418" s="31"/>
      <c r="X418" s="31"/>
      <c r="Y418" s="31"/>
      <c r="Z418" s="31"/>
      <c r="AA418" s="31"/>
      <c r="AB418" s="31"/>
      <c r="AC418" s="31"/>
      <c r="AD418" s="31"/>
      <c r="AE418" s="31"/>
      <c r="AF418" s="31"/>
    </row>
    <row r="419">
      <c r="A419" s="189">
        <v>1.0</v>
      </c>
      <c r="B419" s="245" t="s">
        <v>2738</v>
      </c>
      <c r="C419" s="55">
        <v>417.0</v>
      </c>
      <c r="D419" s="246" t="s">
        <v>2707</v>
      </c>
      <c r="E419" s="247">
        <v>43790.0</v>
      </c>
      <c r="F419" s="248" t="str">
        <f>HYPERLINK("https://nasional.republika.co.id/berita/q1bi2q328/angkie-yudistia-staf-khusus-presiden-disabilitas-pertama","Sumber")</f>
        <v>Sumber</v>
      </c>
      <c r="G419" s="249" t="str">
        <f>HYPERLINK("https://drive.google.com/open?id=1jrK4HsoKQenCIhTSIRO9CHIFQIe61INR","Lokasi")</f>
        <v>Lokasi</v>
      </c>
      <c r="H419" s="250">
        <v>218.0</v>
      </c>
      <c r="I419" s="30">
        <v>2.0</v>
      </c>
      <c r="J419" s="30">
        <v>2.0</v>
      </c>
      <c r="K419" s="251" t="s">
        <v>2737</v>
      </c>
      <c r="L419" s="30">
        <v>0.0</v>
      </c>
      <c r="M419" s="30">
        <v>0.0</v>
      </c>
      <c r="N419" s="252">
        <v>0.0</v>
      </c>
      <c r="O419" s="30">
        <v>0.0</v>
      </c>
      <c r="P419" s="30">
        <v>0.0</v>
      </c>
      <c r="Q419" s="30">
        <v>2.0</v>
      </c>
      <c r="R419" s="30">
        <v>1.0</v>
      </c>
      <c r="S419" s="255"/>
      <c r="T419" s="30">
        <v>0.0</v>
      </c>
      <c r="U419" s="30">
        <v>0.0</v>
      </c>
      <c r="V419" s="30">
        <v>0.0</v>
      </c>
      <c r="W419" s="31"/>
      <c r="X419" s="31"/>
      <c r="Y419" s="31"/>
      <c r="Z419" s="31"/>
      <c r="AA419" s="31"/>
      <c r="AB419" s="31"/>
      <c r="AC419" s="31"/>
      <c r="AD419" s="31"/>
      <c r="AE419" s="31"/>
      <c r="AF419" s="31"/>
    </row>
    <row r="420">
      <c r="A420" s="227">
        <v>1.0</v>
      </c>
      <c r="B420" s="228" t="s">
        <v>2739</v>
      </c>
      <c r="C420" s="44">
        <v>418.0</v>
      </c>
      <c r="D420" s="228" t="s">
        <v>2740</v>
      </c>
      <c r="E420" s="242">
        <v>43791.0</v>
      </c>
      <c r="F420" s="253" t="str">
        <f>HYPERLINK("https://health.detik.com/berita-detikhealth/d-4794030/viral-cucu-tendangi-kakeknya-marah-tak-terkendali-tanda-gangguan-jiwa","Sumber")</f>
        <v>Sumber</v>
      </c>
      <c r="G420" s="229" t="str">
        <f>HYPERLINK("https://drive.google.com/open?id=1r8tAuMg6Wz3-dleEYWP58aMXOSsNRNpL","Lokasi")</f>
        <v>Lokasi</v>
      </c>
      <c r="H420" s="228">
        <v>293.0</v>
      </c>
      <c r="I420" s="52">
        <v>1.0</v>
      </c>
      <c r="J420" s="52">
        <v>2.0</v>
      </c>
      <c r="K420" s="244" t="s">
        <v>2741</v>
      </c>
      <c r="L420" s="52">
        <v>0.0</v>
      </c>
      <c r="M420" s="52">
        <v>1.0</v>
      </c>
      <c r="N420" s="231">
        <v>0.0</v>
      </c>
      <c r="O420" s="52">
        <v>0.0</v>
      </c>
      <c r="P420" s="52">
        <v>0.0</v>
      </c>
      <c r="Q420" s="52" t="s">
        <v>61</v>
      </c>
      <c r="R420" s="52" t="s">
        <v>61</v>
      </c>
      <c r="S420" s="232"/>
      <c r="T420" s="52">
        <v>0.0</v>
      </c>
      <c r="U420" s="52">
        <v>-1.0</v>
      </c>
      <c r="V420" s="52">
        <v>0.0</v>
      </c>
      <c r="W420" s="9"/>
      <c r="X420" s="9"/>
      <c r="Y420" s="9"/>
      <c r="Z420" s="9"/>
      <c r="AA420" s="9"/>
      <c r="AB420" s="9"/>
      <c r="AC420" s="9"/>
      <c r="AD420" s="9"/>
      <c r="AE420" s="9"/>
      <c r="AF420" s="9"/>
    </row>
    <row r="421">
      <c r="A421" s="227">
        <v>1.0</v>
      </c>
      <c r="B421" s="228" t="s">
        <v>2742</v>
      </c>
      <c r="C421" s="44">
        <v>419.0</v>
      </c>
      <c r="D421" s="228" t="s">
        <v>2709</v>
      </c>
      <c r="E421" s="242">
        <v>43791.0</v>
      </c>
      <c r="F421" s="253" t="str">
        <f>HYPERLINK("https://nasional.okezone.com/read/2019/11/22/337/2133364/siswa-tusuk-guru-karena-cinta-dpr-dampak-gagalnya-pendidikan-karakter","Sumber")</f>
        <v>Sumber</v>
      </c>
      <c r="G421" s="229" t="str">
        <f t="shared" ref="G421:G422" si="2">HYPERLINK("https://drive.google.com/open?id=1wUQbfDrxqWWSg7D1x-Q4LBZ4J_5dtMoI","Lokasi")</f>
        <v>Lokasi</v>
      </c>
      <c r="H421" s="228">
        <v>387.0</v>
      </c>
      <c r="I421" s="52">
        <v>1.0</v>
      </c>
      <c r="J421" s="52">
        <v>2.0</v>
      </c>
      <c r="K421" s="244" t="s">
        <v>2743</v>
      </c>
      <c r="L421" s="52">
        <v>0.0</v>
      </c>
      <c r="M421" s="52">
        <v>-1.0</v>
      </c>
      <c r="N421" s="231">
        <v>0.0</v>
      </c>
      <c r="O421" s="52">
        <v>0.0</v>
      </c>
      <c r="P421" s="52">
        <v>0.0</v>
      </c>
      <c r="Q421" s="52">
        <v>0.0</v>
      </c>
      <c r="R421" s="52">
        <v>-1.0</v>
      </c>
      <c r="S421" s="232"/>
      <c r="T421" s="52">
        <v>0.0</v>
      </c>
      <c r="U421" s="52">
        <v>-1.0</v>
      </c>
      <c r="V421" s="52">
        <v>0.0</v>
      </c>
      <c r="W421" s="9"/>
      <c r="X421" s="9"/>
      <c r="Y421" s="9"/>
      <c r="Z421" s="9"/>
      <c r="AA421" s="9"/>
      <c r="AB421" s="9"/>
      <c r="AC421" s="9"/>
      <c r="AD421" s="9"/>
      <c r="AE421" s="9"/>
      <c r="AF421" s="9"/>
    </row>
    <row r="422">
      <c r="A422" s="227">
        <v>1.0</v>
      </c>
      <c r="B422" s="228" t="s">
        <v>1852</v>
      </c>
      <c r="C422" s="44">
        <v>420.0</v>
      </c>
      <c r="D422" s="228" t="s">
        <v>2724</v>
      </c>
      <c r="E422" s="242">
        <v>43792.0</v>
      </c>
      <c r="F422" s="253" t="str">
        <f>HYPERLINK("https://regional.kompas.com/read/2019/11/23/14140031/-cinta-ditolak-siswa-smk-tusuk-guru-sejarah-polisi--diduga-gangguan-jiwa","Sumber")</f>
        <v>Sumber</v>
      </c>
      <c r="G422" s="229" t="str">
        <f t="shared" si="2"/>
        <v>Lokasi</v>
      </c>
      <c r="H422" s="228">
        <v>176.0</v>
      </c>
      <c r="I422" s="52">
        <v>1.0</v>
      </c>
      <c r="J422" s="52">
        <v>2.0</v>
      </c>
      <c r="K422" s="244" t="s">
        <v>2744</v>
      </c>
      <c r="L422" s="52">
        <v>0.0</v>
      </c>
      <c r="M422" s="52">
        <v>-1.0</v>
      </c>
      <c r="N422" s="231">
        <v>0.0</v>
      </c>
      <c r="O422" s="52">
        <v>0.0</v>
      </c>
      <c r="P422" s="52">
        <v>0.0</v>
      </c>
      <c r="Q422" s="52" t="s">
        <v>53</v>
      </c>
      <c r="R422" s="52" t="s">
        <v>53</v>
      </c>
      <c r="S422" s="232"/>
      <c r="T422" s="52">
        <v>0.0</v>
      </c>
      <c r="U422" s="52">
        <v>-1.0</v>
      </c>
      <c r="V422" s="52">
        <v>0.0</v>
      </c>
      <c r="W422" s="9"/>
      <c r="X422" s="9"/>
      <c r="Y422" s="9"/>
      <c r="Z422" s="9"/>
      <c r="AA422" s="9"/>
      <c r="AB422" s="9"/>
      <c r="AC422" s="9"/>
      <c r="AD422" s="9"/>
      <c r="AE422" s="9"/>
      <c r="AF422" s="9"/>
    </row>
    <row r="423">
      <c r="A423" s="222">
        <v>2.0</v>
      </c>
      <c r="B423" s="223" t="s">
        <v>2745</v>
      </c>
      <c r="C423" s="47">
        <v>421.0</v>
      </c>
      <c r="D423" s="223" t="s">
        <v>2709</v>
      </c>
      <c r="E423" s="233">
        <v>43792.0</v>
      </c>
      <c r="F423" s="234" t="str">
        <f>HYPERLINK("https://lifestyle.okezone.com/read/2019/11/23/196/2133441/kisah-nyata-tara-merebut-lelaki-yang-sudah-bertunangan-ending-nya-bikin-iba","Sumber")</f>
        <v>Sumber</v>
      </c>
      <c r="G423" s="43" t="s">
        <v>2696</v>
      </c>
      <c r="H423" s="223">
        <v>907.0</v>
      </c>
      <c r="I423" s="51"/>
      <c r="J423" s="51"/>
      <c r="K423" s="226"/>
      <c r="L423" s="51"/>
      <c r="M423" s="51"/>
      <c r="N423" s="51"/>
      <c r="O423" s="51"/>
      <c r="P423" s="51"/>
      <c r="Q423" s="51"/>
      <c r="R423" s="51"/>
      <c r="S423" s="226"/>
      <c r="T423" s="51"/>
      <c r="U423" s="51"/>
      <c r="V423" s="51"/>
      <c r="W423" s="51"/>
      <c r="X423" s="51"/>
      <c r="Y423" s="51"/>
      <c r="Z423" s="51"/>
      <c r="AA423" s="51"/>
      <c r="AB423" s="51"/>
      <c r="AC423" s="51"/>
      <c r="AD423" s="51"/>
      <c r="AE423" s="51"/>
      <c r="AF423" s="51"/>
    </row>
    <row r="424">
      <c r="A424" s="189">
        <v>1.0</v>
      </c>
      <c r="B424" s="245" t="s">
        <v>2746</v>
      </c>
      <c r="C424" s="55">
        <v>422.0</v>
      </c>
      <c r="D424" s="246" t="s">
        <v>2702</v>
      </c>
      <c r="E424" s="247">
        <v>43792.0</v>
      </c>
      <c r="F424" s="248" t="str">
        <f>HYPERLINK("https://cantik.tempo.co/read/1275775/cerita-angkie-yudistia-tunarungu-yang-jadi-staf-khusus-presiden","Sumber")</f>
        <v>Sumber</v>
      </c>
      <c r="G424" s="249" t="str">
        <f>HYPERLINK("https://drive.google.com/open?id=1gvgl749_Ynwa9XP58EYKH9exFZJ_PJXc","Lokasi")</f>
        <v>Lokasi</v>
      </c>
      <c r="H424" s="250">
        <v>788.0</v>
      </c>
      <c r="I424" s="30">
        <v>2.0</v>
      </c>
      <c r="J424" s="30">
        <v>2.0</v>
      </c>
      <c r="K424" s="251" t="s">
        <v>2737</v>
      </c>
      <c r="L424" s="30">
        <v>0.0</v>
      </c>
      <c r="M424" s="30">
        <v>0.0</v>
      </c>
      <c r="N424" s="252">
        <v>0.0</v>
      </c>
      <c r="O424" s="30">
        <v>0.0</v>
      </c>
      <c r="P424" s="30">
        <v>0.0</v>
      </c>
      <c r="Q424" s="30">
        <v>2.0</v>
      </c>
      <c r="R424" s="30">
        <v>1.0</v>
      </c>
      <c r="S424" s="255"/>
      <c r="T424" s="30">
        <v>0.0</v>
      </c>
      <c r="U424" s="30">
        <v>0.0</v>
      </c>
      <c r="V424" s="30">
        <v>0.0</v>
      </c>
      <c r="W424" s="31"/>
      <c r="X424" s="31"/>
      <c r="Y424" s="31"/>
      <c r="Z424" s="31"/>
      <c r="AA424" s="31"/>
      <c r="AB424" s="31"/>
      <c r="AC424" s="31"/>
      <c r="AD424" s="31"/>
      <c r="AE424" s="31"/>
      <c r="AF424" s="31"/>
    </row>
    <row r="425">
      <c r="A425" s="222">
        <v>2.0</v>
      </c>
      <c r="B425" s="223" t="s">
        <v>2747</v>
      </c>
      <c r="C425" s="47">
        <v>423.0</v>
      </c>
      <c r="D425" s="223" t="s">
        <v>2724</v>
      </c>
      <c r="E425" s="233">
        <v>43793.0</v>
      </c>
      <c r="F425" s="234" t="str">
        <f>HYPERLINK("https://www.kompas.com/tren/read/2019/11/24/071723365/update-link-formasi-dan-tanggal-penutupan-cpns-2019-di-32-kementerian","Sumber")</f>
        <v>Sumber</v>
      </c>
      <c r="G425" s="43" t="s">
        <v>2696</v>
      </c>
      <c r="H425" s="223">
        <v>196.0</v>
      </c>
      <c r="I425" s="51"/>
      <c r="J425" s="51"/>
      <c r="K425" s="226"/>
      <c r="L425" s="51"/>
      <c r="M425" s="51"/>
      <c r="N425" s="51"/>
      <c r="O425" s="51"/>
      <c r="P425" s="51"/>
      <c r="Q425" s="51"/>
      <c r="R425" s="51"/>
      <c r="S425" s="226"/>
      <c r="T425" s="51"/>
      <c r="U425" s="51"/>
      <c r="V425" s="51"/>
      <c r="W425" s="51"/>
      <c r="X425" s="51"/>
      <c r="Y425" s="51"/>
      <c r="Z425" s="51"/>
      <c r="AA425" s="51"/>
      <c r="AB425" s="51"/>
      <c r="AC425" s="51"/>
      <c r="AD425" s="51"/>
      <c r="AE425" s="51"/>
      <c r="AF425" s="51"/>
    </row>
    <row r="426">
      <c r="A426" s="227">
        <v>1.0</v>
      </c>
      <c r="B426" s="228" t="s">
        <v>1856</v>
      </c>
      <c r="C426" s="44">
        <v>424.0</v>
      </c>
      <c r="D426" s="228" t="s">
        <v>2702</v>
      </c>
      <c r="E426" s="242">
        <v>43793.0</v>
      </c>
      <c r="F426" s="253" t="str">
        <f>HYPERLINK("https://seleb.tempo.co/read/1275924/angkie-yudistia-takut-salah-paham-saat-diminta-jadi-staf-khusus-jokowi","Sumber")</f>
        <v>Sumber</v>
      </c>
      <c r="G426" s="229" t="str">
        <f>HYPERLINK("https://drive.google.com/open?id=1cd5hW_JGNnLsc_v54HdbSzAyP5E2KNnr","Lokasi")</f>
        <v>Lokasi</v>
      </c>
      <c r="H426" s="228">
        <v>527.0</v>
      </c>
      <c r="I426" s="52">
        <v>2.0</v>
      </c>
      <c r="J426" s="52">
        <v>2.0</v>
      </c>
      <c r="K426" s="244" t="s">
        <v>2748</v>
      </c>
      <c r="L426" s="52">
        <v>0.0</v>
      </c>
      <c r="M426" s="52">
        <v>0.0</v>
      </c>
      <c r="N426" s="231">
        <v>0.0</v>
      </c>
      <c r="O426" s="52">
        <v>0.0</v>
      </c>
      <c r="P426" s="52">
        <v>0.0</v>
      </c>
      <c r="Q426" s="52">
        <v>2.0</v>
      </c>
      <c r="R426" s="52">
        <v>1.0</v>
      </c>
      <c r="S426" s="232"/>
      <c r="T426" s="52">
        <v>0.0</v>
      </c>
      <c r="U426" s="52">
        <v>0.0</v>
      </c>
      <c r="V426" s="52">
        <v>0.0</v>
      </c>
      <c r="W426" s="9"/>
      <c r="X426" s="9"/>
      <c r="Y426" s="9"/>
      <c r="Z426" s="9"/>
      <c r="AA426" s="9"/>
      <c r="AB426" s="9"/>
      <c r="AC426" s="9"/>
      <c r="AD426" s="9"/>
      <c r="AE426" s="9"/>
      <c r="AF426" s="9"/>
    </row>
    <row r="427">
      <c r="A427" s="222">
        <v>2.0</v>
      </c>
      <c r="B427" s="223" t="s">
        <v>2749</v>
      </c>
      <c r="C427" s="47">
        <v>425.0</v>
      </c>
      <c r="D427" s="223" t="s">
        <v>2692</v>
      </c>
      <c r="E427" s="233">
        <v>43794.0</v>
      </c>
      <c r="F427" s="234" t="str">
        <f>HYPERLINK("https://www.liputan6.com/news/read/4118568/top-3-news-pengendara-bmw-berpelat-nomor-jepang-ditilang","Sumber")</f>
        <v>Sumber</v>
      </c>
      <c r="G427" s="43" t="s">
        <v>2696</v>
      </c>
      <c r="H427" s="223">
        <v>562.0</v>
      </c>
      <c r="I427" s="51"/>
      <c r="J427" s="51"/>
      <c r="K427" s="226"/>
      <c r="L427" s="51"/>
      <c r="M427" s="51"/>
      <c r="N427" s="51"/>
      <c r="O427" s="51"/>
      <c r="P427" s="51"/>
      <c r="Q427" s="51"/>
      <c r="R427" s="51"/>
      <c r="S427" s="226"/>
      <c r="T427" s="51"/>
      <c r="U427" s="51"/>
      <c r="V427" s="51"/>
      <c r="W427" s="51"/>
      <c r="X427" s="51"/>
      <c r="Y427" s="51"/>
      <c r="Z427" s="51"/>
      <c r="AA427" s="51"/>
      <c r="AB427" s="51"/>
      <c r="AC427" s="51"/>
      <c r="AD427" s="51"/>
      <c r="AE427" s="51"/>
      <c r="AF427" s="51"/>
    </row>
    <row r="428">
      <c r="A428" s="189">
        <v>1.0</v>
      </c>
      <c r="B428" s="245" t="s">
        <v>2750</v>
      </c>
      <c r="C428" s="55">
        <v>426.0</v>
      </c>
      <c r="D428" s="246" t="s">
        <v>2707</v>
      </c>
      <c r="E428" s="247">
        <v>43795.0</v>
      </c>
      <c r="F428" s="248" t="str">
        <f>HYPERLINK("https://republika.co.id/berita/q16xsq349/mahasiswa-ub-ciptakan-alat-deteksi-penyakit-skizofrenia","Sumber")</f>
        <v>Sumber</v>
      </c>
      <c r="G428" s="249" t="str">
        <f>HYPERLINK("https://drive.google.com/open?id=1gdY_6ouHYoaW_zHtX0mxZhVNmgAMpUfq","Lokasi")</f>
        <v>Lokasi</v>
      </c>
      <c r="H428" s="250">
        <v>433.0</v>
      </c>
      <c r="I428" s="30">
        <v>5.0</v>
      </c>
      <c r="J428" s="30">
        <v>2.0</v>
      </c>
      <c r="K428" s="251" t="s">
        <v>2751</v>
      </c>
      <c r="L428" s="30">
        <v>0.0</v>
      </c>
      <c r="M428" s="30">
        <v>0.0</v>
      </c>
      <c r="N428" s="252">
        <v>0.0</v>
      </c>
      <c r="O428" s="30">
        <v>0.0</v>
      </c>
      <c r="P428" s="30">
        <v>0.0</v>
      </c>
      <c r="Q428" s="30">
        <v>0.0</v>
      </c>
      <c r="R428" s="30">
        <v>0.0</v>
      </c>
      <c r="S428" s="255"/>
      <c r="T428" s="30">
        <v>0.0</v>
      </c>
      <c r="U428" s="30">
        <v>0.0</v>
      </c>
      <c r="V428" s="30">
        <v>1.0</v>
      </c>
      <c r="W428" s="31"/>
      <c r="X428" s="31"/>
      <c r="Y428" s="31"/>
      <c r="Z428" s="31"/>
      <c r="AA428" s="31"/>
      <c r="AB428" s="31"/>
      <c r="AC428" s="31"/>
      <c r="AD428" s="31"/>
      <c r="AE428" s="31"/>
      <c r="AF428" s="31"/>
    </row>
    <row r="429">
      <c r="A429" s="222">
        <v>2.0</v>
      </c>
      <c r="B429" s="223" t="s">
        <v>2752</v>
      </c>
      <c r="C429" s="47">
        <v>427.0</v>
      </c>
      <c r="D429" s="223" t="s">
        <v>2704</v>
      </c>
      <c r="E429" s="233">
        <v>43810.0</v>
      </c>
      <c r="F429" s="234" t="str">
        <f>HYPERLINK("https://tirto.id/tak-ada-yang-gila-di-kota-ini-masuk-sundance-film-festival-2020-enfg","Sumber")</f>
        <v>Sumber</v>
      </c>
      <c r="G429" s="43" t="s">
        <v>2696</v>
      </c>
      <c r="H429" s="223">
        <v>724.0</v>
      </c>
      <c r="I429" s="51"/>
      <c r="J429" s="51"/>
      <c r="K429" s="226"/>
      <c r="L429" s="51"/>
      <c r="M429" s="51"/>
      <c r="N429" s="51"/>
      <c r="O429" s="51"/>
      <c r="P429" s="51"/>
      <c r="Q429" s="51"/>
      <c r="R429" s="51"/>
      <c r="S429" s="226"/>
      <c r="T429" s="51"/>
      <c r="U429" s="51"/>
      <c r="V429" s="51"/>
      <c r="W429" s="51"/>
      <c r="X429" s="51"/>
      <c r="Y429" s="51"/>
      <c r="Z429" s="51"/>
      <c r="AA429" s="51"/>
      <c r="AB429" s="51"/>
      <c r="AC429" s="51"/>
      <c r="AD429" s="51"/>
      <c r="AE429" s="51"/>
      <c r="AF429" s="51"/>
    </row>
    <row r="430">
      <c r="A430" s="222">
        <v>2.0</v>
      </c>
      <c r="B430" s="223" t="s">
        <v>2753</v>
      </c>
      <c r="C430" s="47">
        <v>428.0</v>
      </c>
      <c r="D430" s="223" t="s">
        <v>2715</v>
      </c>
      <c r="E430" s="233">
        <v>43811.0</v>
      </c>
      <c r="F430" s="234" t="str">
        <f>HYPERLINK("https://www.tribunnews.com/superskor/2019/12/12/jika-tak-ada-kelainan-serius-evan-dimas-diperkirakan-dapat-kembali-bermain-tiga-minggu-lagi","Sumber")</f>
        <v>Sumber</v>
      </c>
      <c r="G430" s="43" t="s">
        <v>2696</v>
      </c>
      <c r="H430" s="223">
        <v>205.0</v>
      </c>
      <c r="I430" s="51"/>
      <c r="J430" s="51"/>
      <c r="K430" s="226"/>
      <c r="L430" s="51"/>
      <c r="M430" s="51"/>
      <c r="N430" s="51"/>
      <c r="O430" s="51"/>
      <c r="P430" s="51"/>
      <c r="Q430" s="51"/>
      <c r="R430" s="51"/>
      <c r="S430" s="226"/>
      <c r="T430" s="51"/>
      <c r="U430" s="51"/>
      <c r="V430" s="51"/>
      <c r="W430" s="51"/>
      <c r="X430" s="51"/>
      <c r="Y430" s="51"/>
      <c r="Z430" s="51"/>
      <c r="AA430" s="51"/>
      <c r="AB430" s="51"/>
      <c r="AC430" s="51"/>
      <c r="AD430" s="51"/>
      <c r="AE430" s="51"/>
      <c r="AF430" s="51"/>
    </row>
    <row r="431">
      <c r="A431" s="222">
        <v>2.0</v>
      </c>
      <c r="B431" s="223" t="s">
        <v>2754</v>
      </c>
      <c r="C431" s="47">
        <v>429.0</v>
      </c>
      <c r="D431" s="223" t="s">
        <v>2695</v>
      </c>
      <c r="E431" s="233">
        <v>43814.0</v>
      </c>
      <c r="F431" s="234" t="str">
        <f>HYPERLINK("https://www.cnnindonesia.com/hiburan/20191213112405-227-456651/tumpah-ruah-guilty-pleasure-dalam-wadah-karaoke-massal","Sumber")</f>
        <v>Sumber</v>
      </c>
      <c r="G431" s="43" t="s">
        <v>2696</v>
      </c>
      <c r="H431" s="223">
        <v>834.0</v>
      </c>
      <c r="I431" s="51"/>
      <c r="J431" s="51"/>
      <c r="K431" s="226"/>
      <c r="L431" s="51"/>
      <c r="M431" s="51"/>
      <c r="N431" s="51"/>
      <c r="O431" s="51"/>
      <c r="P431" s="51"/>
      <c r="Q431" s="51"/>
      <c r="R431" s="51"/>
      <c r="S431" s="226"/>
      <c r="T431" s="51"/>
      <c r="U431" s="51"/>
      <c r="V431" s="51"/>
      <c r="W431" s="51"/>
      <c r="X431" s="51"/>
      <c r="Y431" s="51"/>
      <c r="Z431" s="51"/>
      <c r="AA431" s="51"/>
      <c r="AB431" s="51"/>
      <c r="AC431" s="51"/>
      <c r="AD431" s="51"/>
      <c r="AE431" s="51"/>
      <c r="AF431" s="51"/>
    </row>
    <row r="432">
      <c r="A432" s="222">
        <v>2.0</v>
      </c>
      <c r="B432" s="223" t="s">
        <v>2755</v>
      </c>
      <c r="C432" s="47">
        <v>430.0</v>
      </c>
      <c r="D432" s="223" t="s">
        <v>2698</v>
      </c>
      <c r="E432" s="233">
        <v>43814.0</v>
      </c>
      <c r="F432" s="234" t="str">
        <f>HYPERLINK("https://www.suara.com/entertainment/2019/12/15/192248/bawakan-lagu-cinta-gila-ungu-buka-konsert-hut-transmedia-hari-kedua","Sumber")</f>
        <v>Sumber</v>
      </c>
      <c r="G432" s="43" t="s">
        <v>2696</v>
      </c>
      <c r="H432" s="223">
        <v>175.0</v>
      </c>
      <c r="I432" s="51"/>
      <c r="J432" s="51"/>
      <c r="K432" s="226"/>
      <c r="L432" s="51"/>
      <c r="M432" s="51"/>
      <c r="N432" s="51"/>
      <c r="O432" s="51"/>
      <c r="P432" s="51"/>
      <c r="Q432" s="51"/>
      <c r="R432" s="51"/>
      <c r="S432" s="226"/>
      <c r="T432" s="51"/>
      <c r="U432" s="51"/>
      <c r="V432" s="51"/>
      <c r="W432" s="51"/>
      <c r="X432" s="51"/>
      <c r="Y432" s="51"/>
      <c r="Z432" s="51"/>
      <c r="AA432" s="51"/>
      <c r="AB432" s="51"/>
      <c r="AC432" s="51"/>
      <c r="AD432" s="51"/>
      <c r="AE432" s="51"/>
      <c r="AF432" s="51"/>
    </row>
    <row r="433">
      <c r="A433" s="222">
        <v>2.0</v>
      </c>
      <c r="B433" s="223" t="s">
        <v>2756</v>
      </c>
      <c r="C433" s="47">
        <v>431.0</v>
      </c>
      <c r="D433" s="223" t="s">
        <v>2704</v>
      </c>
      <c r="E433" s="233">
        <v>43815.0</v>
      </c>
      <c r="F433" s="234" t="str">
        <f>HYPERLINK("https://tirto.id/preview-drakor-black-dog-ep-1-di-tvn-motivasi-go-ha-neul-jadi-guru-envP","Sumber")</f>
        <v>Sumber</v>
      </c>
      <c r="G433" s="43" t="s">
        <v>2696</v>
      </c>
      <c r="H433" s="223">
        <v>480.0</v>
      </c>
      <c r="I433" s="51"/>
      <c r="J433" s="51"/>
      <c r="K433" s="226"/>
      <c r="L433" s="51"/>
      <c r="M433" s="51"/>
      <c r="N433" s="51"/>
      <c r="O433" s="51"/>
      <c r="P433" s="51"/>
      <c r="Q433" s="51"/>
      <c r="R433" s="51"/>
      <c r="S433" s="226"/>
      <c r="T433" s="51"/>
      <c r="U433" s="51"/>
      <c r="V433" s="51"/>
      <c r="W433" s="51"/>
      <c r="X433" s="51"/>
      <c r="Y433" s="51"/>
      <c r="Z433" s="51"/>
      <c r="AA433" s="51"/>
      <c r="AB433" s="51"/>
      <c r="AC433" s="51"/>
      <c r="AD433" s="51"/>
      <c r="AE433" s="51"/>
      <c r="AF433" s="51"/>
    </row>
    <row r="434">
      <c r="A434" s="189">
        <v>1.0</v>
      </c>
      <c r="B434" s="245" t="s">
        <v>2757</v>
      </c>
      <c r="C434" s="55">
        <v>432.0</v>
      </c>
      <c r="D434" s="246" t="s">
        <v>2702</v>
      </c>
      <c r="E434" s="247">
        <v>43817.0</v>
      </c>
      <c r="F434" s="248" t="str">
        <f>HYPERLINK("https://difabel.tempo.co/read/1284930/30-orang-menjadi-mata-bagi-sesama-di-sekolah-luar-biasa","Sumber")</f>
        <v>Sumber</v>
      </c>
      <c r="G434" s="249" t="str">
        <f>HYPERLINK("https://drive.google.com/open?id=1uSvgLAYHYMW0iqMDPZsuTuNzBdpzm_TE","Lokasi")</f>
        <v>Lokasi</v>
      </c>
      <c r="H434" s="246">
        <v>224.0</v>
      </c>
      <c r="I434" s="30">
        <v>5.0</v>
      </c>
      <c r="J434" s="30">
        <v>2.0</v>
      </c>
      <c r="K434" s="251" t="s">
        <v>2758</v>
      </c>
      <c r="L434" s="30">
        <v>0.0</v>
      </c>
      <c r="M434" s="30">
        <v>0.0</v>
      </c>
      <c r="N434" s="252">
        <v>0.0</v>
      </c>
      <c r="O434" s="30">
        <v>0.0</v>
      </c>
      <c r="P434" s="30">
        <v>0.0</v>
      </c>
      <c r="Q434" s="30">
        <v>0.0</v>
      </c>
      <c r="R434" s="30">
        <v>1.0</v>
      </c>
      <c r="S434" s="255"/>
      <c r="T434" s="30">
        <v>0.0</v>
      </c>
      <c r="U434" s="30">
        <v>0.0</v>
      </c>
      <c r="V434" s="30">
        <v>1.0</v>
      </c>
      <c r="W434" s="31"/>
      <c r="X434" s="31"/>
      <c r="Y434" s="31"/>
      <c r="Z434" s="31"/>
      <c r="AA434" s="31"/>
      <c r="AB434" s="31"/>
      <c r="AC434" s="31"/>
      <c r="AD434" s="31"/>
      <c r="AE434" s="31"/>
      <c r="AF434" s="31"/>
    </row>
    <row r="435">
      <c r="A435" s="257">
        <v>1.0</v>
      </c>
      <c r="B435" s="228" t="s">
        <v>2759</v>
      </c>
      <c r="C435" s="44">
        <v>433.0</v>
      </c>
      <c r="D435" s="228" t="s">
        <v>2707</v>
      </c>
      <c r="E435" s="242">
        <v>43819.0</v>
      </c>
      <c r="F435" s="253" t="str">
        <f>HYPERLINK("https://nasional.republika.co.id/berita/q2taox409/perusak-quran-jadi-tersangka-didiagnosis-idap-skizofrenia","Sumber")</f>
        <v>Sumber</v>
      </c>
      <c r="G435" s="229" t="str">
        <f>HYPERLINK("https://drive.google.com/open?id=1tojRBeiNprmXJHmuIwJFjFTB3hl1u73T","Lokasi")</f>
        <v>Lokasi</v>
      </c>
      <c r="H435" s="228">
        <v>9.0</v>
      </c>
      <c r="I435" s="52">
        <v>1.0</v>
      </c>
      <c r="J435" s="52">
        <v>2.0</v>
      </c>
      <c r="K435" s="244" t="s">
        <v>2760</v>
      </c>
      <c r="L435" s="52">
        <v>0.0</v>
      </c>
      <c r="M435" s="52">
        <v>-1.0</v>
      </c>
      <c r="N435" s="231">
        <v>0.0</v>
      </c>
      <c r="O435" s="52">
        <v>0.0</v>
      </c>
      <c r="P435" s="52">
        <v>0.0</v>
      </c>
      <c r="Q435" s="52" t="s">
        <v>202</v>
      </c>
      <c r="R435" s="52" t="s">
        <v>2761</v>
      </c>
      <c r="S435" s="232"/>
      <c r="T435" s="52">
        <v>0.0</v>
      </c>
      <c r="U435" s="52">
        <v>-1.0</v>
      </c>
      <c r="V435" s="52">
        <v>0.0</v>
      </c>
      <c r="W435" s="9"/>
      <c r="X435" s="9"/>
      <c r="Y435" s="9"/>
      <c r="Z435" s="9"/>
      <c r="AA435" s="9"/>
      <c r="AB435" s="9"/>
      <c r="AC435" s="9"/>
      <c r="AD435" s="9"/>
      <c r="AE435" s="9"/>
      <c r="AF435" s="9"/>
    </row>
    <row r="436">
      <c r="A436" s="227">
        <v>1.0</v>
      </c>
      <c r="B436" s="228" t="s">
        <v>1865</v>
      </c>
      <c r="C436" s="44">
        <v>434.0</v>
      </c>
      <c r="D436" s="228" t="s">
        <v>2715</v>
      </c>
      <c r="E436" s="242">
        <v>43819.0</v>
      </c>
      <c r="F436" s="253" t="str">
        <f>HYPERLINK("https://www.tribunnews.com/kesehatan/2019/12/20/katarak-dapat-menurunkan-produktivitas-penderita-mau-bikin-ini-itu-susah","Sumber")</f>
        <v>Sumber</v>
      </c>
      <c r="G436" s="229" t="str">
        <f>HYPERLINK("https://drive.google.com/open?id=1W8Y1WtFq9tpizMwZT81OuOrbA49KZ8Y2","Lokasi")</f>
        <v>Lokasi</v>
      </c>
      <c r="H436" s="228">
        <v>689.0</v>
      </c>
      <c r="I436" s="52">
        <v>5.0</v>
      </c>
      <c r="J436" s="52">
        <v>2.0</v>
      </c>
      <c r="K436" s="244" t="s">
        <v>2762</v>
      </c>
      <c r="L436" s="52">
        <v>0.0</v>
      </c>
      <c r="M436" s="52">
        <v>0.0</v>
      </c>
      <c r="N436" s="231">
        <v>0.0</v>
      </c>
      <c r="O436" s="52">
        <v>0.0</v>
      </c>
      <c r="P436" s="52">
        <v>0.0</v>
      </c>
      <c r="Q436" s="52" t="s">
        <v>277</v>
      </c>
      <c r="R436" s="52" t="s">
        <v>89</v>
      </c>
      <c r="S436" s="232"/>
      <c r="T436" s="52">
        <v>0.0</v>
      </c>
      <c r="U436" s="52">
        <v>0.0</v>
      </c>
      <c r="V436" s="52">
        <v>1.0</v>
      </c>
      <c r="W436" s="9"/>
      <c r="X436" s="9"/>
      <c r="Y436" s="9"/>
      <c r="Z436" s="9"/>
      <c r="AA436" s="9"/>
      <c r="AB436" s="9"/>
      <c r="AC436" s="9"/>
      <c r="AD436" s="9"/>
      <c r="AE436" s="9"/>
      <c r="AF436" s="9"/>
    </row>
    <row r="437">
      <c r="A437" s="222">
        <v>2.0</v>
      </c>
      <c r="B437" s="223" t="s">
        <v>2763</v>
      </c>
      <c r="C437" s="47">
        <v>435.0</v>
      </c>
      <c r="D437" s="223" t="s">
        <v>2698</v>
      </c>
      <c r="E437" s="233">
        <v>43820.0</v>
      </c>
      <c r="F437" s="234" t="str">
        <f>HYPERLINK("https://www.suara.com/news/2019/12/21/105705/cowok-tusuk-cowok-karena-lirik-lirikan-di-warkop-jatinegara","Sumber")</f>
        <v>Sumber</v>
      </c>
      <c r="G437" s="43" t="s">
        <v>2696</v>
      </c>
      <c r="H437" s="223">
        <v>256.0</v>
      </c>
      <c r="I437" s="51"/>
      <c r="J437" s="51"/>
      <c r="K437" s="226"/>
      <c r="L437" s="51"/>
      <c r="M437" s="51"/>
      <c r="N437" s="51"/>
      <c r="O437" s="51"/>
      <c r="P437" s="51"/>
      <c r="Q437" s="51"/>
      <c r="R437" s="51"/>
      <c r="S437" s="226"/>
      <c r="T437" s="51"/>
      <c r="U437" s="51"/>
      <c r="V437" s="51"/>
      <c r="W437" s="51"/>
      <c r="X437" s="51"/>
      <c r="Y437" s="51"/>
      <c r="Z437" s="51"/>
      <c r="AA437" s="51"/>
      <c r="AB437" s="51"/>
      <c r="AC437" s="51"/>
      <c r="AD437" s="51"/>
      <c r="AE437" s="51"/>
      <c r="AF437" s="51"/>
    </row>
    <row r="438">
      <c r="A438" s="222">
        <v>2.0</v>
      </c>
      <c r="B438" s="223" t="s">
        <v>2764</v>
      </c>
      <c r="C438" s="47">
        <v>436.0</v>
      </c>
      <c r="D438" s="223" t="s">
        <v>2695</v>
      </c>
      <c r="E438" s="233">
        <v>43824.0</v>
      </c>
      <c r="F438" s="234" t="str">
        <f>HYPERLINK("https://www.cnnindonesia.com/olahraga/20191224193637-142-459719/mbappe-tersanjung-diperhatikan-messi","Sumber")</f>
        <v>Sumber</v>
      </c>
      <c r="G438" s="43" t="s">
        <v>2696</v>
      </c>
      <c r="H438" s="223">
        <v>230.0</v>
      </c>
      <c r="I438" s="51"/>
      <c r="J438" s="51"/>
      <c r="K438" s="226"/>
      <c r="L438" s="51"/>
      <c r="M438" s="51"/>
      <c r="N438" s="51"/>
      <c r="O438" s="51"/>
      <c r="P438" s="51"/>
      <c r="Q438" s="51"/>
      <c r="R438" s="51"/>
      <c r="S438" s="226"/>
      <c r="T438" s="51"/>
      <c r="U438" s="51"/>
      <c r="V438" s="51"/>
      <c r="W438" s="51"/>
      <c r="X438" s="51"/>
      <c r="Y438" s="51"/>
      <c r="Z438" s="51"/>
      <c r="AA438" s="51"/>
      <c r="AB438" s="51"/>
      <c r="AC438" s="51"/>
      <c r="AD438" s="51"/>
      <c r="AE438" s="51"/>
      <c r="AF438" s="51"/>
    </row>
    <row r="439">
      <c r="A439" s="176">
        <v>1.0</v>
      </c>
      <c r="B439" s="237" t="s">
        <v>2765</v>
      </c>
      <c r="C439" s="178">
        <v>437.0</v>
      </c>
      <c r="D439" s="216" t="s">
        <v>2702</v>
      </c>
      <c r="E439" s="238">
        <v>43825.0</v>
      </c>
      <c r="F439" s="239" t="str">
        <f>HYPERLINK("https://metro.tempo.co/read/1285331/polisi-suami-korban-kdrt-jalani-rawat-jalan","Sumber")</f>
        <v>Sumber</v>
      </c>
      <c r="G439" s="218" t="str">
        <f>HYPERLINK("https://drive.google.com/open?id=15OXokyEDA-_M_1rHyayA1a6HTQDQngo8","Lokasi")</f>
        <v>Lokasi</v>
      </c>
      <c r="H439" s="240">
        <v>266.0</v>
      </c>
      <c r="I439" s="185">
        <v>1.0</v>
      </c>
      <c r="J439" s="185">
        <v>2.0</v>
      </c>
      <c r="K439" s="219" t="s">
        <v>2766</v>
      </c>
      <c r="L439" s="185">
        <v>0.0</v>
      </c>
      <c r="M439" s="185">
        <v>-1.0</v>
      </c>
      <c r="N439" s="185">
        <v>0.0</v>
      </c>
      <c r="O439" s="185">
        <v>0.0</v>
      </c>
      <c r="P439" s="185">
        <v>0.0</v>
      </c>
      <c r="Q439" s="185">
        <v>0.0</v>
      </c>
      <c r="R439" s="185">
        <v>-1.0</v>
      </c>
      <c r="S439" s="219" t="s">
        <v>2767</v>
      </c>
      <c r="T439" s="185">
        <v>2.0</v>
      </c>
      <c r="U439" s="185">
        <v>0.0</v>
      </c>
      <c r="V439" s="185">
        <v>0.0</v>
      </c>
      <c r="W439" s="186"/>
      <c r="X439" s="186"/>
      <c r="Y439" s="186"/>
      <c r="Z439" s="186"/>
      <c r="AA439" s="186"/>
      <c r="AB439" s="186"/>
      <c r="AC439" s="186"/>
      <c r="AD439" s="186"/>
      <c r="AE439" s="186"/>
      <c r="AF439" s="186"/>
    </row>
    <row r="440">
      <c r="A440" s="222">
        <v>2.0</v>
      </c>
      <c r="B440" s="223" t="s">
        <v>2768</v>
      </c>
      <c r="C440" s="47">
        <v>438.0</v>
      </c>
      <c r="D440" s="223" t="s">
        <v>2704</v>
      </c>
      <c r="E440" s="233">
        <v>43825.0</v>
      </c>
      <c r="F440" s="234" t="str">
        <f>HYPERLINK("https://tirto.id/mahfud-md-klaim-akan-serius-selesaikan-kasus-ham-berat-masa-lalu-eo6h","Sumber")</f>
        <v>Sumber</v>
      </c>
      <c r="G440" s="43" t="s">
        <v>2696</v>
      </c>
      <c r="H440" s="223">
        <v>414.0</v>
      </c>
      <c r="I440" s="51"/>
      <c r="J440" s="51"/>
      <c r="K440" s="226"/>
      <c r="L440" s="51"/>
      <c r="M440" s="51"/>
      <c r="N440" s="51"/>
      <c r="O440" s="51"/>
      <c r="P440" s="51"/>
      <c r="Q440" s="51"/>
      <c r="R440" s="51"/>
      <c r="S440" s="226"/>
      <c r="T440" s="51"/>
      <c r="U440" s="51"/>
      <c r="V440" s="51"/>
      <c r="W440" s="51"/>
      <c r="X440" s="51"/>
      <c r="Y440" s="51"/>
      <c r="Z440" s="51"/>
      <c r="AA440" s="51"/>
      <c r="AB440" s="51"/>
      <c r="AC440" s="51"/>
      <c r="AD440" s="51"/>
      <c r="AE440" s="51"/>
      <c r="AF440" s="51"/>
    </row>
    <row r="441">
      <c r="A441" s="227">
        <v>1.0</v>
      </c>
      <c r="B441" s="228" t="s">
        <v>2769</v>
      </c>
      <c r="C441" s="44">
        <v>439.0</v>
      </c>
      <c r="D441" s="228" t="s">
        <v>2709</v>
      </c>
      <c r="E441" s="242">
        <v>43829.0</v>
      </c>
      <c r="F441" s="253" t="str">
        <f>HYPERLINK("https://news.okezone.com/read/2019/12/30/512/2147443/pembunuh-ibu-kandung-di-banjarnegara-punya-riwayat-sakit-jiwa","Sumber")</f>
        <v>Sumber</v>
      </c>
      <c r="G441" s="229" t="str">
        <f>HYPERLINK("https://drive.google.com/open?id=1-IPK1eGdb9vpForhhJovgc_1fyOQLkus","Lokasi")</f>
        <v>Lokasi</v>
      </c>
      <c r="H441" s="228">
        <v>193.0</v>
      </c>
      <c r="I441" s="52">
        <v>1.0</v>
      </c>
      <c r="J441" s="52">
        <v>2.0</v>
      </c>
      <c r="K441" s="244" t="s">
        <v>2770</v>
      </c>
      <c r="L441" s="52">
        <v>0.0</v>
      </c>
      <c r="M441" s="52">
        <v>-1.0</v>
      </c>
      <c r="N441" s="52">
        <v>-1.0</v>
      </c>
      <c r="O441" s="52">
        <v>0.0</v>
      </c>
      <c r="P441" s="52">
        <v>0.0</v>
      </c>
      <c r="Q441" s="52">
        <v>0.0</v>
      </c>
      <c r="R441" s="52">
        <v>-1.0</v>
      </c>
      <c r="S441" s="232"/>
      <c r="T441" s="52">
        <v>0.0</v>
      </c>
      <c r="U441" s="52">
        <v>-1.0</v>
      </c>
      <c r="V441" s="52">
        <v>0.0</v>
      </c>
      <c r="W441" s="9"/>
      <c r="X441" s="9"/>
      <c r="Y441" s="9"/>
      <c r="Z441" s="9"/>
      <c r="AA441" s="9"/>
      <c r="AB441" s="9"/>
      <c r="AC441" s="9"/>
      <c r="AD441" s="9"/>
      <c r="AE441" s="9"/>
      <c r="AF441" s="9"/>
    </row>
    <row r="442">
      <c r="A442" s="222">
        <v>2.0</v>
      </c>
      <c r="B442" s="223" t="s">
        <v>2771</v>
      </c>
      <c r="C442" s="47">
        <v>440.0</v>
      </c>
      <c r="D442" s="223" t="s">
        <v>2692</v>
      </c>
      <c r="E442" s="233">
        <v>43830.0</v>
      </c>
      <c r="F442" s="234" t="str">
        <f>HYPERLINK("https://www.liputan6.com/news/read/4145094/malam-tahun-baru-di-ancol-ini-skema-sentral-parkir-yang-akan-diberlakukan","Sumber")</f>
        <v>Sumber</v>
      </c>
      <c r="G442" s="43" t="s">
        <v>2696</v>
      </c>
      <c r="H442" s="223">
        <v>341.0</v>
      </c>
      <c r="I442" s="51"/>
      <c r="J442" s="51"/>
      <c r="K442" s="226"/>
      <c r="L442" s="51"/>
      <c r="M442" s="51"/>
      <c r="N442" s="51"/>
      <c r="O442" s="51"/>
      <c r="P442" s="51"/>
      <c r="Q442" s="51"/>
      <c r="R442" s="51"/>
      <c r="S442" s="226"/>
      <c r="T442" s="51"/>
      <c r="U442" s="51"/>
      <c r="V442" s="51"/>
      <c r="W442" s="51"/>
      <c r="X442" s="51"/>
      <c r="Y442" s="51"/>
      <c r="Z442" s="51"/>
      <c r="AA442" s="51"/>
      <c r="AB442" s="51"/>
      <c r="AC442" s="51"/>
      <c r="AD442" s="51"/>
      <c r="AE442" s="51"/>
      <c r="AF442" s="51"/>
    </row>
    <row r="443">
      <c r="A443" s="222">
        <v>2.0</v>
      </c>
      <c r="B443" s="223" t="s">
        <v>2772</v>
      </c>
      <c r="C443" s="47">
        <v>441.0</v>
      </c>
      <c r="D443" s="223" t="s">
        <v>2709</v>
      </c>
      <c r="E443" s="233">
        <v>43830.0</v>
      </c>
      <c r="F443" s="234" t="str">
        <f>HYPERLINK("https://megapolitan.okezone.com/read/2019/12/31/338/2147911/jari-palsu-wartawan-putus-saat-liput-ahmad-dhani-bebas","Sumber")</f>
        <v>Sumber</v>
      </c>
      <c r="G443" s="43" t="s">
        <v>2696</v>
      </c>
      <c r="H443" s="223">
        <v>389.0</v>
      </c>
      <c r="I443" s="51"/>
      <c r="J443" s="51"/>
      <c r="K443" s="226"/>
      <c r="L443" s="51"/>
      <c r="M443" s="51"/>
      <c r="N443" s="51"/>
      <c r="O443" s="51"/>
      <c r="P443" s="51"/>
      <c r="Q443" s="51"/>
      <c r="R443" s="51"/>
      <c r="S443" s="226"/>
      <c r="T443" s="51"/>
      <c r="U443" s="51"/>
      <c r="V443" s="51"/>
      <c r="W443" s="51"/>
      <c r="X443" s="51"/>
      <c r="Y443" s="51"/>
      <c r="Z443" s="51"/>
      <c r="AA443" s="51"/>
      <c r="AB443" s="51"/>
      <c r="AC443" s="51"/>
      <c r="AD443" s="51"/>
      <c r="AE443" s="51"/>
      <c r="AF443" s="51"/>
    </row>
    <row r="444">
      <c r="A444" s="189">
        <v>1.0</v>
      </c>
      <c r="B444" s="245" t="s">
        <v>2773</v>
      </c>
      <c r="C444" s="55">
        <v>442.0</v>
      </c>
      <c r="D444" s="246" t="s">
        <v>2695</v>
      </c>
      <c r="E444" s="247">
        <v>43741.0</v>
      </c>
      <c r="F444" s="248" t="str">
        <f>HYPERLINK("https://www.cnnindonesia.com/nasional/20191121071618-20-450177/diskriminasi-di-cpns-wanita-hamil-dan-lgbt-tak-bisa-daftar","Sumber")</f>
        <v>Sumber</v>
      </c>
      <c r="G444" s="249" t="str">
        <f>HYPERLINK("https://drive.google.com/open?id=1aqfXhkES98mF1kAtQj8pLLXKQB0BHUiC","Lokasi")</f>
        <v>Lokasi</v>
      </c>
      <c r="H444" s="250">
        <v>514.0</v>
      </c>
      <c r="I444" s="30">
        <v>4.0</v>
      </c>
      <c r="J444" s="30">
        <v>3.0</v>
      </c>
      <c r="K444" s="251" t="s">
        <v>2774</v>
      </c>
      <c r="L444" s="30">
        <v>0.0</v>
      </c>
      <c r="M444" s="30">
        <v>0.0</v>
      </c>
      <c r="N444" s="252">
        <v>0.0</v>
      </c>
      <c r="O444" s="30">
        <v>0.0</v>
      </c>
      <c r="P444" s="30">
        <v>0.0</v>
      </c>
      <c r="Q444" s="30">
        <v>0.0</v>
      </c>
      <c r="R444" s="30">
        <v>1.0</v>
      </c>
      <c r="S444" s="255"/>
      <c r="T444" s="30">
        <v>0.0</v>
      </c>
      <c r="U444" s="30">
        <v>0.0</v>
      </c>
      <c r="V444" s="30">
        <v>1.0</v>
      </c>
      <c r="W444" s="31"/>
      <c r="X444" s="31"/>
      <c r="Y444" s="31"/>
      <c r="Z444" s="31"/>
      <c r="AA444" s="31"/>
      <c r="AB444" s="31"/>
      <c r="AC444" s="31"/>
      <c r="AD444" s="31"/>
      <c r="AE444" s="31"/>
      <c r="AF444" s="31"/>
    </row>
    <row r="445">
      <c r="A445" s="176">
        <v>1.0</v>
      </c>
      <c r="B445" s="237" t="s">
        <v>1887</v>
      </c>
      <c r="C445" s="178">
        <v>443.0</v>
      </c>
      <c r="D445" s="216" t="s">
        <v>2715</v>
      </c>
      <c r="E445" s="238">
        <v>43741.0</v>
      </c>
      <c r="F445" s="239" t="str">
        <f>HYPERLINK("https://www.tribunnews.com/regional/2019/10/03/7-fakta-kasus-bocah-tewas-disiksa-pelaku-lgbt-kecurigaan-kronologi-ancaman-pelaku-hingga-bukti","Sumber")</f>
        <v>Sumber</v>
      </c>
      <c r="G445" s="218" t="str">
        <f>HYPERLINK("https://drive.google.com/open?id=1pTVT2Faep4rNxatvmtj8YGh4x4ihuojL","Lokasi")</f>
        <v>Lokasi</v>
      </c>
      <c r="H445" s="240">
        <v>170.0</v>
      </c>
      <c r="I445" s="185">
        <v>1.0</v>
      </c>
      <c r="J445" s="185">
        <v>3.0</v>
      </c>
      <c r="K445" s="219" t="s">
        <v>2775</v>
      </c>
      <c r="L445" s="185">
        <v>0.0</v>
      </c>
      <c r="M445" s="185">
        <v>-1.0</v>
      </c>
      <c r="N445" s="220">
        <v>0.0</v>
      </c>
      <c r="O445" s="185">
        <v>0.0</v>
      </c>
      <c r="P445" s="185">
        <v>0.0</v>
      </c>
      <c r="Q445" s="185" t="s">
        <v>119</v>
      </c>
      <c r="R445" s="185" t="s">
        <v>61</v>
      </c>
      <c r="S445" s="219" t="s">
        <v>763</v>
      </c>
      <c r="T445" s="185">
        <v>1.0</v>
      </c>
      <c r="U445" s="185">
        <v>-1.0</v>
      </c>
      <c r="V445" s="185">
        <v>0.0</v>
      </c>
      <c r="W445" s="186"/>
      <c r="X445" s="186"/>
      <c r="Y445" s="186"/>
      <c r="Z445" s="186"/>
      <c r="AA445" s="186"/>
      <c r="AB445" s="186"/>
      <c r="AC445" s="186"/>
      <c r="AD445" s="186"/>
      <c r="AE445" s="186"/>
      <c r="AF445" s="186"/>
    </row>
    <row r="446">
      <c r="A446" s="222">
        <v>2.0</v>
      </c>
      <c r="B446" s="223" t="s">
        <v>2776</v>
      </c>
      <c r="C446" s="47">
        <v>444.0</v>
      </c>
      <c r="D446" s="223" t="s">
        <v>2695</v>
      </c>
      <c r="E446" s="233">
        <v>43744.0</v>
      </c>
      <c r="F446" s="234" t="str">
        <f>HYPERLINK("https://www.cnnindonesia.com/internasional/20191005223740-134-437107/pemuda-di-new-york-mengamuk-dan-bunuh-4-gelandangan","Sumber")</f>
        <v>Sumber</v>
      </c>
      <c r="G446" s="43" t="s">
        <v>2696</v>
      </c>
      <c r="H446" s="223">
        <v>288.0</v>
      </c>
      <c r="I446" s="51"/>
      <c r="J446" s="51"/>
      <c r="K446" s="226"/>
      <c r="L446" s="51"/>
      <c r="M446" s="51"/>
      <c r="N446" s="51"/>
      <c r="O446" s="51"/>
      <c r="P446" s="51"/>
      <c r="Q446" s="51"/>
      <c r="R446" s="51"/>
      <c r="S446" s="226"/>
      <c r="T446" s="51"/>
      <c r="U446" s="51"/>
      <c r="V446" s="51"/>
      <c r="W446" s="51"/>
      <c r="X446" s="51"/>
      <c r="Y446" s="51"/>
      <c r="Z446" s="51"/>
      <c r="AA446" s="51"/>
      <c r="AB446" s="51"/>
      <c r="AC446" s="51"/>
      <c r="AD446" s="51"/>
      <c r="AE446" s="51"/>
      <c r="AF446" s="51"/>
    </row>
    <row r="447">
      <c r="A447" s="222">
        <v>2.0</v>
      </c>
      <c r="B447" s="223" t="s">
        <v>2777</v>
      </c>
      <c r="C447" s="47">
        <v>445.0</v>
      </c>
      <c r="D447" s="223" t="s">
        <v>2698</v>
      </c>
      <c r="E447" s="233">
        <v>43745.0</v>
      </c>
      <c r="F447" s="234" t="str">
        <f>HYPERLINK("https://www.suara.com/news/2019/10/07/155450/tidak-percaya-aksi-demo-pelajar-denny-siregar-apa-urgensinya","Sumber")</f>
        <v>Sumber</v>
      </c>
      <c r="G447" s="43" t="s">
        <v>2696</v>
      </c>
      <c r="H447" s="223">
        <v>279.0</v>
      </c>
      <c r="I447" s="51"/>
      <c r="J447" s="51"/>
      <c r="K447" s="226"/>
      <c r="L447" s="51"/>
      <c r="M447" s="51"/>
      <c r="N447" s="51"/>
      <c r="O447" s="51"/>
      <c r="P447" s="51"/>
      <c r="Q447" s="51"/>
      <c r="R447" s="51"/>
      <c r="S447" s="226"/>
      <c r="T447" s="51"/>
      <c r="U447" s="51"/>
      <c r="V447" s="51"/>
      <c r="W447" s="51"/>
      <c r="X447" s="51"/>
      <c r="Y447" s="51"/>
      <c r="Z447" s="51"/>
      <c r="AA447" s="51"/>
      <c r="AB447" s="51"/>
      <c r="AC447" s="51"/>
      <c r="AD447" s="51"/>
      <c r="AE447" s="51"/>
      <c r="AF447" s="51"/>
    </row>
    <row r="448">
      <c r="A448" s="222">
        <v>2.0</v>
      </c>
      <c r="B448" s="223" t="s">
        <v>2778</v>
      </c>
      <c r="C448" s="47">
        <v>446.0</v>
      </c>
      <c r="D448" s="223" t="s">
        <v>2692</v>
      </c>
      <c r="E448" s="233">
        <v>43747.0</v>
      </c>
      <c r="F448" s="234" t="str">
        <f>HYPERLINK("https://www.liputan6.com/global/read/4082346/5-mitos-perang-dunia-ii-yang-masih-dipercaya-hingga-hari-ini","Sumber")</f>
        <v>Sumber</v>
      </c>
      <c r="G448" s="43" t="s">
        <v>2696</v>
      </c>
      <c r="H448" s="223">
        <v>923.0</v>
      </c>
      <c r="I448" s="51"/>
      <c r="J448" s="51"/>
      <c r="K448" s="226"/>
      <c r="L448" s="51"/>
      <c r="M448" s="51"/>
      <c r="N448" s="51"/>
      <c r="O448" s="51"/>
      <c r="P448" s="51"/>
      <c r="Q448" s="51"/>
      <c r="R448" s="51"/>
      <c r="S448" s="226"/>
      <c r="T448" s="51"/>
      <c r="U448" s="51"/>
      <c r="V448" s="51"/>
      <c r="W448" s="51"/>
      <c r="X448" s="51"/>
      <c r="Y448" s="51"/>
      <c r="Z448" s="51"/>
      <c r="AA448" s="51"/>
      <c r="AB448" s="51"/>
      <c r="AC448" s="51"/>
      <c r="AD448" s="51"/>
      <c r="AE448" s="51"/>
      <c r="AF448" s="51"/>
    </row>
    <row r="449">
      <c r="A449" s="189">
        <v>1.0</v>
      </c>
      <c r="B449" s="245" t="s">
        <v>2779</v>
      </c>
      <c r="C449" s="55">
        <v>447.0</v>
      </c>
      <c r="D449" s="246" t="s">
        <v>2724</v>
      </c>
      <c r="E449" s="247">
        <v>43788.0</v>
      </c>
      <c r="F449" s="248" t="str">
        <f>HYPERLINK("https://internasional.kompas.com/read/2019/11/19/07021421/kaitkan-kebakaran-hutan-dengan-legalisasi-pernikahan-sesama-jenis","Sumber")</f>
        <v>Sumber</v>
      </c>
      <c r="G449" s="249" t="str">
        <f>HYPERLINK("https://drive.google.com/open?id=1ROA7UbzHmyCVI2GYa_uSJ0bvuKfdeI52","Lokasi")</f>
        <v>Lokasi</v>
      </c>
      <c r="H449" s="250">
        <v>240.0</v>
      </c>
      <c r="I449" s="30">
        <v>5.0</v>
      </c>
      <c r="J449" s="30">
        <v>3.0</v>
      </c>
      <c r="K449" s="251" t="s">
        <v>2780</v>
      </c>
      <c r="L449" s="30">
        <v>0.0</v>
      </c>
      <c r="M449" s="30">
        <v>0.0</v>
      </c>
      <c r="N449" s="252">
        <v>0.0</v>
      </c>
      <c r="O449" s="30">
        <v>0.0</v>
      </c>
      <c r="P449" s="30">
        <v>0.0</v>
      </c>
      <c r="Q449" s="30" t="s">
        <v>61</v>
      </c>
      <c r="R449" s="30" t="s">
        <v>62</v>
      </c>
      <c r="S449" s="255"/>
      <c r="T449" s="30">
        <v>0.0</v>
      </c>
      <c r="U449" s="30">
        <v>0.0</v>
      </c>
      <c r="V449" s="30">
        <v>0.0</v>
      </c>
      <c r="W449" s="31"/>
      <c r="X449" s="31"/>
      <c r="Y449" s="31"/>
      <c r="Z449" s="31"/>
      <c r="AA449" s="31"/>
      <c r="AB449" s="31"/>
      <c r="AC449" s="31"/>
      <c r="AD449" s="31"/>
      <c r="AE449" s="31"/>
      <c r="AF449" s="31"/>
    </row>
    <row r="450">
      <c r="A450" s="222">
        <v>2.0</v>
      </c>
      <c r="B450" s="223" t="s">
        <v>2781</v>
      </c>
      <c r="C450" s="47">
        <v>448.0</v>
      </c>
      <c r="D450" s="223" t="s">
        <v>2695</v>
      </c>
      <c r="E450" s="233">
        <v>43789.0</v>
      </c>
      <c r="F450" s="234" t="str">
        <f>HYPERLINK("https://www.cnnindonesia.com/teknologi/20191119202647-199-449806/garis-wallacea-leluhur-manusia-modern-di-tanah-sunda","Sumber")</f>
        <v>Sumber</v>
      </c>
      <c r="G450" s="43" t="s">
        <v>2696</v>
      </c>
      <c r="H450" s="223">
        <v>428.0</v>
      </c>
      <c r="I450" s="51"/>
      <c r="J450" s="51"/>
      <c r="K450" s="226"/>
      <c r="L450" s="51"/>
      <c r="M450" s="51"/>
      <c r="N450" s="51"/>
      <c r="O450" s="51"/>
      <c r="P450" s="51"/>
      <c r="Q450" s="51"/>
      <c r="R450" s="51"/>
      <c r="S450" s="226"/>
      <c r="T450" s="51"/>
      <c r="U450" s="51"/>
      <c r="V450" s="51"/>
      <c r="W450" s="51"/>
      <c r="X450" s="51"/>
      <c r="Y450" s="51"/>
      <c r="Z450" s="51"/>
      <c r="AA450" s="51"/>
      <c r="AB450" s="51"/>
      <c r="AC450" s="51"/>
      <c r="AD450" s="51"/>
      <c r="AE450" s="51"/>
      <c r="AF450" s="51"/>
    </row>
    <row r="451">
      <c r="A451" s="227">
        <v>1.0</v>
      </c>
      <c r="B451" s="228" t="s">
        <v>2782</v>
      </c>
      <c r="C451" s="44">
        <v>449.0</v>
      </c>
      <c r="D451" s="228" t="s">
        <v>2704</v>
      </c>
      <c r="E451" s="242">
        <v>43790.0</v>
      </c>
      <c r="F451" s="253" t="str">
        <f>HYPERLINK("https://tirto.id/syarat-cpns-diskriminatif-kejaksaan-ingin-pelamar-yang-normal-el5A","Sumber")</f>
        <v>Sumber</v>
      </c>
      <c r="G451" s="229" t="str">
        <f t="shared" ref="G451:G452" si="3">HYPERLINK("https://drive.google.com/open?id=11i05Qlv7F61YSBt50oBVTDRPSkFZ39ea","Lokasi")</f>
        <v>Lokasi</v>
      </c>
      <c r="H451" s="228">
        <v>541.0</v>
      </c>
      <c r="I451" s="52">
        <v>4.0</v>
      </c>
      <c r="J451" s="52">
        <v>3.0</v>
      </c>
      <c r="K451" s="244" t="s">
        <v>2783</v>
      </c>
      <c r="L451" s="52">
        <v>0.0</v>
      </c>
      <c r="M451" s="52">
        <v>0.0</v>
      </c>
      <c r="N451" s="231">
        <v>0.0</v>
      </c>
      <c r="O451" s="52">
        <v>0.0</v>
      </c>
      <c r="P451" s="52">
        <v>0.0</v>
      </c>
      <c r="Q451" s="52" t="s">
        <v>138</v>
      </c>
      <c r="R451" s="52" t="s">
        <v>771</v>
      </c>
      <c r="S451" s="232"/>
      <c r="T451" s="52">
        <v>0.0</v>
      </c>
      <c r="U451" s="52">
        <v>0.0</v>
      </c>
      <c r="V451" s="52">
        <v>1.0</v>
      </c>
      <c r="W451" s="9"/>
      <c r="X451" s="9"/>
      <c r="Y451" s="9"/>
      <c r="Z451" s="9"/>
      <c r="AA451" s="9"/>
      <c r="AB451" s="9"/>
      <c r="AC451" s="9"/>
      <c r="AD451" s="9"/>
      <c r="AE451" s="9"/>
      <c r="AF451" s="9"/>
    </row>
    <row r="452">
      <c r="A452" s="189">
        <v>1.0</v>
      </c>
      <c r="B452" s="245" t="s">
        <v>2784</v>
      </c>
      <c r="C452" s="55">
        <v>450.0</v>
      </c>
      <c r="D452" s="246" t="s">
        <v>2715</v>
      </c>
      <c r="E452" s="247">
        <v>43790.0</v>
      </c>
      <c r="F452" s="248" t="str">
        <f>HYPERLINK("https://www.tribunnews.com/nasional/2019/11/21/tjahjo-sebut-penyandang-disabilitas-hingga-lgbt-boleh-daftar-cpns","Sumber")</f>
        <v>Sumber</v>
      </c>
      <c r="G452" s="249" t="str">
        <f t="shared" si="3"/>
        <v>Lokasi</v>
      </c>
      <c r="H452" s="250">
        <v>324.0</v>
      </c>
      <c r="I452" s="30">
        <v>4.0</v>
      </c>
      <c r="J452" s="30">
        <v>3.0</v>
      </c>
      <c r="K452" s="251" t="s">
        <v>2785</v>
      </c>
      <c r="L452" s="30">
        <v>0.0</v>
      </c>
      <c r="M452" s="30">
        <v>0.0</v>
      </c>
      <c r="N452" s="252">
        <v>0.0</v>
      </c>
      <c r="O452" s="30">
        <v>0.0</v>
      </c>
      <c r="P452" s="30">
        <v>0.0</v>
      </c>
      <c r="Q452" s="30" t="s">
        <v>61</v>
      </c>
      <c r="R452" s="30" t="s">
        <v>780</v>
      </c>
      <c r="S452" s="255"/>
      <c r="T452" s="30">
        <v>0.0</v>
      </c>
      <c r="U452" s="30">
        <v>0.0</v>
      </c>
      <c r="V452" s="30">
        <v>1.0</v>
      </c>
      <c r="W452" s="31"/>
      <c r="X452" s="31"/>
      <c r="Y452" s="31"/>
      <c r="Z452" s="31"/>
      <c r="AA452" s="31"/>
      <c r="AB452" s="31"/>
      <c r="AC452" s="31"/>
      <c r="AD452" s="31"/>
      <c r="AE452" s="31"/>
      <c r="AF452" s="31"/>
    </row>
    <row r="453">
      <c r="A453" s="227">
        <v>1.0</v>
      </c>
      <c r="B453" s="228" t="s">
        <v>2786</v>
      </c>
      <c r="C453" s="44">
        <v>451.0</v>
      </c>
      <c r="D453" s="228" t="s">
        <v>2724</v>
      </c>
      <c r="E453" s="242">
        <v>43791.0</v>
      </c>
      <c r="F453" s="253" t="str">
        <f>HYPERLINK("https://nasional.kompas.com/read/2019/11/22/09453621/lgbt-dilarang-daftar-cpns-kejagung-ini-alasannya","Sumber")</f>
        <v>Sumber</v>
      </c>
      <c r="G453" s="229" t="str">
        <f>HYPERLINK("https://drive.google.com/open?id=1U2dhmKWyv9hru5jOHM_6d25jk0FsCVwz","Lokasi")</f>
        <v>Lokasi</v>
      </c>
      <c r="H453" s="228">
        <v>197.0</v>
      </c>
      <c r="I453" s="52">
        <v>4.0</v>
      </c>
      <c r="J453" s="52">
        <v>3.0</v>
      </c>
      <c r="K453" s="244" t="s">
        <v>2787</v>
      </c>
      <c r="L453" s="52">
        <v>0.0</v>
      </c>
      <c r="M453" s="52">
        <v>0.0</v>
      </c>
      <c r="N453" s="231">
        <v>0.0</v>
      </c>
      <c r="O453" s="52">
        <v>0.0</v>
      </c>
      <c r="P453" s="52">
        <v>0.0</v>
      </c>
      <c r="Q453" s="52" t="s">
        <v>61</v>
      </c>
      <c r="R453" s="52" t="s">
        <v>62</v>
      </c>
      <c r="S453" s="232"/>
      <c r="T453" s="52">
        <v>0.0</v>
      </c>
      <c r="U453" s="52">
        <v>0.0</v>
      </c>
      <c r="V453" s="52">
        <v>1.0</v>
      </c>
      <c r="W453" s="9"/>
      <c r="X453" s="9"/>
      <c r="Y453" s="9"/>
      <c r="Z453" s="9"/>
      <c r="AA453" s="9"/>
      <c r="AB453" s="9"/>
      <c r="AC453" s="9"/>
      <c r="AD453" s="9"/>
      <c r="AE453" s="9"/>
      <c r="AF453" s="9"/>
    </row>
    <row r="454">
      <c r="A454" s="227">
        <v>1.0</v>
      </c>
      <c r="B454" s="228" t="s">
        <v>2788</v>
      </c>
      <c r="C454" s="44">
        <v>452.0</v>
      </c>
      <c r="D454" s="228" t="s">
        <v>2707</v>
      </c>
      <c r="E454" s="242">
        <v>43791.0</v>
      </c>
      <c r="F454" s="253" t="str">
        <f>HYPERLINK("https://nasional.republika.co.id/berita/q1d8c4328/menpan-rb-setuju-larangan-lgbt-daftar-cpns","Sumber")</f>
        <v>Sumber</v>
      </c>
      <c r="G454" s="229" t="str">
        <f>HYPERLINK("https://drive.google.com/open?id=1uAy8GdizkV3GpoSj2T7vAVQt_SChTmCj","Lokasi")</f>
        <v>Lokasi</v>
      </c>
      <c r="H454" s="228">
        <v>222.0</v>
      </c>
      <c r="I454" s="52">
        <v>4.0</v>
      </c>
      <c r="J454" s="52">
        <v>3.0</v>
      </c>
      <c r="K454" s="244" t="s">
        <v>2789</v>
      </c>
      <c r="L454" s="52">
        <v>0.0</v>
      </c>
      <c r="M454" s="52">
        <v>0.0</v>
      </c>
      <c r="N454" s="231">
        <v>0.0</v>
      </c>
      <c r="O454" s="52">
        <v>0.0</v>
      </c>
      <c r="P454" s="52">
        <v>0.0</v>
      </c>
      <c r="Q454" s="52">
        <v>0.0</v>
      </c>
      <c r="R454" s="52">
        <v>-1.0</v>
      </c>
      <c r="S454" s="244" t="s">
        <v>2790</v>
      </c>
      <c r="T454" s="52">
        <v>1.0</v>
      </c>
      <c r="U454" s="52">
        <v>0.0</v>
      </c>
      <c r="V454" s="52">
        <v>1.0</v>
      </c>
      <c r="W454" s="9"/>
      <c r="X454" s="9"/>
      <c r="Y454" s="9"/>
      <c r="Z454" s="9"/>
      <c r="AA454" s="9"/>
      <c r="AB454" s="9"/>
      <c r="AC454" s="9"/>
      <c r="AD454" s="9"/>
      <c r="AE454" s="9"/>
      <c r="AF454" s="9"/>
    </row>
    <row r="455">
      <c r="A455" s="227">
        <v>1.0</v>
      </c>
      <c r="B455" s="228" t="s">
        <v>2791</v>
      </c>
      <c r="C455" s="44">
        <v>453.0</v>
      </c>
      <c r="D455" s="228" t="s">
        <v>2692</v>
      </c>
      <c r="E455" s="242">
        <v>43792.0</v>
      </c>
      <c r="F455" s="253" t="str">
        <f>HYPERLINK("https://www.liputan6.com/news/read/4117963/kejagung-tolak-lgbt-jadi-cpns-ini-komentar-pdip","Sumber")</f>
        <v>Sumber</v>
      </c>
      <c r="G455" s="229" t="str">
        <f>HYPERLINK("https://drive.google.com/open?id=14sSf2gECbQYu109ythgeq2Z1yuWK-V1B","Lokasi")</f>
        <v>Lokasi</v>
      </c>
      <c r="H455" s="228">
        <v>243.0</v>
      </c>
      <c r="I455" s="52">
        <v>4.0</v>
      </c>
      <c r="J455" s="52">
        <v>3.0</v>
      </c>
      <c r="K455" s="244" t="s">
        <v>2792</v>
      </c>
      <c r="L455" s="52">
        <v>0.0</v>
      </c>
      <c r="M455" s="52">
        <v>0.0</v>
      </c>
      <c r="N455" s="231">
        <v>0.0</v>
      </c>
      <c r="O455" s="52">
        <v>0.0</v>
      </c>
      <c r="P455" s="52">
        <v>0.0</v>
      </c>
      <c r="Q455" s="52">
        <v>0.0</v>
      </c>
      <c r="R455" s="52">
        <v>1.0</v>
      </c>
      <c r="S455" s="232"/>
      <c r="T455" s="52">
        <v>0.0</v>
      </c>
      <c r="U455" s="52">
        <v>0.0</v>
      </c>
      <c r="V455" s="52">
        <v>1.0</v>
      </c>
      <c r="W455" s="9"/>
      <c r="X455" s="9"/>
      <c r="Y455" s="9"/>
      <c r="Z455" s="9"/>
      <c r="AA455" s="9"/>
      <c r="AB455" s="9"/>
      <c r="AC455" s="9"/>
      <c r="AD455" s="9"/>
      <c r="AE455" s="9"/>
      <c r="AF455" s="9"/>
    </row>
    <row r="456">
      <c r="A456" s="222">
        <v>2.0</v>
      </c>
      <c r="B456" s="223" t="s">
        <v>2793</v>
      </c>
      <c r="C456" s="47">
        <v>454.0</v>
      </c>
      <c r="D456" s="223" t="s">
        <v>2724</v>
      </c>
      <c r="E456" s="233">
        <v>43793.0</v>
      </c>
      <c r="F456" s="234" t="str">
        <f>HYPERLINK("https://regional.kompas.com/read/2019/11/24/08353721/pendaftaran-cpns-di-pemprov-kaltim-membludak","Sumber")</f>
        <v>Sumber</v>
      </c>
      <c r="G456" s="43" t="s">
        <v>2696</v>
      </c>
      <c r="H456" s="223">
        <v>208.0</v>
      </c>
      <c r="I456" s="51"/>
      <c r="J456" s="51"/>
      <c r="K456" s="226"/>
      <c r="L456" s="51"/>
      <c r="M456" s="51"/>
      <c r="N456" s="51"/>
      <c r="O456" s="51"/>
      <c r="P456" s="51"/>
      <c r="Q456" s="51"/>
      <c r="R456" s="51"/>
      <c r="S456" s="226"/>
      <c r="T456" s="51"/>
      <c r="U456" s="51"/>
      <c r="V456" s="51"/>
      <c r="W456" s="51"/>
      <c r="X456" s="51"/>
      <c r="Y456" s="51"/>
      <c r="Z456" s="51"/>
      <c r="AA456" s="51"/>
      <c r="AB456" s="51"/>
      <c r="AC456" s="51"/>
      <c r="AD456" s="51"/>
      <c r="AE456" s="51"/>
      <c r="AF456" s="51"/>
    </row>
    <row r="457">
      <c r="A457" s="189">
        <v>1.0</v>
      </c>
      <c r="B457" s="245" t="s">
        <v>2794</v>
      </c>
      <c r="C457" s="55">
        <v>455.0</v>
      </c>
      <c r="D457" s="246" t="s">
        <v>2698</v>
      </c>
      <c r="E457" s="247">
        <v>43793.0</v>
      </c>
      <c r="F457" s="248" t="str">
        <f>HYPERLINK("https://www.suara.com/health/2019/11/17/062451/benarkah-jenis-mainan-bisa-memicu-kelainan-orientasi-seksual-anak","Sumber")</f>
        <v>Sumber</v>
      </c>
      <c r="G457" s="249" t="str">
        <f>HYPERLINK("https://drive.google.com/open?id=1NdAGvYtRJFhPLlmCoNiSbue7L-Dk0wwi","Lokasi")</f>
        <v>Lokasi</v>
      </c>
      <c r="H457" s="250">
        <v>309.0</v>
      </c>
      <c r="I457" s="30">
        <v>5.0</v>
      </c>
      <c r="J457" s="30">
        <v>3.0</v>
      </c>
      <c r="K457" s="251" t="s">
        <v>2795</v>
      </c>
      <c r="L457" s="30">
        <v>0.0</v>
      </c>
      <c r="M457" s="30">
        <v>0.0</v>
      </c>
      <c r="N457" s="252">
        <v>0.0</v>
      </c>
      <c r="O457" s="30">
        <v>0.0</v>
      </c>
      <c r="P457" s="30">
        <v>0.0</v>
      </c>
      <c r="Q457" s="30">
        <v>0.0</v>
      </c>
      <c r="R457" s="30">
        <v>1.0</v>
      </c>
      <c r="S457" s="255"/>
      <c r="T457" s="30">
        <v>0.0</v>
      </c>
      <c r="U457" s="30">
        <v>0.0</v>
      </c>
      <c r="V457" s="30">
        <v>1.0</v>
      </c>
      <c r="W457" s="31"/>
      <c r="X457" s="31"/>
      <c r="Y457" s="31"/>
      <c r="Z457" s="31"/>
      <c r="AA457" s="31"/>
      <c r="AB457" s="31"/>
      <c r="AC457" s="31"/>
      <c r="AD457" s="31"/>
      <c r="AE457" s="31"/>
      <c r="AF457" s="31"/>
    </row>
    <row r="458">
      <c r="A458" s="189">
        <v>1.0</v>
      </c>
      <c r="B458" s="245" t="s">
        <v>997</v>
      </c>
      <c r="C458" s="55">
        <v>456.0</v>
      </c>
      <c r="D458" s="246" t="s">
        <v>2724</v>
      </c>
      <c r="E458" s="247">
        <v>43794.0</v>
      </c>
      <c r="F458" s="248" t="str">
        <f>HYPERLINK("https://nasional.kompas.com/read/2019/11/25/10103341/amnesty-international-indonesia-syarat-diskriminatif-bagi-pelamar-cpns-2019","Sumber")</f>
        <v>Sumber</v>
      </c>
      <c r="G458" s="249" t="str">
        <f>HYPERLINK("https://drive.google.com/open?id=1VavNUXwzVXreLGp2Bn2KccvVN4Ivwc3m","Lokasi")</f>
        <v>Lokasi</v>
      </c>
      <c r="H458" s="250">
        <v>284.0</v>
      </c>
      <c r="I458" s="30">
        <v>4.0</v>
      </c>
      <c r="J458" s="30">
        <v>3.0</v>
      </c>
      <c r="K458" s="251" t="s">
        <v>2796</v>
      </c>
      <c r="L458" s="30">
        <v>0.0</v>
      </c>
      <c r="M458" s="30">
        <v>0.0</v>
      </c>
      <c r="N458" s="252">
        <v>0.0</v>
      </c>
      <c r="O458" s="30">
        <v>0.0</v>
      </c>
      <c r="P458" s="30">
        <v>0.0</v>
      </c>
      <c r="Q458" s="30" t="s">
        <v>61</v>
      </c>
      <c r="R458" s="30" t="s">
        <v>100</v>
      </c>
      <c r="S458" s="255"/>
      <c r="T458" s="30">
        <v>0.0</v>
      </c>
      <c r="U458" s="30">
        <v>0.0</v>
      </c>
      <c r="V458" s="30">
        <v>1.0</v>
      </c>
      <c r="W458" s="31"/>
      <c r="X458" s="31"/>
      <c r="Y458" s="31"/>
      <c r="Z458" s="31"/>
      <c r="AA458" s="31"/>
      <c r="AB458" s="31"/>
      <c r="AC458" s="31"/>
      <c r="AD458" s="31"/>
      <c r="AE458" s="31"/>
      <c r="AF458" s="31"/>
    </row>
    <row r="459">
      <c r="A459" s="189">
        <v>1.0</v>
      </c>
      <c r="B459" s="245" t="s">
        <v>2797</v>
      </c>
      <c r="C459" s="55">
        <v>457.0</v>
      </c>
      <c r="D459" s="246" t="s">
        <v>2715</v>
      </c>
      <c r="E459" s="247">
        <v>43794.0</v>
      </c>
      <c r="F459" s="248" t="str">
        <f>HYPERLINK("https://www.tribunnews.com/nasional/2019/11/25/komnas-ham-minta-jaksa-agung-klarifikasi-dan-batalkan-syarat-cpns-2019-yang-dinilai-diskriminatif","Sumber")</f>
        <v>Sumber</v>
      </c>
      <c r="G459" s="249" t="str">
        <f>HYPERLINK("https://drive.google.com/open?id=1uYx4EKxa7jvlz9r1OUgs0U3ztaKaRiC-","Lokasi")</f>
        <v>Lokasi</v>
      </c>
      <c r="H459" s="250">
        <v>276.0</v>
      </c>
      <c r="I459" s="30">
        <v>4.0</v>
      </c>
      <c r="J459" s="30">
        <v>3.0</v>
      </c>
      <c r="K459" s="251" t="s">
        <v>2798</v>
      </c>
      <c r="L459" s="30">
        <v>0.0</v>
      </c>
      <c r="M459" s="30">
        <v>0.0</v>
      </c>
      <c r="N459" s="252">
        <v>0.0</v>
      </c>
      <c r="O459" s="30">
        <v>0.0</v>
      </c>
      <c r="P459" s="30">
        <v>0.0</v>
      </c>
      <c r="Q459" s="30">
        <v>0.0</v>
      </c>
      <c r="R459" s="30">
        <v>1.0</v>
      </c>
      <c r="S459" s="255"/>
      <c r="T459" s="30">
        <v>0.0</v>
      </c>
      <c r="U459" s="30">
        <v>0.0</v>
      </c>
      <c r="V459" s="30">
        <v>1.0</v>
      </c>
      <c r="W459" s="31"/>
      <c r="X459" s="31"/>
      <c r="Y459" s="31"/>
      <c r="Z459" s="31"/>
      <c r="AA459" s="31"/>
      <c r="AB459" s="31"/>
      <c r="AC459" s="31"/>
      <c r="AD459" s="31"/>
      <c r="AE459" s="31"/>
      <c r="AF459" s="31"/>
    </row>
    <row r="460">
      <c r="A460" s="227">
        <v>1.0</v>
      </c>
      <c r="B460" s="228" t="s">
        <v>2799</v>
      </c>
      <c r="C460" s="44">
        <v>458.0</v>
      </c>
      <c r="D460" s="228" t="s">
        <v>2702</v>
      </c>
      <c r="E460" s="242">
        <v>43795.0</v>
      </c>
      <c r="F460" s="253" t="str">
        <f>HYPERLINK("https://nasional.tempo.co/read/1276810/larangan-lgbt-jadi-cpns-diprotes-kelompok-rentan","Sumber")</f>
        <v>Sumber</v>
      </c>
      <c r="G460" s="229" t="str">
        <f>HYPERLINK("https://drive.google.com/open?id=1b1Dne1ymghvAJbS1rXm3Ogwbk1H6FSg6","Lokasi")</f>
        <v>Lokasi</v>
      </c>
      <c r="H460" s="228">
        <v>339.0</v>
      </c>
      <c r="I460" s="52">
        <v>4.0</v>
      </c>
      <c r="J460" s="52">
        <v>3.0</v>
      </c>
      <c r="K460" s="258" t="s">
        <v>2800</v>
      </c>
      <c r="L460" s="52">
        <v>0.0</v>
      </c>
      <c r="M460" s="52">
        <v>0.0</v>
      </c>
      <c r="N460" s="231">
        <v>0.0</v>
      </c>
      <c r="O460" s="52">
        <v>0.0</v>
      </c>
      <c r="P460" s="52">
        <v>0.0</v>
      </c>
      <c r="Q460" s="52" t="s">
        <v>100</v>
      </c>
      <c r="R460" s="52" t="s">
        <v>192</v>
      </c>
      <c r="S460" s="232"/>
      <c r="T460" s="52">
        <v>0.0</v>
      </c>
      <c r="U460" s="52">
        <v>0.0</v>
      </c>
      <c r="V460" s="52">
        <v>1.0</v>
      </c>
      <c r="W460" s="9"/>
      <c r="X460" s="9"/>
      <c r="Y460" s="9"/>
      <c r="Z460" s="9"/>
      <c r="AA460" s="9"/>
      <c r="AB460" s="9"/>
      <c r="AC460" s="9"/>
      <c r="AD460" s="9"/>
      <c r="AE460" s="9"/>
      <c r="AF460" s="9"/>
    </row>
    <row r="461">
      <c r="A461" s="227">
        <v>1.0</v>
      </c>
      <c r="B461" s="228" t="s">
        <v>1909</v>
      </c>
      <c r="C461" s="44">
        <v>459.0</v>
      </c>
      <c r="D461" s="228" t="s">
        <v>2698</v>
      </c>
      <c r="E461" s="242">
        <v>43809.0</v>
      </c>
      <c r="F461" s="253" t="str">
        <f>HYPERLINK("https://www.suara.com/lifestyle/2019/12/10/073500/berani-blak-blakan-miss-universe-myanmar-2019-mengaku-penyuka-sesama-jenis","Sumber")</f>
        <v>Sumber</v>
      </c>
      <c r="G461" s="229" t="str">
        <f>HYPERLINK("https://drive.google.com/open?id=1JbplP-lvSbf2t8UgJ7ukNguNX2tSfCYF","Lokasi")</f>
        <v>Lokasi</v>
      </c>
      <c r="H461" s="228">
        <v>248.0</v>
      </c>
      <c r="I461" s="52">
        <v>2.0</v>
      </c>
      <c r="J461" s="52">
        <v>3.0</v>
      </c>
      <c r="K461" s="244" t="s">
        <v>2801</v>
      </c>
      <c r="L461" s="52">
        <v>0.0</v>
      </c>
      <c r="M461" s="52">
        <v>0.0</v>
      </c>
      <c r="N461" s="52">
        <v>-1.0</v>
      </c>
      <c r="O461" s="52">
        <v>0.0</v>
      </c>
      <c r="P461" s="52">
        <v>0.0</v>
      </c>
      <c r="Q461" s="52">
        <v>2.0</v>
      </c>
      <c r="R461" s="52">
        <v>1.0</v>
      </c>
      <c r="S461" s="232"/>
      <c r="T461" s="52">
        <v>0.0</v>
      </c>
      <c r="U461" s="52">
        <v>0.0</v>
      </c>
      <c r="V461" s="52">
        <v>0.0</v>
      </c>
      <c r="W461" s="9"/>
      <c r="X461" s="9"/>
      <c r="Y461" s="9"/>
      <c r="Z461" s="9"/>
      <c r="AA461" s="9"/>
      <c r="AB461" s="9"/>
      <c r="AC461" s="9"/>
      <c r="AD461" s="9"/>
      <c r="AE461" s="9"/>
      <c r="AF461" s="9"/>
    </row>
    <row r="462">
      <c r="A462" s="227">
        <v>1.0</v>
      </c>
      <c r="B462" s="228" t="s">
        <v>1916</v>
      </c>
      <c r="C462" s="44">
        <v>460.0</v>
      </c>
      <c r="D462" s="228" t="s">
        <v>2715</v>
      </c>
      <c r="E462" s="242">
        <v>43817.0</v>
      </c>
      <c r="F462" s="253" t="str">
        <f>HYPERLINK("https://www.tribunnews.com/seleb/2019/12/18/kebohongan-lucinta-luna-dibongkar-gebby-vesta-terungkap-nama-asli-di-ktp-hingga-bayaran-endorse","Sumber")</f>
        <v>Sumber</v>
      </c>
      <c r="G462" s="229" t="str">
        <f>HYPERLINK("https://drive.google.com/open?id=1xaC779mIOiyDdJoSRU7Rq6-oOne4lJ-j","Lokasi")</f>
        <v>Lokasi</v>
      </c>
      <c r="H462" s="228">
        <v>114.0</v>
      </c>
      <c r="I462" s="52">
        <v>1.0</v>
      </c>
      <c r="J462" s="52">
        <v>3.0</v>
      </c>
      <c r="K462" s="244" t="s">
        <v>2802</v>
      </c>
      <c r="L462" s="52">
        <v>0.0</v>
      </c>
      <c r="M462" s="52">
        <v>0.0</v>
      </c>
      <c r="N462" s="52">
        <v>-1.0</v>
      </c>
      <c r="O462" s="52">
        <v>0.0</v>
      </c>
      <c r="P462" s="52">
        <v>0.0</v>
      </c>
      <c r="Q462" s="52" t="s">
        <v>2803</v>
      </c>
      <c r="R462" s="52" t="s">
        <v>53</v>
      </c>
      <c r="S462" s="232"/>
      <c r="T462" s="52">
        <v>0.0</v>
      </c>
      <c r="U462" s="52">
        <v>0.0</v>
      </c>
      <c r="V462" s="52">
        <v>0.0</v>
      </c>
      <c r="W462" s="9"/>
      <c r="X462" s="9"/>
      <c r="Y462" s="9"/>
      <c r="Z462" s="9"/>
      <c r="AA462" s="9"/>
      <c r="AB462" s="9"/>
      <c r="AC462" s="9"/>
      <c r="AD462" s="9"/>
      <c r="AE462" s="9"/>
      <c r="AF462" s="9"/>
    </row>
    <row r="463">
      <c r="A463" s="222">
        <v>2.0</v>
      </c>
      <c r="B463" s="223" t="s">
        <v>2804</v>
      </c>
      <c r="C463" s="47">
        <v>461.0</v>
      </c>
      <c r="D463" s="223" t="s">
        <v>2698</v>
      </c>
      <c r="E463" s="233">
        <v>43818.0</v>
      </c>
      <c r="F463" s="234" t="str">
        <f>HYPERLINK("https://www.suara.com/tekno/2019/12/19/113139/uwow-gelas-sekali-pakai-berumur-3600-tahun-ditemukan","Sumber")</f>
        <v>Sumber</v>
      </c>
      <c r="G463" s="43" t="s">
        <v>2696</v>
      </c>
      <c r="H463" s="223">
        <v>250.0</v>
      </c>
      <c r="I463" s="51"/>
      <c r="J463" s="51"/>
      <c r="K463" s="226"/>
      <c r="L463" s="51"/>
      <c r="M463" s="51"/>
      <c r="N463" s="51"/>
      <c r="O463" s="51"/>
      <c r="P463" s="51"/>
      <c r="Q463" s="51"/>
      <c r="R463" s="51"/>
      <c r="S463" s="226"/>
      <c r="T463" s="51"/>
      <c r="U463" s="51"/>
      <c r="V463" s="51"/>
      <c r="W463" s="51"/>
      <c r="X463" s="51"/>
      <c r="Y463" s="51"/>
      <c r="Z463" s="51"/>
      <c r="AA463" s="51"/>
      <c r="AB463" s="51"/>
      <c r="AC463" s="51"/>
      <c r="AD463" s="51"/>
      <c r="AE463" s="51"/>
      <c r="AF463" s="51"/>
    </row>
    <row r="464">
      <c r="A464" s="227">
        <v>1.0</v>
      </c>
      <c r="B464" s="228" t="s">
        <v>2805</v>
      </c>
      <c r="C464" s="44">
        <v>462.0</v>
      </c>
      <c r="D464" s="228" t="s">
        <v>2698</v>
      </c>
      <c r="E464" s="242">
        <v>43819.0</v>
      </c>
      <c r="F464" s="253" t="str">
        <f>HYPERLINK("https://www.suara.com/lifestyle/2019/12/20/152500/sangat-dekat-apakah-sophia-hutchins-dan-caitlyn-jenner-pacaran","Sumber")</f>
        <v>Sumber</v>
      </c>
      <c r="G464" s="229" t="str">
        <f>HYPERLINK("https://drive.google.com/open?id=1N2Yjc2r4vK_DAxZZWlKDmFgswqwtKKAb","Lokasi")</f>
        <v>Lokasi</v>
      </c>
      <c r="H464" s="228">
        <v>200.0</v>
      </c>
      <c r="I464" s="52">
        <v>2.0</v>
      </c>
      <c r="J464" s="52">
        <v>3.0</v>
      </c>
      <c r="K464" s="244" t="s">
        <v>2806</v>
      </c>
      <c r="L464" s="52">
        <v>0.0</v>
      </c>
      <c r="M464" s="52">
        <v>0.0</v>
      </c>
      <c r="N464" s="52">
        <v>-1.0</v>
      </c>
      <c r="O464" s="52">
        <v>0.0</v>
      </c>
      <c r="P464" s="52">
        <v>0.0</v>
      </c>
      <c r="Q464" s="52">
        <v>2.0</v>
      </c>
      <c r="R464" s="52">
        <v>0.0</v>
      </c>
      <c r="S464" s="232"/>
      <c r="T464" s="52">
        <v>0.0</v>
      </c>
      <c r="U464" s="52">
        <v>0.0</v>
      </c>
      <c r="V464" s="52">
        <v>0.0</v>
      </c>
      <c r="W464" s="9"/>
      <c r="X464" s="9"/>
      <c r="Y464" s="9"/>
      <c r="Z464" s="9"/>
      <c r="AA464" s="9"/>
      <c r="AB464" s="9"/>
      <c r="AC464" s="9"/>
      <c r="AD464" s="9"/>
      <c r="AE464" s="9"/>
      <c r="AF464" s="9"/>
    </row>
    <row r="465" ht="15.0" customHeight="1">
      <c r="A465" s="222">
        <v>2.0</v>
      </c>
      <c r="B465" s="223" t="s">
        <v>2807</v>
      </c>
      <c r="C465" s="47">
        <v>463.0</v>
      </c>
      <c r="D465" s="223" t="s">
        <v>2698</v>
      </c>
      <c r="E465" s="233">
        <v>43820.0</v>
      </c>
      <c r="F465" s="234" t="str">
        <f>HYPERLINK("https://www.suara.com/news/2019/12/21/223507/catatan-safenet-di-2019-6895-orang-diselidiki-polisi-karena-uu-ite","Sumber")</f>
        <v>Sumber</v>
      </c>
      <c r="G465" s="43" t="s">
        <v>2696</v>
      </c>
      <c r="H465" s="223">
        <v>385.0</v>
      </c>
      <c r="I465" s="51"/>
      <c r="J465" s="51"/>
      <c r="K465" s="226"/>
      <c r="L465" s="51"/>
      <c r="M465" s="51"/>
      <c r="N465" s="51"/>
      <c r="O465" s="51"/>
      <c r="P465" s="51"/>
      <c r="Q465" s="51"/>
      <c r="R465" s="51"/>
      <c r="S465" s="226"/>
      <c r="T465" s="51"/>
      <c r="U465" s="51"/>
      <c r="V465" s="51"/>
      <c r="W465" s="51"/>
      <c r="X465" s="51"/>
      <c r="Y465" s="51"/>
      <c r="Z465" s="51"/>
      <c r="AA465" s="51"/>
      <c r="AB465" s="51"/>
      <c r="AC465" s="51"/>
      <c r="AD465" s="51"/>
      <c r="AE465" s="51"/>
      <c r="AF465" s="51"/>
    </row>
    <row r="466">
      <c r="A466" s="222">
        <v>2.0</v>
      </c>
      <c r="B466" s="223" t="s">
        <v>716</v>
      </c>
      <c r="C466" s="47">
        <v>464.0</v>
      </c>
      <c r="D466" s="223" t="s">
        <v>2724</v>
      </c>
      <c r="E466" s="233">
        <v>43828.0</v>
      </c>
      <c r="F466" s="234" t="str">
        <f>HYPERLINK("https://regional.kompas.com/read/2019/12/29/11225251/5-fakta-polisi-bongkar-praktik-prostitusi-di-kawasan-puncak-cianjur-modus","Sumber")</f>
        <v>Sumber</v>
      </c>
      <c r="G466" s="43" t="s">
        <v>2696</v>
      </c>
      <c r="H466" s="223">
        <v>264.0</v>
      </c>
      <c r="I466" s="51"/>
      <c r="J466" s="51"/>
      <c r="K466" s="226"/>
      <c r="L466" s="51"/>
      <c r="M466" s="51"/>
      <c r="N466" s="51"/>
      <c r="O466" s="51"/>
      <c r="P466" s="51"/>
      <c r="Q466" s="51"/>
      <c r="R466" s="51"/>
      <c r="S466" s="226"/>
      <c r="T466" s="51"/>
      <c r="U466" s="51"/>
      <c r="V466" s="51"/>
      <c r="W466" s="51"/>
      <c r="X466" s="51"/>
      <c r="Y466" s="51"/>
      <c r="Z466" s="51"/>
      <c r="AA466" s="51"/>
      <c r="AB466" s="51"/>
      <c r="AC466" s="51"/>
      <c r="AD466" s="51"/>
      <c r="AE466" s="51"/>
      <c r="AF466" s="51"/>
    </row>
    <row r="467">
      <c r="A467" s="222">
        <v>2.0</v>
      </c>
      <c r="B467" s="223" t="s">
        <v>2808</v>
      </c>
      <c r="C467" s="47">
        <v>465.0</v>
      </c>
      <c r="D467" s="223" t="s">
        <v>2740</v>
      </c>
      <c r="E467" s="233">
        <v>43829.0</v>
      </c>
      <c r="F467" s="234" t="str">
        <f>HYPERLINK("https://hot.detik.com/movie/d-4840258/selain-lgbt-marvel-juga-bawa-isu-transgender-di-masa-depan","Sumber")</f>
        <v>Sumber</v>
      </c>
      <c r="G467" s="43" t="s">
        <v>2696</v>
      </c>
      <c r="H467" s="223">
        <v>1971.0</v>
      </c>
      <c r="I467" s="43"/>
      <c r="J467" s="43"/>
      <c r="K467" s="259"/>
      <c r="L467" s="51"/>
      <c r="M467" s="51"/>
      <c r="N467" s="51"/>
      <c r="O467" s="51"/>
      <c r="P467" s="51"/>
      <c r="Q467" s="51"/>
      <c r="R467" s="51"/>
      <c r="S467" s="226"/>
      <c r="T467" s="51"/>
      <c r="U467" s="51"/>
      <c r="V467" s="51"/>
      <c r="W467" s="51"/>
      <c r="X467" s="51"/>
      <c r="Y467" s="51"/>
      <c r="Z467" s="51"/>
      <c r="AA467" s="51"/>
      <c r="AB467" s="51"/>
      <c r="AC467" s="51"/>
      <c r="AD467" s="51"/>
      <c r="AE467" s="51"/>
      <c r="AF467" s="51"/>
    </row>
    <row r="468">
      <c r="A468" s="189">
        <v>1.0</v>
      </c>
      <c r="B468" s="245" t="s">
        <v>2809</v>
      </c>
      <c r="C468" s="55">
        <v>466.0</v>
      </c>
      <c r="D468" s="246" t="s">
        <v>2698</v>
      </c>
      <c r="E468" s="247">
        <v>43829.0</v>
      </c>
      <c r="F468" s="248" t="str">
        <f>HYPERLINK("https://www.suara.com/entertainment/2019/12/16/061500/di-ktp-baru-lucinta-luna-masih-pakai-nama-muhammad-fatah","Sumber")</f>
        <v>Sumber</v>
      </c>
      <c r="G468" s="249" t="str">
        <f>HYPERLINK("https://drive.google.com/open?id=19RPGM98Wbq-eaAEsO5N_aqpATA-PYdhP","Lokasi")</f>
        <v>Lokasi</v>
      </c>
      <c r="H468" s="250">
        <v>209.0</v>
      </c>
      <c r="I468" s="30">
        <v>2.0</v>
      </c>
      <c r="J468" s="30">
        <v>4.0</v>
      </c>
      <c r="K468" s="251"/>
      <c r="L468" s="30">
        <v>0.0</v>
      </c>
      <c r="M468" s="30">
        <v>0.0</v>
      </c>
      <c r="N468" s="30">
        <v>-1.0</v>
      </c>
      <c r="O468" s="30">
        <v>0.0</v>
      </c>
      <c r="P468" s="30">
        <v>0.0</v>
      </c>
      <c r="Q468" s="30"/>
      <c r="R468" s="30"/>
      <c r="S468" s="255"/>
      <c r="T468" s="30">
        <v>0.0</v>
      </c>
      <c r="U468" s="30">
        <v>0.0</v>
      </c>
      <c r="V468" s="30">
        <v>0.0</v>
      </c>
      <c r="W468" s="31"/>
      <c r="X468" s="31"/>
      <c r="Y468" s="31"/>
      <c r="Z468" s="31"/>
      <c r="AA468" s="31"/>
      <c r="AB468" s="31"/>
      <c r="AC468" s="31"/>
      <c r="AD468" s="31"/>
      <c r="AE468" s="31"/>
      <c r="AF468" s="31"/>
    </row>
    <row r="469">
      <c r="A469" s="227">
        <v>1.0</v>
      </c>
      <c r="B469" s="228" t="s">
        <v>2810</v>
      </c>
      <c r="C469" s="44">
        <v>467.0</v>
      </c>
      <c r="D469" s="228" t="s">
        <v>2698</v>
      </c>
      <c r="E469" s="242">
        <v>43741.0</v>
      </c>
      <c r="F469" s="253" t="str">
        <f>HYPERLINK("https://www.suara.com/bola/2019/10/03/145000/tampil-seksi-presenter-cantik-italia-disuruh-lepas-baju-di-stadion","Sumber")</f>
        <v>Sumber</v>
      </c>
      <c r="G469" s="229" t="str">
        <f>HYPERLINK("https://drive.google.com/open?id=1rfsnw8DkxoIyGpoaLSn0mLWgKMkI1zTZ","Lokasi")</f>
        <v>Lokasi</v>
      </c>
      <c r="H469" s="228">
        <v>151.0</v>
      </c>
      <c r="I469" s="52">
        <v>1.0</v>
      </c>
      <c r="J469" s="52">
        <v>1.0</v>
      </c>
      <c r="K469" s="244"/>
      <c r="L469" s="52">
        <v>0.0</v>
      </c>
      <c r="M469" s="52">
        <v>-1.0</v>
      </c>
      <c r="N469" s="52">
        <v>-1.0</v>
      </c>
      <c r="O469" s="52">
        <v>-1.0</v>
      </c>
      <c r="P469" s="52">
        <v>-1.0</v>
      </c>
      <c r="Q469" s="52"/>
      <c r="R469" s="52"/>
      <c r="S469" s="232"/>
      <c r="T469" s="52">
        <v>0.0</v>
      </c>
      <c r="U469" s="52">
        <v>0.0</v>
      </c>
      <c r="V469" s="52">
        <v>0.0</v>
      </c>
      <c r="W469" s="9"/>
      <c r="X469" s="9"/>
      <c r="Y469" s="9"/>
      <c r="Z469" s="9"/>
      <c r="AA469" s="9"/>
      <c r="AB469" s="9"/>
      <c r="AC469" s="9"/>
      <c r="AD469" s="9"/>
      <c r="AE469" s="9"/>
      <c r="AF469" s="9"/>
    </row>
    <row r="470">
      <c r="A470" s="176">
        <v>1.0</v>
      </c>
      <c r="B470" s="237" t="s">
        <v>2811</v>
      </c>
      <c r="C470" s="178">
        <v>468.0</v>
      </c>
      <c r="D470" s="216" t="s">
        <v>2698</v>
      </c>
      <c r="E470" s="238">
        <v>43742.0</v>
      </c>
      <c r="F470" s="239" t="str">
        <f>HYPERLINK("https://www.suara.com/health/2019/10/04/171500/alami-kdrt-wanita-ini-cedera-parah-sampai-butuh-transplantasi-wajah","Sumber")</f>
        <v>Sumber</v>
      </c>
      <c r="G470" s="218" t="str">
        <f>HYPERLINK("https://drive.google.com/open?id=1JhEbph2s1Ni6_Zkw1PZKUlN0o9QgJKyY","Lokasi")</f>
        <v>Lokasi</v>
      </c>
      <c r="H470" s="240">
        <v>244.0</v>
      </c>
      <c r="I470" s="185">
        <v>1.0</v>
      </c>
      <c r="J470" s="185">
        <v>1.0</v>
      </c>
      <c r="K470" s="219"/>
      <c r="L470" s="185">
        <v>0.0</v>
      </c>
      <c r="M470" s="185">
        <v>0.0</v>
      </c>
      <c r="N470" s="185">
        <v>-1.0</v>
      </c>
      <c r="O470" s="185">
        <v>0.0</v>
      </c>
      <c r="P470" s="185">
        <v>0.0</v>
      </c>
      <c r="Q470" s="185"/>
      <c r="R470" s="185"/>
      <c r="S470" s="221"/>
      <c r="T470" s="185">
        <v>0.0</v>
      </c>
      <c r="U470" s="185">
        <v>0.0</v>
      </c>
      <c r="V470" s="185">
        <v>0.0</v>
      </c>
      <c r="W470" s="186"/>
      <c r="X470" s="186"/>
      <c r="Y470" s="186"/>
      <c r="Z470" s="186"/>
      <c r="AA470" s="186"/>
      <c r="AB470" s="186"/>
      <c r="AC470" s="186"/>
      <c r="AD470" s="186"/>
      <c r="AE470" s="186"/>
      <c r="AF470" s="186"/>
    </row>
    <row r="471">
      <c r="A471" s="222">
        <v>2.0</v>
      </c>
      <c r="B471" s="223" t="s">
        <v>1030</v>
      </c>
      <c r="C471" s="47">
        <v>469.0</v>
      </c>
      <c r="D471" s="223" t="s">
        <v>2740</v>
      </c>
      <c r="E471" s="233">
        <v>43743.0</v>
      </c>
      <c r="F471" s="234" t="str">
        <f>HYPERLINK("https://news.detik.com/berita/d-4734501/tampil-di-media-veronica-koman-diingatkan-soal-beasiswa","Sumber")</f>
        <v>Sumber</v>
      </c>
      <c r="G471" s="43" t="s">
        <v>2696</v>
      </c>
      <c r="H471" s="223">
        <v>202.0</v>
      </c>
      <c r="I471" s="51"/>
      <c r="J471" s="51"/>
      <c r="K471" s="226"/>
      <c r="L471" s="51"/>
      <c r="M471" s="51"/>
      <c r="N471" s="51"/>
      <c r="O471" s="51"/>
      <c r="P471" s="51"/>
      <c r="Q471" s="51"/>
      <c r="R471" s="51"/>
      <c r="S471" s="226"/>
      <c r="T471" s="51"/>
      <c r="U471" s="51"/>
      <c r="V471" s="51"/>
      <c r="W471" s="51"/>
      <c r="X471" s="51"/>
      <c r="Y471" s="51"/>
      <c r="Z471" s="51"/>
      <c r="AA471" s="51"/>
      <c r="AB471" s="51"/>
      <c r="AC471" s="51"/>
      <c r="AD471" s="51"/>
      <c r="AE471" s="51"/>
      <c r="AF471" s="51"/>
    </row>
    <row r="472">
      <c r="A472" s="222">
        <v>2.0</v>
      </c>
      <c r="B472" s="223" t="s">
        <v>2812</v>
      </c>
      <c r="C472" s="47">
        <v>470.0</v>
      </c>
      <c r="D472" s="223" t="s">
        <v>2709</v>
      </c>
      <c r="E472" s="233">
        <v>43743.0</v>
      </c>
      <c r="F472" s="234" t="str">
        <f>HYPERLINK("https://celebrity.okezone.com/read/2019/10/05/33/2113130/demi-cinta-jodie-foster-john-hinckley-jr-tembak-ronald-reagan","Sumber")</f>
        <v>Sumber</v>
      </c>
      <c r="G472" s="43" t="s">
        <v>2696</v>
      </c>
      <c r="H472" s="223">
        <v>492.0</v>
      </c>
      <c r="I472" s="51"/>
      <c r="J472" s="51"/>
      <c r="K472" s="226"/>
      <c r="L472" s="51"/>
      <c r="M472" s="51"/>
      <c r="N472" s="51"/>
      <c r="O472" s="51"/>
      <c r="P472" s="51"/>
      <c r="Q472" s="51"/>
      <c r="R472" s="51"/>
      <c r="S472" s="226"/>
      <c r="T472" s="51"/>
      <c r="U472" s="51"/>
      <c r="V472" s="51"/>
      <c r="W472" s="51"/>
      <c r="X472" s="51"/>
      <c r="Y472" s="51"/>
      <c r="Z472" s="51"/>
      <c r="AA472" s="51"/>
      <c r="AB472" s="51"/>
      <c r="AC472" s="51"/>
      <c r="AD472" s="51"/>
      <c r="AE472" s="51"/>
      <c r="AF472" s="51"/>
    </row>
    <row r="473">
      <c r="A473" s="222">
        <v>2.0</v>
      </c>
      <c r="B473" s="223" t="s">
        <v>2813</v>
      </c>
      <c r="C473" s="47">
        <v>471.0</v>
      </c>
      <c r="D473" s="223" t="s">
        <v>2704</v>
      </c>
      <c r="E473" s="233">
        <v>43744.0</v>
      </c>
      <c r="F473" s="234" t="str">
        <f>HYPERLINK("https://tirto.id/sarkem-usai-kebakaran-sepi-pengunjung-dan-bau-mayat-ejh7","Sumber")</f>
        <v>Sumber</v>
      </c>
      <c r="G473" s="43" t="s">
        <v>2696</v>
      </c>
      <c r="H473" s="223">
        <v>671.0</v>
      </c>
      <c r="I473" s="51"/>
      <c r="J473" s="51"/>
      <c r="K473" s="226"/>
      <c r="L473" s="51"/>
      <c r="M473" s="51"/>
      <c r="N473" s="51"/>
      <c r="O473" s="51"/>
      <c r="P473" s="51"/>
      <c r="Q473" s="51"/>
      <c r="R473" s="51"/>
      <c r="S473" s="226"/>
      <c r="T473" s="51"/>
      <c r="U473" s="51"/>
      <c r="V473" s="51"/>
      <c r="W473" s="51"/>
      <c r="X473" s="51"/>
      <c r="Y473" s="51"/>
      <c r="Z473" s="51"/>
      <c r="AA473" s="51"/>
      <c r="AB473" s="51"/>
      <c r="AC473" s="51"/>
      <c r="AD473" s="51"/>
      <c r="AE473" s="51"/>
      <c r="AF473" s="51"/>
    </row>
    <row r="474">
      <c r="A474" s="176">
        <v>1.0</v>
      </c>
      <c r="B474" s="237" t="s">
        <v>2814</v>
      </c>
      <c r="C474" s="178">
        <v>472.0</v>
      </c>
      <c r="D474" s="216" t="s">
        <v>2715</v>
      </c>
      <c r="E474" s="238">
        <v>43744.0</v>
      </c>
      <c r="F474" s="239" t="str">
        <f>HYPERLINK("https://www.tribunnews.com/regional/2019/10/06/dibekap-dan-akan-diperkosa-oleh-teman-suaminya-ibu-muda-ini-melawan-dan-bikin-pelaku-kecut","Sumber")</f>
        <v>Sumber</v>
      </c>
      <c r="G474" s="218" t="str">
        <f>HYPERLINK("https://drive.google.com/open?id=1_5VoYvLmKKMngcFkTxe8tAxstYD_oMk4","Lokasi")</f>
        <v>Lokasi</v>
      </c>
      <c r="H474" s="240">
        <v>212.0</v>
      </c>
      <c r="I474" s="185">
        <v>1.0</v>
      </c>
      <c r="J474" s="185">
        <v>1.0</v>
      </c>
      <c r="K474" s="219" t="s">
        <v>2815</v>
      </c>
      <c r="L474" s="185">
        <v>0.0</v>
      </c>
      <c r="M474" s="185">
        <v>-1.0</v>
      </c>
      <c r="N474" s="220">
        <v>0.0</v>
      </c>
      <c r="O474" s="185">
        <v>-1.0</v>
      </c>
      <c r="P474" s="185">
        <v>0.0</v>
      </c>
      <c r="Q474" s="185" t="s">
        <v>61</v>
      </c>
      <c r="R474" s="185" t="s">
        <v>61</v>
      </c>
      <c r="S474" s="221"/>
      <c r="T474" s="185">
        <v>0.0</v>
      </c>
      <c r="U474" s="185">
        <v>0.0</v>
      </c>
      <c r="V474" s="185">
        <v>0.0</v>
      </c>
      <c r="W474" s="186"/>
      <c r="X474" s="186"/>
      <c r="Y474" s="186"/>
      <c r="Z474" s="186"/>
      <c r="AA474" s="186"/>
      <c r="AB474" s="186"/>
      <c r="AC474" s="186"/>
      <c r="AD474" s="186"/>
      <c r="AE474" s="186"/>
      <c r="AF474" s="186"/>
    </row>
    <row r="475">
      <c r="A475" s="176">
        <v>1.0</v>
      </c>
      <c r="B475" s="237" t="s">
        <v>2816</v>
      </c>
      <c r="C475" s="178">
        <v>473.0</v>
      </c>
      <c r="D475" s="216" t="s">
        <v>2695</v>
      </c>
      <c r="E475" s="238">
        <v>43745.0</v>
      </c>
      <c r="F475" s="239" t="str">
        <f>HYPERLINK("https://www.cnnindonesia.com/internasional/20191007124448-106-437417/perempuan-wni-dibakar-suami-di-kuwait-alami-cedera-serius","Sumber")</f>
        <v>Sumber</v>
      </c>
      <c r="G475" s="218" t="str">
        <f>HYPERLINK("https://drive.google.com/open?id=1GQN6EOGya2hlORgYVhmGkCPV4PPsxrl-","Lokasi")</f>
        <v>Lokasi</v>
      </c>
      <c r="H475" s="240">
        <v>224.0</v>
      </c>
      <c r="I475" s="185">
        <v>1.0</v>
      </c>
      <c r="J475" s="185">
        <v>1.0</v>
      </c>
      <c r="K475" s="219" t="s">
        <v>2817</v>
      </c>
      <c r="L475" s="185">
        <v>0.0</v>
      </c>
      <c r="M475" s="185">
        <v>-1.0</v>
      </c>
      <c r="N475" s="220">
        <v>0.0</v>
      </c>
      <c r="O475" s="185">
        <v>0.0</v>
      </c>
      <c r="P475" s="185">
        <v>0.0</v>
      </c>
      <c r="Q475" s="185">
        <v>0.0</v>
      </c>
      <c r="R475" s="185">
        <v>0.0</v>
      </c>
      <c r="S475" s="221"/>
      <c r="T475" s="185">
        <v>0.0</v>
      </c>
      <c r="U475" s="185">
        <v>0.0</v>
      </c>
      <c r="V475" s="185">
        <v>0.0</v>
      </c>
      <c r="W475" s="186"/>
      <c r="X475" s="186"/>
      <c r="Y475" s="186"/>
      <c r="Z475" s="186"/>
      <c r="AA475" s="186"/>
      <c r="AB475" s="186"/>
      <c r="AC475" s="186"/>
      <c r="AD475" s="186"/>
      <c r="AE475" s="186"/>
      <c r="AF475" s="186"/>
    </row>
    <row r="476">
      <c r="A476" s="176">
        <v>1.0</v>
      </c>
      <c r="B476" s="237" t="s">
        <v>2818</v>
      </c>
      <c r="C476" s="178">
        <v>474.0</v>
      </c>
      <c r="D476" s="216" t="s">
        <v>2698</v>
      </c>
      <c r="E476" s="238">
        <v>43745.0</v>
      </c>
      <c r="F476" s="239" t="str">
        <f>HYPERLINK("https://www.suara.com/news/2019/10/07/173849/perempuan-indonesia-dibakar-hidup-hidup-suaminya-di-kuwait","Sumber")</f>
        <v>Sumber</v>
      </c>
      <c r="G476" s="218" t="str">
        <f>HYPERLINK("https://drive.google.com/open?id=1Rz6ZCxUAPQpdPhe8pETg3E5wMy6Jcc3J","Lokasi")</f>
        <v>Lokasi</v>
      </c>
      <c r="H476" s="240">
        <v>190.0</v>
      </c>
      <c r="I476" s="185">
        <v>1.0</v>
      </c>
      <c r="J476" s="185">
        <v>1.0</v>
      </c>
      <c r="K476" s="219" t="s">
        <v>2819</v>
      </c>
      <c r="L476" s="185">
        <v>0.0</v>
      </c>
      <c r="M476" s="185">
        <v>-1.0</v>
      </c>
      <c r="N476" s="220">
        <v>0.0</v>
      </c>
      <c r="O476" s="185">
        <v>0.0</v>
      </c>
      <c r="P476" s="185">
        <v>0.0</v>
      </c>
      <c r="Q476" s="185">
        <v>0.0</v>
      </c>
      <c r="R476" s="185">
        <v>1.0</v>
      </c>
      <c r="S476" s="221"/>
      <c r="T476" s="185">
        <v>0.0</v>
      </c>
      <c r="U476" s="185">
        <v>0.0</v>
      </c>
      <c r="V476" s="185">
        <v>0.0</v>
      </c>
      <c r="W476" s="186"/>
      <c r="X476" s="186"/>
      <c r="Y476" s="186"/>
      <c r="Z476" s="186"/>
      <c r="AA476" s="186"/>
      <c r="AB476" s="186"/>
      <c r="AC476" s="186"/>
      <c r="AD476" s="186"/>
      <c r="AE476" s="186"/>
      <c r="AF476" s="186"/>
    </row>
    <row r="477">
      <c r="A477" s="227">
        <v>1.0</v>
      </c>
      <c r="B477" s="228" t="s">
        <v>2820</v>
      </c>
      <c r="C477" s="44">
        <v>475.0</v>
      </c>
      <c r="D477" s="228" t="s">
        <v>2740</v>
      </c>
      <c r="E477" s="242">
        <v>43746.0</v>
      </c>
      <c r="F477" s="253" t="str">
        <f>HYPERLINK("https://news.detik.com/internasional/d-4737991/ketua-parlemen-nepal-ditangkap-atas-dugaan-pemerkosaan","Sumber")</f>
        <v>Sumber</v>
      </c>
      <c r="G477" s="229" t="str">
        <f>HYPERLINK("https://drive.google.com/open?id=18Ieyx7ZrvoUufNi2DYVlvOikVwvjHOW3","Lokasi")</f>
        <v>Lokasi</v>
      </c>
      <c r="H477" s="228">
        <v>153.0</v>
      </c>
      <c r="I477" s="52">
        <v>1.0</v>
      </c>
      <c r="J477" s="52">
        <v>1.0</v>
      </c>
      <c r="K477" s="244" t="s">
        <v>2821</v>
      </c>
      <c r="L477" s="52">
        <v>0.0</v>
      </c>
      <c r="M477" s="52">
        <v>-1.0</v>
      </c>
      <c r="N477" s="231">
        <v>0.0</v>
      </c>
      <c r="O477" s="52">
        <v>1.0</v>
      </c>
      <c r="P477" s="52">
        <v>0.0</v>
      </c>
      <c r="Q477" s="52" t="s">
        <v>119</v>
      </c>
      <c r="R477" s="52" t="s">
        <v>61</v>
      </c>
      <c r="S477" s="232"/>
      <c r="T477" s="52">
        <v>0.0</v>
      </c>
      <c r="U477" s="52">
        <v>0.0</v>
      </c>
      <c r="V477" s="52">
        <v>0.0</v>
      </c>
      <c r="W477" s="9"/>
      <c r="X477" s="9"/>
      <c r="Y477" s="9"/>
      <c r="Z477" s="9"/>
      <c r="AA477" s="9"/>
      <c r="AB477" s="9"/>
      <c r="AC477" s="9"/>
      <c r="AD477" s="9"/>
      <c r="AE477" s="9"/>
      <c r="AF477" s="9"/>
    </row>
    <row r="478">
      <c r="A478" s="176">
        <v>1.0</v>
      </c>
      <c r="B478" s="237" t="s">
        <v>2822</v>
      </c>
      <c r="C478" s="178">
        <v>476.0</v>
      </c>
      <c r="D478" s="216">
        <v>10.0</v>
      </c>
      <c r="E478" s="238">
        <v>43746.0</v>
      </c>
      <c r="F478" s="239" t="str">
        <f>HYPERLINK("https://nasional.tempo.co/read/1257319/jaringan-prostitusi-dengan-konsumen-warga-timur-tengah-dibongkar","Sumber")</f>
        <v>Sumber</v>
      </c>
      <c r="G478" s="218" t="str">
        <f>HYPERLINK("https://drive.google.com/open?id=1Rw5Y8mcjzKa-1rzxrWkzsjpfEZocEuAO","Lokasi")</f>
        <v>Lokasi</v>
      </c>
      <c r="H478" s="240">
        <v>359.0</v>
      </c>
      <c r="I478" s="185">
        <v>1.0</v>
      </c>
      <c r="J478" s="185">
        <v>1.0</v>
      </c>
      <c r="K478" s="219" t="s">
        <v>2823</v>
      </c>
      <c r="L478" s="185">
        <v>0.0</v>
      </c>
      <c r="M478" s="185">
        <v>-1.0</v>
      </c>
      <c r="N478" s="220">
        <v>0.0</v>
      </c>
      <c r="O478" s="185">
        <v>0.0</v>
      </c>
      <c r="P478" s="185">
        <v>0.0</v>
      </c>
      <c r="Q478" s="185" t="s">
        <v>61</v>
      </c>
      <c r="R478" s="185" t="s">
        <v>85</v>
      </c>
      <c r="S478" s="221"/>
      <c r="T478" s="185">
        <v>0.0</v>
      </c>
      <c r="U478" s="185">
        <v>0.0</v>
      </c>
      <c r="V478" s="185">
        <v>0.0</v>
      </c>
      <c r="W478" s="186"/>
      <c r="X478" s="186"/>
      <c r="Y478" s="186"/>
      <c r="Z478" s="186"/>
      <c r="AA478" s="186"/>
      <c r="AB478" s="186"/>
      <c r="AC478" s="186"/>
      <c r="AD478" s="186"/>
      <c r="AE478" s="186"/>
      <c r="AF478" s="186"/>
    </row>
    <row r="479">
      <c r="A479" s="227">
        <v>1.0</v>
      </c>
      <c r="B479" s="228" t="s">
        <v>2824</v>
      </c>
      <c r="C479" s="44">
        <v>477.0</v>
      </c>
      <c r="D479" s="228">
        <v>10.0</v>
      </c>
      <c r="E479" s="242">
        <v>43748.0</v>
      </c>
      <c r="F479" s="253" t="str">
        <f>HYPERLINK("https://bisnis.tempo.co/read/1257907/kementerian-pppa-minta-pt-kai-seret-pelaku-pelecehan-ke-penegak-hukum","Sumber")</f>
        <v>Sumber</v>
      </c>
      <c r="G479" s="229" t="str">
        <f>HYPERLINK("https://drive.google.com/open?id=13S1iCdDGjrw_vj1z1tGNT9IlPMOddWmg","Lokasi")</f>
        <v>Lokasi</v>
      </c>
      <c r="H479" s="228">
        <v>351.0</v>
      </c>
      <c r="I479" s="52">
        <v>4.0</v>
      </c>
      <c r="J479" s="52">
        <v>1.0</v>
      </c>
      <c r="K479" s="244" t="s">
        <v>2825</v>
      </c>
      <c r="L479" s="52">
        <v>0.0</v>
      </c>
      <c r="M479" s="52">
        <v>0.0</v>
      </c>
      <c r="N479" s="231">
        <v>0.0</v>
      </c>
      <c r="O479" s="52">
        <v>0.0</v>
      </c>
      <c r="P479" s="52">
        <v>0.0</v>
      </c>
      <c r="Q479" s="187" t="s">
        <v>53</v>
      </c>
      <c r="R479" s="52" t="s">
        <v>392</v>
      </c>
      <c r="S479" s="232"/>
      <c r="T479" s="52">
        <v>0.0</v>
      </c>
      <c r="U479" s="52">
        <v>0.0</v>
      </c>
      <c r="V479" s="52">
        <v>0.0</v>
      </c>
      <c r="W479" s="9"/>
      <c r="X479" s="9"/>
      <c r="Y479" s="9"/>
      <c r="Z479" s="9"/>
      <c r="AA479" s="9"/>
      <c r="AB479" s="9"/>
      <c r="AC479" s="9"/>
      <c r="AD479" s="9"/>
      <c r="AE479" s="9"/>
      <c r="AF479" s="9"/>
    </row>
    <row r="480">
      <c r="A480" s="222">
        <v>2.0</v>
      </c>
      <c r="B480" s="223" t="s">
        <v>2826</v>
      </c>
      <c r="C480" s="47">
        <v>478.0</v>
      </c>
      <c r="D480" s="223" t="s">
        <v>2698</v>
      </c>
      <c r="E480" s="233">
        <v>43785.0</v>
      </c>
      <c r="F480" s="234" t="str">
        <f>HYPERLINK("https://www.suara.com/news/2019/11/16/133507/bunuh-putranya-ayah-lebih-baik-mati-daripada-punya-anak-gay","Sumber")</f>
        <v>Sumber</v>
      </c>
      <c r="G480" s="43" t="s">
        <v>2696</v>
      </c>
      <c r="H480" s="223">
        <v>226.0</v>
      </c>
      <c r="I480" s="51"/>
      <c r="J480" s="51"/>
      <c r="K480" s="226"/>
      <c r="L480" s="51"/>
      <c r="M480" s="51"/>
      <c r="N480" s="51"/>
      <c r="O480" s="51"/>
      <c r="P480" s="51"/>
      <c r="Q480" s="51"/>
      <c r="R480" s="51"/>
      <c r="S480" s="226"/>
      <c r="T480" s="51"/>
      <c r="U480" s="51"/>
      <c r="V480" s="51"/>
      <c r="W480" s="51"/>
      <c r="X480" s="51"/>
      <c r="Y480" s="51"/>
      <c r="Z480" s="51"/>
      <c r="AA480" s="51"/>
      <c r="AB480" s="51"/>
      <c r="AC480" s="51"/>
      <c r="AD480" s="51"/>
      <c r="AE480" s="51"/>
      <c r="AF480" s="51"/>
    </row>
    <row r="481">
      <c r="A481" s="176">
        <v>1.0</v>
      </c>
      <c r="B481" s="237" t="s">
        <v>2827</v>
      </c>
      <c r="C481" s="178">
        <v>479.0</v>
      </c>
      <c r="D481" s="216">
        <v>6.0</v>
      </c>
      <c r="E481" s="238">
        <v>43787.0</v>
      </c>
      <c r="F481" s="239" t="str">
        <f>HYPERLINK("https://regional.kompas.com/read/2019/11/18/14152231/pelaku-pelemparan-sperma-di-tasikmalaya-ditangkap","Sumber")</f>
        <v>Sumber</v>
      </c>
      <c r="G481" s="218" t="str">
        <f>HYPERLINK("https://drive.google.com/open?id=1f5mzdXWCJSu-pE5BwRu4y1jbyqrZ9NBx","Lokasi")</f>
        <v>Lokasi</v>
      </c>
      <c r="H481" s="240">
        <v>272.0</v>
      </c>
      <c r="I481" s="185">
        <v>1.0</v>
      </c>
      <c r="J481" s="185">
        <v>1.0</v>
      </c>
      <c r="K481" s="219" t="s">
        <v>2828</v>
      </c>
      <c r="L481" s="185">
        <v>0.0</v>
      </c>
      <c r="M481" s="185">
        <v>-1.0</v>
      </c>
      <c r="N481" s="220">
        <v>0.0</v>
      </c>
      <c r="O481" s="185">
        <v>1.0</v>
      </c>
      <c r="P481" s="185">
        <v>-1.0</v>
      </c>
      <c r="Q481" s="185" t="s">
        <v>119</v>
      </c>
      <c r="R481" s="185" t="s">
        <v>61</v>
      </c>
      <c r="S481" s="219" t="s">
        <v>2829</v>
      </c>
      <c r="T481" s="185">
        <v>1.0</v>
      </c>
      <c r="U481" s="185">
        <v>0.0</v>
      </c>
      <c r="V481" s="185">
        <v>0.0</v>
      </c>
      <c r="W481" s="186"/>
      <c r="X481" s="186"/>
      <c r="Y481" s="186"/>
      <c r="Z481" s="186"/>
      <c r="AA481" s="186"/>
      <c r="AB481" s="186"/>
      <c r="AC481" s="186"/>
      <c r="AD481" s="186"/>
      <c r="AE481" s="186"/>
      <c r="AF481" s="186"/>
    </row>
    <row r="482">
      <c r="A482" s="227">
        <v>1.0</v>
      </c>
      <c r="B482" s="228" t="s">
        <v>2830</v>
      </c>
      <c r="C482" s="44">
        <v>480.0</v>
      </c>
      <c r="D482" s="228" t="s">
        <v>2698</v>
      </c>
      <c r="E482" s="242">
        <v>43787.0</v>
      </c>
      <c r="F482" s="253" t="str">
        <f>HYPERLINK("https://www.suara.com/health/2019/11/18/152115/bisakah-gangguan-eksibisionisme-dideteksi-ini-jawaban-seksolog","Sumber")</f>
        <v>Sumber</v>
      </c>
      <c r="G482" s="229" t="str">
        <f>HYPERLINK("https://drive.google.com/open?id=1_gp_HYSFcnomQwJZLmVaQj2Lgt9J3LD6","Lokasi")</f>
        <v>Lokasi</v>
      </c>
      <c r="H482" s="228">
        <v>224.0</v>
      </c>
      <c r="I482" s="52">
        <v>5.0</v>
      </c>
      <c r="J482" s="52">
        <v>1.0</v>
      </c>
      <c r="K482" s="244" t="s">
        <v>2831</v>
      </c>
      <c r="L482" s="52">
        <v>0.0</v>
      </c>
      <c r="M482" s="52">
        <v>0.0</v>
      </c>
      <c r="N482" s="231">
        <v>0.0</v>
      </c>
      <c r="O482" s="52">
        <v>1.0</v>
      </c>
      <c r="P482" s="52">
        <v>0.0</v>
      </c>
      <c r="Q482" s="52" t="s">
        <v>61</v>
      </c>
      <c r="R482" s="52" t="s">
        <v>61</v>
      </c>
      <c r="S482" s="244" t="s">
        <v>2832</v>
      </c>
      <c r="T482" s="52">
        <v>2.0</v>
      </c>
      <c r="U482" s="52">
        <v>0.0</v>
      </c>
      <c r="V482" s="52">
        <v>1.0</v>
      </c>
      <c r="W482" s="9"/>
      <c r="X482" s="9"/>
      <c r="Y482" s="9"/>
      <c r="Z482" s="9"/>
      <c r="AA482" s="9"/>
      <c r="AB482" s="9"/>
      <c r="AC482" s="9"/>
      <c r="AD482" s="9"/>
      <c r="AE482" s="9"/>
      <c r="AF482" s="9"/>
    </row>
    <row r="483">
      <c r="A483" s="176">
        <v>1.0</v>
      </c>
      <c r="B483" s="237" t="s">
        <v>2833</v>
      </c>
      <c r="C483" s="178">
        <v>481.0</v>
      </c>
      <c r="D483" s="216" t="s">
        <v>2707</v>
      </c>
      <c r="E483" s="238">
        <v>43788.0</v>
      </c>
      <c r="F483" s="239" t="str">
        <f>HYPERLINK("https://nasional.republika.co.id/berita/q17eo2335/pelempar-sperma-di-tasikmalaya-jadi-tersangka","Sumber")</f>
        <v>Sumber</v>
      </c>
      <c r="G483" s="218" t="str">
        <f>HYPERLINK("https://drive.google.com/open?id=1P5rZ1gyJWqjzHO-rMftLRNi68FKbxHPx","Lokasi")</f>
        <v>Lokasi</v>
      </c>
      <c r="H483" s="240">
        <v>231.0</v>
      </c>
      <c r="I483" s="185">
        <v>1.0</v>
      </c>
      <c r="J483" s="185">
        <v>1.0</v>
      </c>
      <c r="K483" s="260" t="s">
        <v>2834</v>
      </c>
      <c r="L483" s="185">
        <v>0.0</v>
      </c>
      <c r="M483" s="185">
        <v>0.0</v>
      </c>
      <c r="N483" s="220">
        <v>0.0</v>
      </c>
      <c r="O483" s="185">
        <v>1.0</v>
      </c>
      <c r="P483" s="185">
        <v>-1.0</v>
      </c>
      <c r="Q483" s="185">
        <v>0.0</v>
      </c>
      <c r="R483" s="185">
        <v>0.0</v>
      </c>
      <c r="S483" s="221"/>
      <c r="T483" s="185">
        <v>0.0</v>
      </c>
      <c r="U483" s="185">
        <v>0.0</v>
      </c>
      <c r="V483" s="185">
        <v>0.0</v>
      </c>
      <c r="W483" s="186"/>
      <c r="X483" s="186"/>
      <c r="Y483" s="186"/>
      <c r="Z483" s="186"/>
      <c r="AA483" s="186"/>
      <c r="AB483" s="186"/>
      <c r="AC483" s="186"/>
      <c r="AD483" s="186"/>
      <c r="AE483" s="186"/>
      <c r="AF483" s="186"/>
    </row>
    <row r="484">
      <c r="A484" s="176">
        <v>1.0</v>
      </c>
      <c r="B484" s="237" t="s">
        <v>2835</v>
      </c>
      <c r="C484" s="178">
        <v>482.0</v>
      </c>
      <c r="D484" s="216" t="s">
        <v>2724</v>
      </c>
      <c r="E484" s="238">
        <v>43790.0</v>
      </c>
      <c r="F484" s="239" t="str">
        <f>HYPERLINK("https://regional.kompas.com/read/2019/11/21/05230081/akhir-perjalanan-sn-pelaku-pelemparan-sperma-dan-begal-payudara-di","Sumber")</f>
        <v>Sumber</v>
      </c>
      <c r="G484" s="218" t="str">
        <f>HYPERLINK("https://drive.google.com/open?id=1kSHyEG9T-2z-DoMs3CCMwuUPuOC1KOPf","Lokasi")</f>
        <v>Lokasi</v>
      </c>
      <c r="H484" s="240">
        <v>245.0</v>
      </c>
      <c r="I484" s="185">
        <v>1.0</v>
      </c>
      <c r="J484" s="185">
        <v>1.0</v>
      </c>
      <c r="K484" s="219" t="s">
        <v>2836</v>
      </c>
      <c r="L484" s="185">
        <v>0.0</v>
      </c>
      <c r="M484" s="185">
        <v>0.0</v>
      </c>
      <c r="N484" s="220">
        <v>0.0</v>
      </c>
      <c r="O484" s="185">
        <v>1.0</v>
      </c>
      <c r="P484" s="185">
        <v>-1.0</v>
      </c>
      <c r="Q484" s="185" t="s">
        <v>53</v>
      </c>
      <c r="R484" s="185" t="s">
        <v>53</v>
      </c>
      <c r="S484" s="219" t="s">
        <v>2837</v>
      </c>
      <c r="T484" s="185">
        <v>8.0</v>
      </c>
      <c r="U484" s="185">
        <v>0.0</v>
      </c>
      <c r="V484" s="185">
        <v>0.0</v>
      </c>
      <c r="W484" s="186"/>
      <c r="X484" s="186"/>
      <c r="Y484" s="186"/>
      <c r="Z484" s="186"/>
      <c r="AA484" s="186"/>
      <c r="AB484" s="186"/>
      <c r="AC484" s="186"/>
      <c r="AD484" s="186"/>
      <c r="AE484" s="186"/>
      <c r="AF484" s="186"/>
    </row>
    <row r="485">
      <c r="A485" s="227">
        <v>1.0</v>
      </c>
      <c r="B485" s="228" t="s">
        <v>2838</v>
      </c>
      <c r="C485" s="44">
        <v>483.0</v>
      </c>
      <c r="D485" s="228" t="s">
        <v>2709</v>
      </c>
      <c r="E485" s="242">
        <v>43790.0</v>
      </c>
      <c r="F485" s="253" t="str">
        <f>HYPERLINK("https://news.okezone.com/read/2019/11/20/610/2132431/kecanduan-film-porno-remaja-cabuli-keponakan-yang-masih-sd","Sumber")</f>
        <v>Sumber</v>
      </c>
      <c r="G485" s="229" t="str">
        <f>HYPERLINK("https://drive.google.com/open?id=1UlnIFxIvbJSCBL8fX5cqJ2UOI6VFFsDp","Lokasi")</f>
        <v>Lokasi</v>
      </c>
      <c r="H485" s="228">
        <v>231.0</v>
      </c>
      <c r="I485" s="52">
        <v>1.0</v>
      </c>
      <c r="J485" s="52">
        <v>1.0</v>
      </c>
      <c r="K485" s="244" t="s">
        <v>2839</v>
      </c>
      <c r="L485" s="52">
        <v>0.0</v>
      </c>
      <c r="M485" s="52">
        <v>0.0</v>
      </c>
      <c r="N485" s="231">
        <v>0.0</v>
      </c>
      <c r="O485" s="52">
        <v>1.0</v>
      </c>
      <c r="P485" s="52">
        <v>0.0</v>
      </c>
      <c r="Q485" s="52" t="s">
        <v>61</v>
      </c>
      <c r="R485" s="52" t="s">
        <v>61</v>
      </c>
      <c r="S485" s="232"/>
      <c r="T485" s="52">
        <v>0.0</v>
      </c>
      <c r="U485" s="52">
        <v>0.0</v>
      </c>
      <c r="V485" s="52">
        <v>0.0</v>
      </c>
      <c r="W485" s="9"/>
      <c r="X485" s="9"/>
      <c r="Y485" s="9"/>
      <c r="Z485" s="9"/>
      <c r="AA485" s="9"/>
      <c r="AB485" s="9"/>
      <c r="AC485" s="9"/>
      <c r="AD485" s="9"/>
      <c r="AE485" s="9"/>
      <c r="AF485" s="9"/>
    </row>
    <row r="486">
      <c r="A486" s="222">
        <v>2.0</v>
      </c>
      <c r="B486" s="223" t="s">
        <v>2840</v>
      </c>
      <c r="C486" s="47">
        <v>484.0</v>
      </c>
      <c r="D486" s="223" t="s">
        <v>2707</v>
      </c>
      <c r="E486" s="233">
        <v>43790.0</v>
      </c>
      <c r="F486" s="234" t="str">
        <f>HYPERLINK("https://bola.republika.co.id/berita/q1b4a7438/pesepak-bola-belanda-protes-rasisme-dengan-berhenti-bermain","Sumber")</f>
        <v>Sumber</v>
      </c>
      <c r="G486" s="43" t="s">
        <v>2696</v>
      </c>
      <c r="H486" s="223">
        <v>240.0</v>
      </c>
      <c r="I486" s="51"/>
      <c r="J486" s="51"/>
      <c r="K486" s="226"/>
      <c r="L486" s="51"/>
      <c r="M486" s="51"/>
      <c r="N486" s="51"/>
      <c r="O486" s="51"/>
      <c r="P486" s="51"/>
      <c r="Q486" s="51"/>
      <c r="R486" s="51"/>
      <c r="S486" s="226"/>
      <c r="T486" s="51"/>
      <c r="U486" s="51"/>
      <c r="V486" s="51"/>
      <c r="W486" s="51"/>
      <c r="X486" s="51"/>
      <c r="Y486" s="51"/>
      <c r="Z486" s="51"/>
      <c r="AA486" s="51"/>
      <c r="AB486" s="51"/>
      <c r="AC486" s="51"/>
      <c r="AD486" s="51"/>
      <c r="AE486" s="51"/>
      <c r="AF486" s="51"/>
    </row>
    <row r="487">
      <c r="A487" s="227">
        <v>1.0</v>
      </c>
      <c r="B487" s="228" t="s">
        <v>2841</v>
      </c>
      <c r="C487" s="44">
        <v>485.0</v>
      </c>
      <c r="D487" s="228">
        <v>6.0</v>
      </c>
      <c r="E487" s="242">
        <v>43791.0</v>
      </c>
      <c r="F487" s="253" t="str">
        <f>HYPERLINK("https://megapolitan.kompas.com/read/2019/11/22/11301031/lpsk-akan-dorong-polisi-tangkap-pelaku-pemerkosaan-anak-oleh-ayah-tiri","Sumber")</f>
        <v>Sumber</v>
      </c>
      <c r="G487" s="229" t="str">
        <f>HYPERLINK("https://drive.google.com/open?id=1MHlM-gCpKqw0ZWLWIzw_Ut_tXIlRv3pm","Lokasi")</f>
        <v>Lokasi</v>
      </c>
      <c r="H487" s="228">
        <v>291.0</v>
      </c>
      <c r="I487" s="52">
        <v>1.0</v>
      </c>
      <c r="J487" s="52">
        <v>1.0</v>
      </c>
      <c r="K487" s="244" t="s">
        <v>2842</v>
      </c>
      <c r="L487" s="52">
        <v>0.0</v>
      </c>
      <c r="M487" s="52">
        <v>-1.0</v>
      </c>
      <c r="N487" s="231">
        <v>0.0</v>
      </c>
      <c r="O487" s="52">
        <v>1.0</v>
      </c>
      <c r="P487" s="52">
        <v>0.0</v>
      </c>
      <c r="Q487" s="52">
        <v>0.0</v>
      </c>
      <c r="R487" s="52">
        <v>0.0</v>
      </c>
      <c r="S487" s="232"/>
      <c r="T487" s="52">
        <v>0.0</v>
      </c>
      <c r="U487" s="52">
        <v>0.0</v>
      </c>
      <c r="V487" s="52">
        <v>0.0</v>
      </c>
      <c r="W487" s="9"/>
      <c r="X487" s="9"/>
      <c r="Y487" s="9"/>
      <c r="Z487" s="9"/>
      <c r="AA487" s="9"/>
      <c r="AB487" s="9"/>
      <c r="AC487" s="9"/>
      <c r="AD487" s="9"/>
      <c r="AE487" s="9"/>
      <c r="AF487" s="9"/>
    </row>
    <row r="488">
      <c r="A488" s="176">
        <v>1.0</v>
      </c>
      <c r="B488" s="237" t="s">
        <v>2843</v>
      </c>
      <c r="C488" s="178">
        <v>486.0</v>
      </c>
      <c r="D488" s="216" t="s">
        <v>2709</v>
      </c>
      <c r="E488" s="238">
        <v>43792.0</v>
      </c>
      <c r="F488" s="239" t="str">
        <f>HYPERLINK("https://news.okezone.com/read/2019/11/23/18/2133557/perempuan-korban-kdrt-minta-bantuan-dengan-pura-pura-memesan-piza","Sumber")</f>
        <v>Sumber</v>
      </c>
      <c r="G488" s="218" t="str">
        <f>HYPERLINK("https://drive.google.com/open?id=1Asn8-scR-Puk03cyY0OBv2ty4CpUAoEe","Lokasi")</f>
        <v>Lokasi</v>
      </c>
      <c r="H488" s="240">
        <v>592.0</v>
      </c>
      <c r="I488" s="185">
        <v>1.0</v>
      </c>
      <c r="J488" s="185">
        <v>1.0</v>
      </c>
      <c r="K488" s="219" t="s">
        <v>2844</v>
      </c>
      <c r="L488" s="185">
        <v>0.0</v>
      </c>
      <c r="M488" s="185">
        <v>0.0</v>
      </c>
      <c r="N488" s="220">
        <v>0.0</v>
      </c>
      <c r="O488" s="185">
        <v>0.0</v>
      </c>
      <c r="P488" s="185">
        <v>0.0</v>
      </c>
      <c r="Q488" s="185" t="s">
        <v>61</v>
      </c>
      <c r="R488" s="185" t="s">
        <v>61</v>
      </c>
      <c r="S488" s="221"/>
      <c r="T488" s="185">
        <v>0.0</v>
      </c>
      <c r="U488" s="185">
        <v>0.0</v>
      </c>
      <c r="V488" s="185">
        <v>0.0</v>
      </c>
      <c r="W488" s="186"/>
      <c r="X488" s="186"/>
      <c r="Y488" s="186"/>
      <c r="Z488" s="186"/>
      <c r="AA488" s="186"/>
      <c r="AB488" s="186"/>
      <c r="AC488" s="186"/>
      <c r="AD488" s="186"/>
      <c r="AE488" s="186"/>
      <c r="AF488" s="186"/>
    </row>
    <row r="489">
      <c r="A489" s="222">
        <v>2.0</v>
      </c>
      <c r="B489" s="223" t="s">
        <v>2845</v>
      </c>
      <c r="C489" s="47">
        <v>487.0</v>
      </c>
      <c r="D489" s="223">
        <v>10.0</v>
      </c>
      <c r="E489" s="233">
        <v>43793.0</v>
      </c>
      <c r="F489" s="234" t="str">
        <f>HYPERLINK("https://nasional.tempo.co/read/1275989/skb-11-instansi-soal-radikalisme-haris-azhar-ini-seperti-1965","Sumber")</f>
        <v>Sumber</v>
      </c>
      <c r="G489" s="43" t="s">
        <v>2696</v>
      </c>
      <c r="H489" s="223">
        <v>669.0</v>
      </c>
      <c r="I489" s="51"/>
      <c r="J489" s="51"/>
      <c r="K489" s="226"/>
      <c r="L489" s="51"/>
      <c r="M489" s="51"/>
      <c r="N489" s="51"/>
      <c r="O489" s="51"/>
      <c r="P489" s="51"/>
      <c r="Q489" s="51"/>
      <c r="R489" s="51"/>
      <c r="S489" s="226"/>
      <c r="T489" s="51"/>
      <c r="U489" s="51"/>
      <c r="V489" s="51"/>
      <c r="W489" s="51"/>
      <c r="X489" s="51"/>
      <c r="Y489" s="51"/>
      <c r="Z489" s="51"/>
      <c r="AA489" s="51"/>
      <c r="AB489" s="51"/>
      <c r="AC489" s="51"/>
      <c r="AD489" s="51"/>
      <c r="AE489" s="51"/>
      <c r="AF489" s="51"/>
    </row>
    <row r="490">
      <c r="A490" s="227">
        <v>1.0</v>
      </c>
      <c r="B490" s="228" t="s">
        <v>2846</v>
      </c>
      <c r="C490" s="44">
        <v>488.0</v>
      </c>
      <c r="D490" s="228" t="s">
        <v>2707</v>
      </c>
      <c r="E490" s="242">
        <v>43794.0</v>
      </c>
      <c r="F490" s="253" t="str">
        <f>HYPERLINK("https://nasional.republika.co.id/berita/q1itky384/komnas-perempuan-indonesia-darurat-kekerasan-seksual","Sumber")</f>
        <v>Sumber</v>
      </c>
      <c r="G490" s="229" t="str">
        <f>HYPERLINK("https://drive.google.com/open?id=1EKm5E6KI3yXOS76ff-C5CzdHB54GNvT9","Lokasi")</f>
        <v>Lokasi</v>
      </c>
      <c r="H490" s="228">
        <v>38.0</v>
      </c>
      <c r="I490" s="52">
        <v>3.0</v>
      </c>
      <c r="J490" s="52">
        <v>1.0</v>
      </c>
      <c r="K490" s="244" t="s">
        <v>2847</v>
      </c>
      <c r="L490" s="52">
        <v>0.0</v>
      </c>
      <c r="M490" s="52">
        <v>0.0</v>
      </c>
      <c r="N490" s="231">
        <v>0.0</v>
      </c>
      <c r="O490" s="52">
        <v>0.0</v>
      </c>
      <c r="P490" s="52">
        <v>0.0</v>
      </c>
      <c r="Q490" s="52" t="s">
        <v>1058</v>
      </c>
      <c r="R490" s="52" t="s">
        <v>1058</v>
      </c>
      <c r="S490" s="232"/>
      <c r="T490" s="52">
        <v>0.0</v>
      </c>
      <c r="U490" s="52">
        <v>0.0</v>
      </c>
      <c r="V490" s="52">
        <v>1.0</v>
      </c>
      <c r="W490" s="9"/>
      <c r="X490" s="9"/>
      <c r="Y490" s="9"/>
      <c r="Z490" s="9"/>
      <c r="AA490" s="9"/>
      <c r="AB490" s="9"/>
      <c r="AC490" s="9"/>
      <c r="AD490" s="9"/>
      <c r="AE490" s="9"/>
      <c r="AF490" s="9"/>
    </row>
    <row r="491">
      <c r="A491" s="227">
        <v>1.0</v>
      </c>
      <c r="B491" s="228" t="s">
        <v>2848</v>
      </c>
      <c r="C491" s="44">
        <v>489.0</v>
      </c>
      <c r="D491" s="228" t="s">
        <v>2698</v>
      </c>
      <c r="E491" s="242">
        <v>43795.0</v>
      </c>
      <c r="F491" s="253" t="str">
        <f>HYPERLINK("https://www.suara.com/lifestyle/2019/11/26/141427/kampanye-16-hari-anti-kekerasan-terhadap-perempuan-digelar","Sumber")</f>
        <v>Sumber</v>
      </c>
      <c r="G491" s="229" t="str">
        <f>HYPERLINK("https://drive.google.com/open?id=1RYQfYZLunBoMrfltm4E9yteAYT0hU9IF","Lokasi")</f>
        <v>Lokasi</v>
      </c>
      <c r="H491" s="228">
        <v>340.0</v>
      </c>
      <c r="I491" s="52">
        <v>3.0</v>
      </c>
      <c r="J491" s="52">
        <v>1.0</v>
      </c>
      <c r="K491" s="244" t="s">
        <v>2849</v>
      </c>
      <c r="L491" s="52">
        <v>0.0</v>
      </c>
      <c r="M491" s="52">
        <v>0.0</v>
      </c>
      <c r="N491" s="231">
        <v>0.0</v>
      </c>
      <c r="O491" s="52">
        <v>0.0</v>
      </c>
      <c r="P491" s="52">
        <v>0.0</v>
      </c>
      <c r="Q491" s="52" t="s">
        <v>214</v>
      </c>
      <c r="R491" s="52" t="s">
        <v>192</v>
      </c>
      <c r="S491" s="232"/>
      <c r="T491" s="52">
        <v>0.0</v>
      </c>
      <c r="U491" s="52">
        <v>0.0</v>
      </c>
      <c r="V491" s="52">
        <v>1.0</v>
      </c>
      <c r="W491" s="9"/>
      <c r="X491" s="9"/>
      <c r="Y491" s="9"/>
      <c r="Z491" s="9"/>
      <c r="AA491" s="9"/>
      <c r="AB491" s="9"/>
      <c r="AC491" s="9"/>
      <c r="AD491" s="9"/>
      <c r="AE491" s="9"/>
      <c r="AF491" s="9"/>
    </row>
    <row r="492">
      <c r="A492" s="227">
        <v>1.0</v>
      </c>
      <c r="B492" s="228" t="s">
        <v>2850</v>
      </c>
      <c r="C492" s="44">
        <v>490.0</v>
      </c>
      <c r="D492" s="228" t="s">
        <v>2704</v>
      </c>
      <c r="E492" s="242">
        <v>43818.0</v>
      </c>
      <c r="F492" s="253" t="str">
        <f>HYPERLINK("https://tirto.id/ugm-bohong-lagi-rektor-panut-lamban-teken-aturan-kekerasan-seksual-enJL","Sumber")</f>
        <v>Sumber</v>
      </c>
      <c r="G492" s="229" t="str">
        <f>HYPERLINK("https://drive.google.com/open?id=1_MVOFqyne3fbOpowGezx7ChNbvj7_VLR","Lokasi")</f>
        <v>Lokasi</v>
      </c>
      <c r="H492" s="228">
        <v>1557.0</v>
      </c>
      <c r="I492" s="52">
        <v>4.0</v>
      </c>
      <c r="J492" s="52">
        <v>1.0</v>
      </c>
      <c r="K492" s="261" t="s">
        <v>2851</v>
      </c>
      <c r="L492" s="52">
        <v>0.0</v>
      </c>
      <c r="M492" s="52">
        <v>0.0</v>
      </c>
      <c r="N492" s="231">
        <v>0.0</v>
      </c>
      <c r="O492" s="52">
        <v>0.0</v>
      </c>
      <c r="P492" s="52">
        <v>0.0</v>
      </c>
      <c r="Q492" s="52" t="s">
        <v>887</v>
      </c>
      <c r="R492" s="262" t="s">
        <v>2852</v>
      </c>
      <c r="S492" s="232"/>
      <c r="T492" s="52">
        <v>0.0</v>
      </c>
      <c r="U492" s="52">
        <v>0.0</v>
      </c>
      <c r="V492" s="52">
        <v>1.0</v>
      </c>
      <c r="W492" s="9"/>
      <c r="X492" s="9"/>
      <c r="Y492" s="9"/>
      <c r="Z492" s="9"/>
      <c r="AA492" s="9"/>
      <c r="AB492" s="9"/>
      <c r="AC492" s="9"/>
      <c r="AD492" s="9"/>
      <c r="AE492" s="9"/>
      <c r="AF492" s="9"/>
    </row>
    <row r="493">
      <c r="A493" s="189">
        <v>1.0</v>
      </c>
      <c r="B493" s="245" t="s">
        <v>2853</v>
      </c>
      <c r="C493" s="55">
        <v>491.0</v>
      </c>
      <c r="D493" s="246" t="s">
        <v>2692</v>
      </c>
      <c r="E493" s="247">
        <v>43822.0</v>
      </c>
      <c r="F493" s="248" t="str">
        <f>HYPERLINK("https://www.liputan6.com/bisnis/read/4140180/lawan-pelecehan-seksual-kementerian-bumn-luncurkan-gerakan-saya-berani","Sumber")</f>
        <v>Sumber</v>
      </c>
      <c r="G493" s="249" t="str">
        <f>HYPERLINK("https://drive.google.com/open?id=17qDOJ0S8b44xYTgeHJR9F3FqiipmXtGO","Lokasi")</f>
        <v>Lokasi</v>
      </c>
      <c r="H493" s="250">
        <v>541.0</v>
      </c>
      <c r="I493" s="30">
        <v>4.0</v>
      </c>
      <c r="J493" s="30">
        <v>1.0</v>
      </c>
      <c r="K493" s="251" t="s">
        <v>2854</v>
      </c>
      <c r="L493" s="30">
        <v>0.0</v>
      </c>
      <c r="M493" s="30">
        <v>0.0</v>
      </c>
      <c r="N493" s="252">
        <v>0.0</v>
      </c>
      <c r="O493" s="30">
        <v>0.0</v>
      </c>
      <c r="P493" s="30">
        <v>0.0</v>
      </c>
      <c r="Q493" s="30" t="s">
        <v>53</v>
      </c>
      <c r="R493" s="30" t="s">
        <v>392</v>
      </c>
      <c r="S493" s="255"/>
      <c r="T493" s="30">
        <v>0.0</v>
      </c>
      <c r="U493" s="30">
        <v>0.0</v>
      </c>
      <c r="V493" s="30">
        <v>1.0</v>
      </c>
      <c r="W493" s="31"/>
      <c r="X493" s="31"/>
      <c r="Y493" s="31"/>
      <c r="Z493" s="31"/>
      <c r="AA493" s="31"/>
      <c r="AB493" s="31"/>
      <c r="AC493" s="31"/>
      <c r="AD493" s="31"/>
      <c r="AE493" s="31"/>
      <c r="AF493" s="31"/>
    </row>
    <row r="494">
      <c r="A494" s="189">
        <v>1.0</v>
      </c>
      <c r="B494" s="245" t="s">
        <v>2855</v>
      </c>
      <c r="C494" s="55">
        <v>498.0</v>
      </c>
      <c r="D494" s="246">
        <v>10.0</v>
      </c>
      <c r="E494" s="247">
        <v>43822.0</v>
      </c>
      <c r="F494" s="248" t="str">
        <f>HYPERLINK("https://cantik.tempo.co/read/1287141/dukungan-erick-thohir-untuk-perempuan-hentikan-pelecehan-seksual","Sumber")</f>
        <v>Sumber</v>
      </c>
      <c r="G494" s="249" t="str">
        <f>HYPERLINK("https://drive.google.com/open?id=1LxsnyyQf4IivDQlAzBxdHcDX_am2CW3w","Lokasi")</f>
        <v>Lokasi</v>
      </c>
      <c r="H494" s="250">
        <v>242.0</v>
      </c>
      <c r="I494" s="30">
        <v>4.0</v>
      </c>
      <c r="J494" s="30">
        <v>1.0</v>
      </c>
      <c r="K494" s="251" t="s">
        <v>2856</v>
      </c>
      <c r="L494" s="30">
        <v>0.0</v>
      </c>
      <c r="M494" s="30">
        <v>0.0</v>
      </c>
      <c r="N494" s="252">
        <v>0.0</v>
      </c>
      <c r="O494" s="30">
        <v>0.0</v>
      </c>
      <c r="P494" s="30">
        <v>0.0</v>
      </c>
      <c r="Q494" s="30">
        <v>0.0</v>
      </c>
      <c r="R494" s="30">
        <v>1.0</v>
      </c>
      <c r="S494" s="255"/>
      <c r="T494" s="30">
        <v>0.0</v>
      </c>
      <c r="U494" s="30">
        <v>0.0</v>
      </c>
      <c r="V494" s="30">
        <v>1.0</v>
      </c>
      <c r="W494" s="31"/>
      <c r="X494" s="31"/>
      <c r="Y494" s="31"/>
      <c r="Z494" s="31"/>
      <c r="AA494" s="31"/>
      <c r="AB494" s="31"/>
      <c r="AC494" s="31"/>
      <c r="AD494" s="31"/>
      <c r="AE494" s="31"/>
      <c r="AF494" s="31"/>
    </row>
    <row r="495">
      <c r="A495" s="222">
        <v>2.0</v>
      </c>
      <c r="B495" s="223" t="s">
        <v>2857</v>
      </c>
      <c r="C495" s="47">
        <v>492.0</v>
      </c>
      <c r="D495" s="223" t="s">
        <v>2709</v>
      </c>
      <c r="E495" s="233">
        <v>43823.0</v>
      </c>
      <c r="F495" s="234" t="str">
        <f>HYPERLINK("https://celebrity.okezone.com/read/2019/12/24/33/2145646/bibi-ardiansyah-jawab-tudingan-nikah-settingan-vanessa-angel","Sumber")</f>
        <v>Sumber</v>
      </c>
      <c r="G495" s="43" t="s">
        <v>2696</v>
      </c>
      <c r="H495" s="223">
        <v>328.0</v>
      </c>
      <c r="I495" s="51"/>
      <c r="J495" s="51"/>
      <c r="K495" s="226"/>
      <c r="L495" s="51"/>
      <c r="M495" s="51"/>
      <c r="N495" s="51"/>
      <c r="O495" s="51"/>
      <c r="P495" s="51"/>
      <c r="Q495" s="51"/>
      <c r="R495" s="51"/>
      <c r="S495" s="226"/>
      <c r="T495" s="51"/>
      <c r="U495" s="51"/>
      <c r="V495" s="51"/>
      <c r="W495" s="51"/>
      <c r="X495" s="51"/>
      <c r="Y495" s="51"/>
      <c r="Z495" s="51"/>
      <c r="AA495" s="51"/>
      <c r="AB495" s="51"/>
      <c r="AC495" s="51"/>
      <c r="AD495" s="51"/>
      <c r="AE495" s="51"/>
      <c r="AF495" s="51"/>
    </row>
    <row r="496">
      <c r="A496" s="222">
        <v>2.0</v>
      </c>
      <c r="B496" s="223" t="s">
        <v>2858</v>
      </c>
      <c r="C496" s="47">
        <v>493.0</v>
      </c>
      <c r="D496" s="223">
        <v>1.0</v>
      </c>
      <c r="E496" s="233">
        <v>43825.0</v>
      </c>
      <c r="F496" s="234" t="str">
        <f>HYPERLINK("https://hot.detik.com/kpop/d-4836483/k-talk-spesial-kaleidoskop-comeback-skandal-hingga-duka","Sumber")</f>
        <v>Sumber</v>
      </c>
      <c r="G496" s="43" t="s">
        <v>2696</v>
      </c>
      <c r="H496" s="223">
        <v>749.0</v>
      </c>
      <c r="I496" s="51"/>
      <c r="J496" s="51"/>
      <c r="K496" s="226"/>
      <c r="L496" s="51"/>
      <c r="M496" s="51"/>
      <c r="N496" s="51"/>
      <c r="O496" s="51"/>
      <c r="P496" s="51"/>
      <c r="Q496" s="51"/>
      <c r="R496" s="51"/>
      <c r="S496" s="226"/>
      <c r="T496" s="51"/>
      <c r="U496" s="51"/>
      <c r="V496" s="51"/>
      <c r="W496" s="51"/>
      <c r="X496" s="51"/>
      <c r="Y496" s="51"/>
      <c r="Z496" s="51"/>
      <c r="AA496" s="51"/>
      <c r="AB496" s="51"/>
      <c r="AC496" s="51"/>
      <c r="AD496" s="51"/>
      <c r="AE496" s="51"/>
      <c r="AF496" s="51"/>
    </row>
    <row r="497">
      <c r="A497" s="176">
        <v>1.0</v>
      </c>
      <c r="B497" s="237" t="s">
        <v>2859</v>
      </c>
      <c r="C497" s="178">
        <v>494.0</v>
      </c>
      <c r="D497" s="216">
        <v>6.0</v>
      </c>
      <c r="E497" s="238">
        <v>43826.0</v>
      </c>
      <c r="F497" s="239" t="str">
        <f>HYPERLINK("https://megapolitan.kompas.com/read/2019/12/20/18161721/pelaku-eksibisionis-ke-siswi-smk-sempat-dikejar-rombongan-pelajar","Sumber")</f>
        <v>Sumber</v>
      </c>
      <c r="G497" s="218" t="str">
        <f>HYPERLINK("https://drive.google.com/open?id=1cEMIF00BRVZZIYfHju63hRHKOsOEJUki","Lokasi")</f>
        <v>Lokasi</v>
      </c>
      <c r="H497" s="240">
        <v>260.0</v>
      </c>
      <c r="I497" s="185">
        <v>1.0</v>
      </c>
      <c r="J497" s="185">
        <v>1.0</v>
      </c>
      <c r="K497" s="219" t="s">
        <v>2860</v>
      </c>
      <c r="L497" s="185">
        <v>0.0</v>
      </c>
      <c r="M497" s="185">
        <v>-1.0</v>
      </c>
      <c r="N497" s="220">
        <v>0.0</v>
      </c>
      <c r="O497" s="185">
        <v>1.0</v>
      </c>
      <c r="P497" s="185">
        <v>0.0</v>
      </c>
      <c r="Q497" s="185">
        <v>0.0</v>
      </c>
      <c r="R497" s="185">
        <v>0.0</v>
      </c>
      <c r="S497" s="221"/>
      <c r="T497" s="185">
        <v>0.0</v>
      </c>
      <c r="U497" s="185">
        <v>0.0</v>
      </c>
      <c r="V497" s="185">
        <v>0.0</v>
      </c>
      <c r="W497" s="186"/>
      <c r="X497" s="186"/>
      <c r="Y497" s="186"/>
      <c r="Z497" s="186"/>
      <c r="AA497" s="186"/>
      <c r="AB497" s="186"/>
      <c r="AC497" s="186"/>
      <c r="AD497" s="186"/>
      <c r="AE497" s="186"/>
      <c r="AF497" s="186"/>
    </row>
    <row r="498">
      <c r="A498" s="227">
        <v>1.0</v>
      </c>
      <c r="B498" s="228" t="s">
        <v>2861</v>
      </c>
      <c r="C498" s="44">
        <v>495.0</v>
      </c>
      <c r="D498" s="228" t="s">
        <v>2698</v>
      </c>
      <c r="E498" s="242">
        <v>43826.0</v>
      </c>
      <c r="F498" s="253" t="str">
        <f>HYPERLINK("https://jogja.suara.com/read/2019/12/27/155251/pengakuan-ibu-seli-jenazah-di-septik-tank-dia-disundut-rokok-oleh-suami","Sumber")</f>
        <v>Sumber</v>
      </c>
      <c r="G498" s="229" t="str">
        <f>HYPERLINK("https://drive.google.com/open?id=1pTmrohGGwIBSHD8GT5ARnb_A4TeoIGbx","Lokasi")</f>
        <v>Lokasi</v>
      </c>
      <c r="H498" s="228">
        <v>308.0</v>
      </c>
      <c r="I498" s="52">
        <v>1.0</v>
      </c>
      <c r="J498" s="52">
        <v>1.0</v>
      </c>
      <c r="K498" s="244" t="s">
        <v>2862</v>
      </c>
      <c r="L498" s="52">
        <v>0.0</v>
      </c>
      <c r="M498" s="52">
        <v>0.0</v>
      </c>
      <c r="N498" s="231">
        <v>0.0</v>
      </c>
      <c r="O498" s="52">
        <v>0.0</v>
      </c>
      <c r="P498" s="52">
        <v>0.0</v>
      </c>
      <c r="Q498" s="52">
        <v>0.0</v>
      </c>
      <c r="R498" s="52">
        <v>0.0</v>
      </c>
      <c r="S498" s="232"/>
      <c r="T498" s="52">
        <v>0.0</v>
      </c>
      <c r="U498" s="52">
        <v>0.0</v>
      </c>
      <c r="V498" s="52">
        <v>0.0</v>
      </c>
      <c r="W498" s="9"/>
      <c r="X498" s="9"/>
      <c r="Y498" s="9"/>
      <c r="Z498" s="9"/>
      <c r="AA498" s="9"/>
      <c r="AB498" s="9"/>
      <c r="AC498" s="9"/>
      <c r="AD498" s="9"/>
      <c r="AE498" s="9"/>
      <c r="AF498" s="9"/>
    </row>
    <row r="499">
      <c r="A499" s="227">
        <v>1.0</v>
      </c>
      <c r="B499" s="228" t="s">
        <v>2863</v>
      </c>
      <c r="C499" s="44">
        <v>496.0</v>
      </c>
      <c r="D499" s="228" t="s">
        <v>2707</v>
      </c>
      <c r="E499" s="242">
        <v>43829.0</v>
      </c>
      <c r="F499" s="253" t="str">
        <f>HYPERLINK("https://republika.co.id/berita/q3bj4u459/polisi-dalami-dugaan-kekerasan-seksual-mahasiswa-telkom","Sumber")</f>
        <v>Sumber</v>
      </c>
      <c r="G499" s="229" t="str">
        <f>HYPERLINK("https://drive.google.com/open?id=159wlJZ60ISiW5rIqkr__8znBFh9IxC4X","Lokasi")</f>
        <v>Lokasi</v>
      </c>
      <c r="H499" s="228">
        <v>280.0</v>
      </c>
      <c r="I499" s="52">
        <v>1.0</v>
      </c>
      <c r="J499" s="52">
        <v>1.0</v>
      </c>
      <c r="K499" s="263" t="s">
        <v>2864</v>
      </c>
      <c r="L499" s="52">
        <v>0.0</v>
      </c>
      <c r="M499" s="52">
        <v>0.0</v>
      </c>
      <c r="N499" s="231">
        <v>0.0</v>
      </c>
      <c r="O499" s="52">
        <v>1.0</v>
      </c>
      <c r="P499" s="52">
        <v>0.0</v>
      </c>
      <c r="Q499" s="52" t="s">
        <v>61</v>
      </c>
      <c r="R499" s="52" t="s">
        <v>214</v>
      </c>
      <c r="S499" s="232"/>
      <c r="T499" s="52">
        <v>0.0</v>
      </c>
      <c r="U499" s="52">
        <v>0.0</v>
      </c>
      <c r="V499" s="52">
        <v>0.0</v>
      </c>
      <c r="W499" s="9"/>
      <c r="X499" s="9"/>
      <c r="Y499" s="9"/>
      <c r="Z499" s="9"/>
      <c r="AA499" s="9"/>
      <c r="AB499" s="9"/>
      <c r="AC499" s="9"/>
      <c r="AD499" s="9"/>
      <c r="AE499" s="9"/>
      <c r="AF499" s="9"/>
    </row>
    <row r="500">
      <c r="A500" s="176">
        <v>1.0</v>
      </c>
      <c r="B500" s="237" t="s">
        <v>2865</v>
      </c>
      <c r="C500" s="178">
        <v>497.0</v>
      </c>
      <c r="D500" s="216" t="s">
        <v>2698</v>
      </c>
      <c r="E500" s="238">
        <v>43829.0</v>
      </c>
      <c r="F500" s="239" t="str">
        <f>HYPERLINK("https://jabar.suara.com/read/2019/12/30/223803/mahasiswi-telkom-university-diduga-jadi-korban-pencabulan-seniornya","Sumber")</f>
        <v>Sumber</v>
      </c>
      <c r="G500" s="218" t="str">
        <f>HYPERLINK("https://drive.google.com/open?id=1IYo4tA2s2RlpvI5Q7ESZdETBgcT8JHOO","Lokasi")</f>
        <v>Lokasi</v>
      </c>
      <c r="H500" s="240">
        <v>358.0</v>
      </c>
      <c r="I500" s="185">
        <v>1.0</v>
      </c>
      <c r="J500" s="185">
        <v>1.0</v>
      </c>
      <c r="K500" s="219" t="s">
        <v>2866</v>
      </c>
      <c r="L500" s="185">
        <v>0.0</v>
      </c>
      <c r="M500" s="185">
        <v>1.0</v>
      </c>
      <c r="N500" s="220">
        <v>0.0</v>
      </c>
      <c r="O500" s="185">
        <v>1.0</v>
      </c>
      <c r="P500" s="185">
        <v>0.0</v>
      </c>
      <c r="Q500" s="185">
        <v>0.0</v>
      </c>
      <c r="R500" s="185">
        <v>1.0</v>
      </c>
      <c r="S500" s="221"/>
      <c r="T500" s="185">
        <v>0.0</v>
      </c>
      <c r="U500" s="185">
        <v>0.0</v>
      </c>
      <c r="V500" s="185">
        <v>0.0</v>
      </c>
      <c r="W500" s="186"/>
      <c r="X500" s="186"/>
      <c r="Y500" s="186"/>
      <c r="Z500" s="186"/>
      <c r="AA500" s="186"/>
      <c r="AB500" s="186"/>
      <c r="AC500" s="186"/>
      <c r="AD500" s="186"/>
      <c r="AE500" s="186"/>
      <c r="AF500" s="186"/>
    </row>
  </sheetData>
  <customSheetViews>
    <customSheetView guid="{66348944-9FC2-49D4-937A-1A6FEBFF4639}" filter="1" showAutoFilter="1">
      <autoFilter ref="$P$6:$P$496">
        <filterColumn colId="0">
          <filters/>
        </filterColumn>
      </autoFilter>
    </customSheetView>
    <customSheetView guid="{B69A7256-2244-4A5A-98B8-5882F2FF8700}" filter="1" showAutoFilter="1">
      <autoFilter ref="$M$5:$M$500"/>
    </customSheetView>
    <customSheetView guid="{62CFFA2F-2CDE-4159-80E8-0067D9460027}" filter="1" showAutoFilter="1">
      <autoFilter ref="$I$6:$I$500"/>
    </customSheetView>
    <customSheetView guid="{20CAB334-E8B9-4848-AC8F-2E0A8DBFE604}" filter="1" showAutoFilter="1">
      <autoFilter ref="$K$6:$K$500"/>
    </customSheetView>
    <customSheetView guid="{73395ED9-AE98-48BE-901B-FBF6E91AA159}" filter="1" showAutoFilter="1">
      <autoFilter ref="$U$5:$U$500"/>
    </customSheetView>
    <customSheetView guid="{E3B16FF4-157A-41A8-880D-5DDB83361892}" filter="1" showAutoFilter="1">
      <autoFilter ref="$Y$1:$Y$500"/>
    </customSheetView>
    <customSheetView guid="{E0B68C8C-9E59-4D09-A796-DABAD0F2C26F}" filter="1" showAutoFilter="1">
      <autoFilter ref="$O$5:$O$500"/>
    </customSheetView>
    <customSheetView guid="{D0A54268-7389-43AB-A5BA-78B6DAB825D3}" filter="1" showAutoFilter="1">
      <autoFilter ref="$A$5:$A$500"/>
    </customSheetView>
    <customSheetView guid="{0B48C2DC-E7D4-4DCC-ACB5-09BD4089ED05}" filter="1" showAutoFilter="1">
      <autoFilter ref="$AA$4"/>
    </customSheetView>
    <customSheetView guid="{7A661D72-FC41-4646-AEAF-00CD193B6D95}" filter="1" showAutoFilter="1">
      <autoFilter ref="$N$6:$N$496">
        <filterColumn colId="0">
          <filters/>
        </filterColumn>
      </autoFilter>
    </customSheetView>
    <customSheetView guid="{95107451-AD48-4E36-95D5-D44A7511BFD9}" filter="1" showAutoFilter="1">
      <autoFilter ref="$S$6:$S$500"/>
    </customSheetView>
    <customSheetView guid="{C0FD2F62-3ADA-4E44-ABC2-10E955012945}" filter="1" showAutoFilter="1">
      <autoFilter ref="$L$5:$L$500"/>
    </customSheetView>
    <customSheetView guid="{17EFBF60-FA66-46DD-8C66-7DD74D543108}" filter="1" showAutoFilter="1">
      <autoFilter ref="$A$6:$A$500"/>
    </customSheetView>
  </customSheetViews>
  <mergeCells count="28">
    <mergeCell ref="L1:P1"/>
    <mergeCell ref="N2:P2"/>
    <mergeCell ref="P3:P4"/>
    <mergeCell ref="S3:S4"/>
    <mergeCell ref="A1:A4"/>
    <mergeCell ref="B1:B4"/>
    <mergeCell ref="C1:K1"/>
    <mergeCell ref="Q1:U1"/>
    <mergeCell ref="C2:C4"/>
    <mergeCell ref="D2:D4"/>
    <mergeCell ref="M2:M4"/>
    <mergeCell ref="T3:T4"/>
    <mergeCell ref="E2:E4"/>
    <mergeCell ref="F2:F4"/>
    <mergeCell ref="G2:G4"/>
    <mergeCell ref="H2:H4"/>
    <mergeCell ref="I2:I4"/>
    <mergeCell ref="J2:J4"/>
    <mergeCell ref="K2:K4"/>
    <mergeCell ref="L2:L4"/>
    <mergeCell ref="Q2:Q4"/>
    <mergeCell ref="R2:R4"/>
    <mergeCell ref="U2:U4"/>
    <mergeCell ref="V2:V4"/>
    <mergeCell ref="W2:W4"/>
    <mergeCell ref="X2:X4"/>
    <mergeCell ref="N3:N4"/>
    <mergeCell ref="O3:O4"/>
  </mergeCells>
  <hyperlinks>
    <hyperlink r:id="rId2" ref="F124"/>
    <hyperlink r:id="rId3" ref="K179"/>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9.43"/>
    <col customWidth="1" min="2" max="2" width="8.29"/>
    <col customWidth="1" min="3" max="3" width="4.29"/>
    <col customWidth="1" min="4" max="4" width="7.43"/>
    <col customWidth="1" min="5" max="5" width="11.43"/>
    <col customWidth="1" min="6" max="6" width="7.43"/>
    <col customWidth="1" min="7" max="7" width="7.0"/>
    <col customWidth="1" min="8" max="8" width="11.29"/>
    <col customWidth="1" min="9" max="9" width="9.0"/>
    <col customWidth="1" min="10" max="10" width="7.86"/>
    <col customWidth="1" min="11" max="11" width="20.0"/>
    <col customWidth="1" min="12" max="13" width="10.71"/>
    <col customWidth="1" min="14" max="16" width="12.0"/>
    <col customWidth="1" min="17" max="18" width="13.43"/>
    <col customWidth="1" min="19" max="19" width="29.29"/>
    <col customWidth="1" min="20" max="20" width="8.29"/>
    <col customWidth="1" min="21" max="21" width="8.57"/>
    <col customWidth="1" min="22" max="22" width="10.71"/>
    <col customWidth="1" min="23" max="24" width="8.14"/>
    <col customWidth="1" min="25" max="26" width="7.57"/>
  </cols>
  <sheetData>
    <row r="1" ht="14.25" customHeight="1">
      <c r="A1" s="143" t="s">
        <v>0</v>
      </c>
      <c r="B1" s="1" t="s">
        <v>2867</v>
      </c>
      <c r="C1" s="2" t="s">
        <v>2</v>
      </c>
      <c r="D1" s="3"/>
      <c r="E1" s="3"/>
      <c r="F1" s="3"/>
      <c r="G1" s="3"/>
      <c r="H1" s="3"/>
      <c r="I1" s="3"/>
      <c r="J1" s="3"/>
      <c r="K1" s="4"/>
      <c r="L1" s="5" t="s">
        <v>3</v>
      </c>
      <c r="M1" s="3"/>
      <c r="N1" s="3"/>
      <c r="O1" s="3"/>
      <c r="P1" s="4"/>
      <c r="Q1" s="6" t="s">
        <v>4</v>
      </c>
      <c r="R1" s="3"/>
      <c r="S1" s="3"/>
      <c r="T1" s="3"/>
      <c r="U1" s="4"/>
      <c r="V1" s="7" t="s">
        <v>5</v>
      </c>
      <c r="W1" s="144" t="s">
        <v>6</v>
      </c>
      <c r="X1" s="145"/>
      <c r="Y1" s="146"/>
      <c r="Z1" s="264"/>
    </row>
    <row r="2" ht="14.25" customHeight="1">
      <c r="B2" s="10"/>
      <c r="C2" s="11" t="s">
        <v>7</v>
      </c>
      <c r="D2" s="11" t="s">
        <v>8</v>
      </c>
      <c r="E2" s="11" t="s">
        <v>9</v>
      </c>
      <c r="F2" s="11" t="s">
        <v>10</v>
      </c>
      <c r="G2" s="265" t="s">
        <v>11</v>
      </c>
      <c r="H2" s="11" t="s">
        <v>12</v>
      </c>
      <c r="I2" s="11" t="s">
        <v>13</v>
      </c>
      <c r="J2" s="11" t="s">
        <v>14</v>
      </c>
      <c r="K2" s="11" t="s">
        <v>15</v>
      </c>
      <c r="L2" s="12" t="s">
        <v>16</v>
      </c>
      <c r="M2" s="12" t="s">
        <v>17</v>
      </c>
      <c r="N2" s="5" t="s">
        <v>18</v>
      </c>
      <c r="O2" s="3"/>
      <c r="P2" s="4"/>
      <c r="Q2" s="14" t="s">
        <v>19</v>
      </c>
      <c r="R2" s="14" t="s">
        <v>20</v>
      </c>
      <c r="S2" s="147" t="s">
        <v>21</v>
      </c>
      <c r="T2" s="4"/>
      <c r="U2" s="149" t="s">
        <v>22</v>
      </c>
      <c r="V2" s="16" t="s">
        <v>23</v>
      </c>
      <c r="W2" s="17" t="s">
        <v>24</v>
      </c>
      <c r="X2" s="17" t="s">
        <v>25</v>
      </c>
      <c r="Y2" s="266" t="s">
        <v>26</v>
      </c>
      <c r="Z2" s="264"/>
    </row>
    <row r="3" ht="14.25" customHeight="1">
      <c r="B3" s="10"/>
      <c r="C3" s="10"/>
      <c r="D3" s="10"/>
      <c r="E3" s="10"/>
      <c r="F3" s="10"/>
      <c r="G3" s="10"/>
      <c r="H3" s="10"/>
      <c r="I3" s="10"/>
      <c r="J3" s="10"/>
      <c r="K3" s="10"/>
      <c r="L3" s="10"/>
      <c r="M3" s="10"/>
      <c r="N3" s="12" t="s">
        <v>27</v>
      </c>
      <c r="O3" s="20" t="s">
        <v>28</v>
      </c>
      <c r="P3" s="12" t="s">
        <v>29</v>
      </c>
      <c r="Q3" s="10"/>
      <c r="R3" s="10"/>
      <c r="S3" s="149" t="s">
        <v>30</v>
      </c>
      <c r="T3" s="14" t="s">
        <v>31</v>
      </c>
      <c r="U3" s="10"/>
      <c r="V3" s="10"/>
      <c r="W3" s="10"/>
      <c r="X3" s="10"/>
      <c r="Y3" s="150"/>
      <c r="Z3" s="264"/>
    </row>
    <row r="4" ht="14.25" customHeight="1">
      <c r="B4" s="22"/>
      <c r="C4" s="22"/>
      <c r="D4" s="22"/>
      <c r="E4" s="22"/>
      <c r="F4" s="22"/>
      <c r="G4" s="22"/>
      <c r="H4" s="22"/>
      <c r="I4" s="22"/>
      <c r="J4" s="22"/>
      <c r="K4" s="22"/>
      <c r="L4" s="22"/>
      <c r="M4" s="22"/>
      <c r="N4" s="22"/>
      <c r="O4" s="22"/>
      <c r="P4" s="22"/>
      <c r="Q4" s="22"/>
      <c r="R4" s="22"/>
      <c r="S4" s="22"/>
      <c r="T4" s="22"/>
      <c r="U4" s="22"/>
      <c r="V4" s="22"/>
      <c r="W4" s="22"/>
      <c r="X4" s="22"/>
      <c r="Y4" s="151"/>
      <c r="Z4" s="264"/>
    </row>
    <row r="5" ht="14.25" customHeight="1">
      <c r="A5" s="227">
        <v>1.0</v>
      </c>
      <c r="B5" s="267" t="s">
        <v>2868</v>
      </c>
      <c r="C5" s="44">
        <v>1.0</v>
      </c>
      <c r="D5" s="44">
        <v>3.0</v>
      </c>
      <c r="E5" s="268">
        <v>43586.0</v>
      </c>
      <c r="F5" s="162" t="str">
        <f>HYPERLINK("https://news.okezone.com/read/2019/01/05/525/2000379/acara-peluncuran-buku-ahmadiyah-haqiqatul-wahy-dibubarkan-massa ","sumber")</f>
        <v>sumber</v>
      </c>
      <c r="G5" s="269" t="s">
        <v>33</v>
      </c>
      <c r="H5" s="227" t="s">
        <v>2869</v>
      </c>
      <c r="I5" s="44">
        <v>1.0</v>
      </c>
      <c r="J5" s="44">
        <v>4.0</v>
      </c>
      <c r="K5" s="164" t="s">
        <v>2870</v>
      </c>
      <c r="L5" s="44">
        <v>0.0</v>
      </c>
      <c r="M5" s="44">
        <v>1.0</v>
      </c>
      <c r="N5" s="44">
        <v>0.0</v>
      </c>
      <c r="O5" s="44">
        <v>0.0</v>
      </c>
      <c r="P5" s="44">
        <v>0.0</v>
      </c>
      <c r="Q5" s="44" t="s">
        <v>2871</v>
      </c>
      <c r="R5" s="44" t="s">
        <v>2872</v>
      </c>
      <c r="S5" s="164"/>
      <c r="T5" s="44">
        <v>0.0</v>
      </c>
      <c r="U5" s="44">
        <v>0.0</v>
      </c>
      <c r="V5" s="44">
        <v>0.0</v>
      </c>
      <c r="W5" s="44"/>
      <c r="X5" s="45"/>
      <c r="Y5" s="45"/>
      <c r="Z5" s="9"/>
    </row>
    <row r="6" ht="14.25" customHeight="1">
      <c r="A6" s="9">
        <v>1.0</v>
      </c>
      <c r="B6" s="45" t="s">
        <v>2873</v>
      </c>
      <c r="C6" s="44">
        <v>2.0</v>
      </c>
      <c r="D6" s="44">
        <v>8.0</v>
      </c>
      <c r="E6" s="268">
        <v>43586.0</v>
      </c>
      <c r="F6" s="162" t="str">
        <f>HYPERLINK("https://www.suara.com/news/2019/01/05/161829/puluhan-orang-demo-bubarkan-acara-ahmadiyah-di-masjid-bandung ","sumber")</f>
        <v>sumber</v>
      </c>
      <c r="G6" s="269" t="s">
        <v>33</v>
      </c>
      <c r="H6" s="166" t="s">
        <v>2874</v>
      </c>
      <c r="I6" s="44">
        <v>1.0</v>
      </c>
      <c r="J6" s="44">
        <v>4.0</v>
      </c>
      <c r="K6" s="164" t="s">
        <v>2875</v>
      </c>
      <c r="L6" s="44">
        <v>0.0</v>
      </c>
      <c r="M6" s="44">
        <v>-1.0</v>
      </c>
      <c r="N6" s="44">
        <v>0.0</v>
      </c>
      <c r="O6" s="44">
        <v>0.0</v>
      </c>
      <c r="P6" s="44">
        <v>0.0</v>
      </c>
      <c r="Q6" s="44">
        <v>0.0</v>
      </c>
      <c r="R6" s="44">
        <v>-1.0</v>
      </c>
      <c r="S6" s="164" t="s">
        <v>2876</v>
      </c>
      <c r="T6" s="44">
        <v>1.0</v>
      </c>
      <c r="U6" s="44">
        <v>0.0</v>
      </c>
      <c r="V6" s="44">
        <v>0.0</v>
      </c>
      <c r="W6" s="45"/>
      <c r="X6" s="45"/>
      <c r="Y6" s="45"/>
      <c r="Z6" s="9"/>
    </row>
    <row r="7" ht="14.25" customHeight="1">
      <c r="A7" s="9">
        <v>1.0</v>
      </c>
      <c r="B7" s="45" t="s">
        <v>2877</v>
      </c>
      <c r="C7" s="44">
        <v>3.0</v>
      </c>
      <c r="D7" s="44">
        <v>8.0</v>
      </c>
      <c r="E7" s="268">
        <v>43617.0</v>
      </c>
      <c r="F7" s="162" t="str">
        <f>HYPERLINK("https://www.suara.com/news/2019/01/06/155637/pembubaran-buku-haqiqatul-wahyi-jemaat-ahamadiyah-bandung-inkonstitusional ","sumber")</f>
        <v>sumber</v>
      </c>
      <c r="G7" s="269" t="s">
        <v>33</v>
      </c>
      <c r="H7" s="166" t="s">
        <v>2878</v>
      </c>
      <c r="I7" s="44">
        <v>4.0</v>
      </c>
      <c r="J7" s="44">
        <v>4.0</v>
      </c>
      <c r="K7" s="164" t="s">
        <v>2879</v>
      </c>
      <c r="L7" s="44">
        <v>0.0</v>
      </c>
      <c r="M7" s="44">
        <v>0.0</v>
      </c>
      <c r="N7" s="44">
        <v>0.0</v>
      </c>
      <c r="O7" s="44">
        <v>0.0</v>
      </c>
      <c r="P7" s="44">
        <v>0.0</v>
      </c>
      <c r="Q7" s="44">
        <v>0.0</v>
      </c>
      <c r="R7" s="44">
        <v>1.0</v>
      </c>
      <c r="S7" s="164"/>
      <c r="T7" s="44">
        <v>0.0</v>
      </c>
      <c r="U7" s="44">
        <v>0.0</v>
      </c>
      <c r="V7" s="44">
        <v>1.0</v>
      </c>
      <c r="W7" s="45"/>
      <c r="X7" s="45"/>
      <c r="Y7" s="45"/>
      <c r="Z7" s="9"/>
    </row>
    <row r="8" ht="14.25" customHeight="1">
      <c r="A8" s="9">
        <v>1.0</v>
      </c>
      <c r="B8" s="45" t="s">
        <v>2880</v>
      </c>
      <c r="C8" s="44">
        <v>4.0</v>
      </c>
      <c r="D8" s="44">
        <v>6.0</v>
      </c>
      <c r="E8" s="268">
        <v>43678.0</v>
      </c>
      <c r="F8" s="162" t="str">
        <f>HYPERLINK("https://nasional.kompas.com/read/2019/01/08/19043471/ini-3-faktor-penyebab-terjadinya-kasus-pelanggaran-hak-kebebasan-beragama ","sumber")</f>
        <v>sumber</v>
      </c>
      <c r="G8" s="269" t="s">
        <v>33</v>
      </c>
      <c r="H8" s="166" t="s">
        <v>2881</v>
      </c>
      <c r="I8" s="44">
        <v>4.0</v>
      </c>
      <c r="J8" s="44">
        <v>4.0</v>
      </c>
      <c r="K8" s="164" t="s">
        <v>2882</v>
      </c>
      <c r="L8" s="44">
        <v>0.0</v>
      </c>
      <c r="M8" s="44">
        <v>0.0</v>
      </c>
      <c r="N8" s="44">
        <v>0.0</v>
      </c>
      <c r="O8" s="44">
        <v>0.0</v>
      </c>
      <c r="P8" s="44">
        <v>0.0</v>
      </c>
      <c r="Q8" s="44">
        <v>0.0</v>
      </c>
      <c r="R8" s="44">
        <v>1.0</v>
      </c>
      <c r="S8" s="164"/>
      <c r="T8" s="44">
        <v>0.0</v>
      </c>
      <c r="U8" s="44">
        <v>0.0</v>
      </c>
      <c r="V8" s="44">
        <v>1.0</v>
      </c>
      <c r="W8" s="45"/>
      <c r="X8" s="45"/>
      <c r="Y8" s="45"/>
      <c r="Z8" s="9"/>
    </row>
    <row r="9" ht="14.25" customHeight="1">
      <c r="A9" s="9">
        <v>1.0</v>
      </c>
      <c r="B9" s="45" t="s">
        <v>1096</v>
      </c>
      <c r="C9" s="44">
        <v>5.0</v>
      </c>
      <c r="D9" s="44">
        <v>1.0</v>
      </c>
      <c r="E9" s="44" t="s">
        <v>449</v>
      </c>
      <c r="F9" s="162" t="str">
        <f>HYPERLINK("https://news.detik.com/berita/d-4382419/berkunjung-ke-malaysia-komisi-i-bandingkan-kebebasan-beragama-di-ri ","sumber")</f>
        <v>sumber</v>
      </c>
      <c r="G9" s="269" t="s">
        <v>33</v>
      </c>
      <c r="H9" s="166" t="s">
        <v>2883</v>
      </c>
      <c r="I9" s="44">
        <v>4.0</v>
      </c>
      <c r="J9" s="44">
        <v>4.0</v>
      </c>
      <c r="K9" s="164" t="s">
        <v>2884</v>
      </c>
      <c r="L9" s="44">
        <v>0.0</v>
      </c>
      <c r="M9" s="44">
        <v>0.0</v>
      </c>
      <c r="N9" s="44">
        <v>0.0</v>
      </c>
      <c r="O9" s="44">
        <v>0.0</v>
      </c>
      <c r="P9" s="44">
        <v>0.0</v>
      </c>
      <c r="Q9" s="44">
        <v>0.0</v>
      </c>
      <c r="R9" s="44">
        <v>0.0</v>
      </c>
      <c r="S9" s="164" t="s">
        <v>2885</v>
      </c>
      <c r="T9" s="44">
        <v>1.0</v>
      </c>
      <c r="U9" s="44">
        <v>0.0</v>
      </c>
      <c r="V9" s="44">
        <v>1.0</v>
      </c>
      <c r="W9" s="45"/>
      <c r="X9" s="45"/>
      <c r="Y9" s="45"/>
      <c r="Z9" s="9"/>
    </row>
    <row r="10" ht="14.25" customHeight="1">
      <c r="A10" s="9">
        <v>1.0</v>
      </c>
      <c r="B10" s="45" t="s">
        <v>2886</v>
      </c>
      <c r="C10" s="44">
        <v>6.0</v>
      </c>
      <c r="D10" s="44">
        <v>1.0</v>
      </c>
      <c r="E10" s="44" t="s">
        <v>702</v>
      </c>
      <c r="F10" s="162" t="str">
        <f>HYPERLINK("https://news.detik.com/abc-australia/d-4391921/inilah-rapor-indonesia-soal-hak-asasi-di-2018-menurut-human-rights-watch ","sumber")</f>
        <v>sumber</v>
      </c>
      <c r="G10" s="269" t="s">
        <v>33</v>
      </c>
      <c r="H10" s="166" t="s">
        <v>2887</v>
      </c>
      <c r="I10" s="44">
        <v>4.0</v>
      </c>
      <c r="J10" s="270">
        <v>5.0</v>
      </c>
      <c r="K10" s="164" t="s">
        <v>2888</v>
      </c>
      <c r="L10" s="44">
        <v>0.0</v>
      </c>
      <c r="M10" s="44">
        <v>0.0</v>
      </c>
      <c r="N10" s="44">
        <v>0.0</v>
      </c>
      <c r="O10" s="44">
        <v>0.0</v>
      </c>
      <c r="P10" s="44">
        <v>0.0</v>
      </c>
      <c r="Q10" s="44">
        <v>0.0</v>
      </c>
      <c r="R10" s="44">
        <v>1.0</v>
      </c>
      <c r="S10" s="164"/>
      <c r="T10" s="44">
        <v>0.0</v>
      </c>
      <c r="U10" s="44">
        <v>0.0</v>
      </c>
      <c r="V10" s="44">
        <v>1.0</v>
      </c>
      <c r="W10" s="45"/>
      <c r="X10" s="45"/>
      <c r="Y10" s="45"/>
      <c r="Z10" s="9"/>
    </row>
    <row r="11" ht="14.25" customHeight="1">
      <c r="A11" s="9">
        <v>1.0</v>
      </c>
      <c r="B11" s="45" t="s">
        <v>2889</v>
      </c>
      <c r="C11" s="44">
        <v>7.0</v>
      </c>
      <c r="D11" s="44">
        <v>6.0</v>
      </c>
      <c r="E11" s="44" t="s">
        <v>702</v>
      </c>
      <c r="F11" s="162" t="str">
        <f>HYPERLINK("https://nasional.kompas.com/read/2019/01/19/06000031/amnesty--isu-ham-hanya-jadi-kepentingan-elektoral-kedua-pasangan-capres ","sumber")</f>
        <v>sumber</v>
      </c>
      <c r="G11" s="269" t="s">
        <v>33</v>
      </c>
      <c r="H11" s="166" t="s">
        <v>2890</v>
      </c>
      <c r="I11" s="44">
        <v>5.0</v>
      </c>
      <c r="J11" s="44">
        <v>5.0</v>
      </c>
      <c r="K11" s="271" t="s">
        <v>2891</v>
      </c>
      <c r="L11" s="44">
        <v>0.0</v>
      </c>
      <c r="M11" s="44">
        <v>0.0</v>
      </c>
      <c r="N11" s="44">
        <v>0.0</v>
      </c>
      <c r="O11" s="44">
        <v>0.0</v>
      </c>
      <c r="P11" s="44">
        <v>0.0</v>
      </c>
      <c r="Q11" s="44">
        <v>0.0</v>
      </c>
      <c r="R11" s="44">
        <v>1.0</v>
      </c>
      <c r="S11" s="164"/>
      <c r="T11" s="44">
        <v>0.0</v>
      </c>
      <c r="U11" s="44">
        <v>0.0</v>
      </c>
      <c r="V11" s="44">
        <v>1.0</v>
      </c>
      <c r="W11" s="45"/>
      <c r="X11" s="45"/>
      <c r="Y11" s="45"/>
      <c r="Z11" s="9"/>
    </row>
    <row r="12" ht="14.25" customHeight="1">
      <c r="A12" s="272">
        <v>2.0</v>
      </c>
      <c r="B12" s="273" t="s">
        <v>2892</v>
      </c>
      <c r="C12" s="47">
        <v>8.0</v>
      </c>
      <c r="D12" s="47">
        <v>6.0</v>
      </c>
      <c r="E12" s="47" t="s">
        <v>2893</v>
      </c>
      <c r="F12" s="156" t="str">
        <f>HYPERLINK("https://regional.kompas.com/read/2019/01/20/20270321/profesorahli-tumbuhan-dan-satwa-dari-aceh-ini-hanya-tamatan-sd ","sumber")</f>
        <v>sumber</v>
      </c>
      <c r="G12" s="274" t="s">
        <v>33</v>
      </c>
      <c r="H12" s="192" t="s">
        <v>2894</v>
      </c>
      <c r="I12" s="48"/>
      <c r="J12" s="48"/>
      <c r="K12" s="165"/>
      <c r="L12" s="48"/>
      <c r="M12" s="48"/>
      <c r="N12" s="48"/>
      <c r="O12" s="48"/>
      <c r="P12" s="48"/>
      <c r="Q12" s="48"/>
      <c r="R12" s="48"/>
      <c r="S12" s="165"/>
      <c r="T12" s="48"/>
      <c r="U12" s="48"/>
      <c r="V12" s="48"/>
      <c r="W12" s="47"/>
      <c r="X12" s="48"/>
      <c r="Y12" s="47"/>
      <c r="Z12" s="43"/>
    </row>
    <row r="13" ht="14.25" customHeight="1">
      <c r="A13" s="9">
        <v>1.0</v>
      </c>
      <c r="B13" s="45" t="s">
        <v>2895</v>
      </c>
      <c r="C13" s="44">
        <v>9.0</v>
      </c>
      <c r="D13" s="44">
        <v>4.0</v>
      </c>
      <c r="E13" s="44" t="s">
        <v>2893</v>
      </c>
      <c r="F13" s="162" t="str">
        <f>HYPERLINK("https://www.liputan6.com/news/read/3875514/syarat-baasyir-bebas-harus-setia-pancasila-dinilai-sebagai-bentuk-pemaksaan ","sumber")</f>
        <v>sumber</v>
      </c>
      <c r="G13" s="269" t="s">
        <v>33</v>
      </c>
      <c r="H13" s="166" t="s">
        <v>2896</v>
      </c>
      <c r="I13" s="44">
        <v>1.0</v>
      </c>
      <c r="J13" s="44">
        <v>4.0</v>
      </c>
      <c r="K13" s="164" t="s">
        <v>2897</v>
      </c>
      <c r="L13" s="44">
        <v>0.0</v>
      </c>
      <c r="M13" s="44">
        <v>1.0</v>
      </c>
      <c r="N13" s="44">
        <v>0.0</v>
      </c>
      <c r="O13" s="44">
        <v>0.0</v>
      </c>
      <c r="P13" s="44">
        <v>0.0</v>
      </c>
      <c r="Q13" s="44" t="s">
        <v>61</v>
      </c>
      <c r="R13" s="44" t="s">
        <v>100</v>
      </c>
      <c r="S13" s="164"/>
      <c r="T13" s="44">
        <v>0.0</v>
      </c>
      <c r="U13" s="44">
        <v>0.0</v>
      </c>
      <c r="V13" s="44">
        <v>1.0</v>
      </c>
      <c r="W13" s="45"/>
      <c r="X13" s="45"/>
      <c r="Y13" s="45"/>
      <c r="Z13" s="9"/>
    </row>
    <row r="14" ht="14.25" customHeight="1">
      <c r="A14" s="275">
        <v>1.0</v>
      </c>
      <c r="B14" s="276" t="s">
        <v>2898</v>
      </c>
      <c r="C14" s="44">
        <v>10.0</v>
      </c>
      <c r="D14" s="44">
        <v>10.0</v>
      </c>
      <c r="E14" s="44" t="s">
        <v>2893</v>
      </c>
      <c r="F14" s="162" t="str">
        <f>HYPERLINK("https://fokus.tempo.co/read/1165200/dua-tahun-dilarang-paham-ma-ba-tha-masih-mengakar-di-myanmar ","sumber")</f>
        <v>sumber</v>
      </c>
      <c r="G14" s="269" t="s">
        <v>33</v>
      </c>
      <c r="H14" s="166" t="s">
        <v>2899</v>
      </c>
      <c r="I14" s="44">
        <v>1.0</v>
      </c>
      <c r="J14" s="44">
        <v>4.0</v>
      </c>
      <c r="K14" s="164" t="s">
        <v>2900</v>
      </c>
      <c r="L14" s="44">
        <v>0.0</v>
      </c>
      <c r="M14" s="44">
        <v>-1.0</v>
      </c>
      <c r="N14" s="44">
        <v>0.0</v>
      </c>
      <c r="O14" s="44">
        <v>0.0</v>
      </c>
      <c r="P14" s="44">
        <v>0.0</v>
      </c>
      <c r="Q14" s="44" t="s">
        <v>2901</v>
      </c>
      <c r="R14" s="44" t="s">
        <v>2902</v>
      </c>
      <c r="S14" s="164" t="s">
        <v>2903</v>
      </c>
      <c r="T14" s="44">
        <v>1.0</v>
      </c>
      <c r="U14" s="44">
        <v>0.0</v>
      </c>
      <c r="V14" s="44">
        <v>1.0</v>
      </c>
      <c r="W14" s="45"/>
      <c r="X14" s="45"/>
      <c r="Y14" s="45"/>
      <c r="Z14" s="9"/>
    </row>
    <row r="15" ht="14.25" customHeight="1">
      <c r="A15" s="9">
        <v>1.0</v>
      </c>
      <c r="B15" s="45" t="s">
        <v>2904</v>
      </c>
      <c r="C15" s="44">
        <v>11.0</v>
      </c>
      <c r="D15" s="44">
        <v>7.0</v>
      </c>
      <c r="E15" s="44" t="s">
        <v>2893</v>
      </c>
      <c r="F15" s="162" t="str">
        <f>HYPERLINK("http://www.tribunnews.com/nasional/2019/01/20/respon-rencana-pembebasan-baasyir-icjr-minta-pemerintah-tinjau-ulang-hukuman-mati ","sumber")</f>
        <v>sumber</v>
      </c>
      <c r="G15" s="269" t="s">
        <v>33</v>
      </c>
      <c r="H15" s="166" t="s">
        <v>2905</v>
      </c>
      <c r="I15" s="44">
        <v>4.0</v>
      </c>
      <c r="J15" s="44">
        <v>4.0</v>
      </c>
      <c r="K15" s="164" t="s">
        <v>2906</v>
      </c>
      <c r="L15" s="44">
        <v>0.0</v>
      </c>
      <c r="M15" s="44">
        <v>0.0</v>
      </c>
      <c r="N15" s="44">
        <v>0.0</v>
      </c>
      <c r="O15" s="44">
        <v>0.0</v>
      </c>
      <c r="P15" s="44">
        <v>0.0</v>
      </c>
      <c r="Q15" s="44">
        <v>0.0</v>
      </c>
      <c r="R15" s="44">
        <v>1.0</v>
      </c>
      <c r="S15" s="164"/>
      <c r="T15" s="44">
        <v>0.0</v>
      </c>
      <c r="U15" s="44">
        <v>0.0</v>
      </c>
      <c r="V15" s="44">
        <v>1.0</v>
      </c>
      <c r="W15" s="45"/>
      <c r="X15" s="45"/>
      <c r="Y15" s="45"/>
      <c r="Z15" s="9"/>
    </row>
    <row r="16" ht="14.25" customHeight="1">
      <c r="A16" s="43">
        <v>2.0</v>
      </c>
      <c r="B16" s="48" t="s">
        <v>2907</v>
      </c>
      <c r="C16" s="47">
        <v>12.0</v>
      </c>
      <c r="D16" s="47">
        <v>2.0</v>
      </c>
      <c r="E16" s="47" t="s">
        <v>1985</v>
      </c>
      <c r="F16" s="156" t="str">
        <f>HYPERLINK("https://www.cnnindonesia.com/internasional/20190121181439-120-362574/suriah-diserang-iran-sebut-sudah-tidak-sabar-serbu-israel ","sumber")</f>
        <v>sumber</v>
      </c>
      <c r="G16" s="274" t="s">
        <v>33</v>
      </c>
      <c r="H16" s="192" t="s">
        <v>2908</v>
      </c>
      <c r="I16" s="47">
        <v>1.0</v>
      </c>
      <c r="J16" s="47">
        <v>5.0</v>
      </c>
      <c r="K16" s="157"/>
      <c r="L16" s="47"/>
      <c r="M16" s="47"/>
      <c r="N16" s="47"/>
      <c r="O16" s="47"/>
      <c r="P16" s="47"/>
      <c r="Q16" s="47"/>
      <c r="R16" s="47"/>
      <c r="S16" s="157"/>
      <c r="T16" s="47">
        <v>0.0</v>
      </c>
      <c r="U16" s="47">
        <v>0.0</v>
      </c>
      <c r="V16" s="47">
        <v>0.0</v>
      </c>
      <c r="W16" s="48"/>
      <c r="X16" s="48"/>
      <c r="Y16" s="47"/>
      <c r="Z16" s="43"/>
    </row>
    <row r="17" ht="14.25" customHeight="1">
      <c r="A17" s="43">
        <v>2.0</v>
      </c>
      <c r="B17" s="48" t="s">
        <v>1104</v>
      </c>
      <c r="C17" s="47">
        <v>13.0</v>
      </c>
      <c r="D17" s="47">
        <v>7.0</v>
      </c>
      <c r="E17" s="47" t="s">
        <v>87</v>
      </c>
      <c r="F17" s="156" t="str">
        <f>HYPERLINK("http://www.tribunnews.com/pilpres-2019/2019/01/26/pdip-pasuruan-siap-menangkan-jokowi-maruf-70-persen ","sumber")</f>
        <v>sumber</v>
      </c>
      <c r="G17" s="274" t="s">
        <v>33</v>
      </c>
      <c r="H17" s="192" t="s">
        <v>2909</v>
      </c>
      <c r="I17" s="47">
        <v>3.0</v>
      </c>
      <c r="J17" s="47">
        <v>4.0</v>
      </c>
      <c r="K17" s="157"/>
      <c r="L17" s="47"/>
      <c r="M17" s="47"/>
      <c r="N17" s="47"/>
      <c r="O17" s="47"/>
      <c r="P17" s="47"/>
      <c r="Q17" s="47"/>
      <c r="R17" s="47"/>
      <c r="S17" s="157"/>
      <c r="T17" s="47">
        <v>0.0</v>
      </c>
      <c r="U17" s="47">
        <v>0.0</v>
      </c>
      <c r="V17" s="47">
        <v>0.0</v>
      </c>
      <c r="W17" s="48"/>
      <c r="X17" s="48"/>
      <c r="Y17" s="47"/>
      <c r="Z17" s="43"/>
    </row>
    <row r="18" ht="14.25" customHeight="1">
      <c r="A18" s="43">
        <v>2.0</v>
      </c>
      <c r="B18" s="48" t="s">
        <v>2910</v>
      </c>
      <c r="C18" s="47">
        <v>14.0</v>
      </c>
      <c r="D18" s="47">
        <v>1.0</v>
      </c>
      <c r="E18" s="47" t="s">
        <v>98</v>
      </c>
      <c r="F18" s="156" t="str">
        <f>HYPERLINK("https://news.detik.com/berita/d-4408842/bermesraan-di-halaman-masjid-raya-aceh-sepasang-kekasih-dicambuk ","sumber")</f>
        <v>sumber</v>
      </c>
      <c r="G18" s="274" t="s">
        <v>33</v>
      </c>
      <c r="H18" s="192" t="s">
        <v>2911</v>
      </c>
      <c r="I18" s="47"/>
      <c r="J18" s="47"/>
      <c r="K18" s="165"/>
      <c r="L18" s="48"/>
      <c r="M18" s="48"/>
      <c r="N18" s="48"/>
      <c r="O18" s="48"/>
      <c r="P18" s="48"/>
      <c r="Q18" s="48"/>
      <c r="R18" s="48"/>
      <c r="S18" s="165"/>
      <c r="T18" s="48"/>
      <c r="U18" s="48"/>
      <c r="V18" s="48"/>
      <c r="W18" s="48"/>
      <c r="X18" s="48"/>
      <c r="Y18" s="47"/>
      <c r="Z18" s="43"/>
    </row>
    <row r="19" ht="14.25" customHeight="1">
      <c r="A19" s="9">
        <v>1.0</v>
      </c>
      <c r="B19" s="45" t="s">
        <v>2912</v>
      </c>
      <c r="C19" s="44">
        <v>15.0</v>
      </c>
      <c r="D19" s="44">
        <v>7.0</v>
      </c>
      <c r="E19" s="44" t="s">
        <v>98</v>
      </c>
      <c r="F19" s="162" t="str">
        <f>HYPERLINK("http://www.tribunnews.com/internasional/2019/01/31/republik-islam-iran-negara-yang-didirikan-dari-sebuah-desa-di-luar-kota-paris ","sumber")</f>
        <v>sumber</v>
      </c>
      <c r="G19" s="269" t="s">
        <v>33</v>
      </c>
      <c r="H19" s="166" t="s">
        <v>2913</v>
      </c>
      <c r="I19" s="44">
        <v>3.0</v>
      </c>
      <c r="J19" s="44">
        <v>4.0</v>
      </c>
      <c r="K19" s="164"/>
      <c r="L19" s="44">
        <v>-1.0</v>
      </c>
      <c r="M19" s="44">
        <v>0.0</v>
      </c>
      <c r="N19" s="44">
        <v>0.0</v>
      </c>
      <c r="O19" s="44">
        <v>0.0</v>
      </c>
      <c r="P19" s="44">
        <v>0.0</v>
      </c>
      <c r="Q19" s="44"/>
      <c r="R19" s="44"/>
      <c r="S19" s="164"/>
      <c r="T19" s="44">
        <v>0.0</v>
      </c>
      <c r="U19" s="44">
        <v>0.0</v>
      </c>
      <c r="V19" s="44">
        <v>0.0</v>
      </c>
      <c r="W19" s="45"/>
      <c r="X19" s="45"/>
      <c r="Y19" s="45"/>
      <c r="Z19" s="9"/>
    </row>
    <row r="20" ht="14.25" customHeight="1">
      <c r="A20" s="9">
        <v>1.0</v>
      </c>
      <c r="B20" s="45" t="s">
        <v>2914</v>
      </c>
      <c r="C20" s="44">
        <v>16.0</v>
      </c>
      <c r="D20" s="44">
        <v>10.0</v>
      </c>
      <c r="E20" s="268">
        <v>43771.0</v>
      </c>
      <c r="F20" s="162" t="str">
        <f>HYPERLINK("https://dunia.tempo.co/read/1174220/bocah-6-tahun-diduga-dibunuh-saat-kunjungi-makam-nabi-muhammad ","sumber")</f>
        <v>sumber</v>
      </c>
      <c r="G20" s="269" t="s">
        <v>33</v>
      </c>
      <c r="H20" s="166" t="s">
        <v>2915</v>
      </c>
      <c r="I20" s="44">
        <v>1.0</v>
      </c>
      <c r="J20" s="44">
        <v>4.0</v>
      </c>
      <c r="K20" s="164" t="s">
        <v>2916</v>
      </c>
      <c r="L20" s="44">
        <v>0.0</v>
      </c>
      <c r="M20" s="44">
        <v>1.0</v>
      </c>
      <c r="N20" s="44">
        <v>-1.0</v>
      </c>
      <c r="O20" s="44">
        <v>0.0</v>
      </c>
      <c r="P20" s="44">
        <v>0.0</v>
      </c>
      <c r="Q20" s="44">
        <v>1.0</v>
      </c>
      <c r="R20" s="44">
        <v>1.0</v>
      </c>
      <c r="S20" s="164"/>
      <c r="T20" s="44">
        <v>0.0</v>
      </c>
      <c r="U20" s="44">
        <v>0.0</v>
      </c>
      <c r="V20" s="44">
        <v>0.0</v>
      </c>
      <c r="W20" s="45"/>
      <c r="X20" s="45"/>
      <c r="Y20" s="45"/>
      <c r="Z20" s="9"/>
    </row>
    <row r="21" ht="14.25" customHeight="1">
      <c r="A21" s="9">
        <v>1.0</v>
      </c>
      <c r="B21" s="45" t="s">
        <v>2917</v>
      </c>
      <c r="C21" s="44">
        <v>17.0</v>
      </c>
      <c r="D21" s="44">
        <v>4.0</v>
      </c>
      <c r="E21" s="44" t="s">
        <v>2152</v>
      </c>
      <c r="F21" s="162" t="str">
        <f>HYPERLINK("https://www.liputan6.com/regional/read/3901053/disdukcapil-bandung-siap-layani-pembuatan-e-ktp-kolom-kepercayaan ","sumber")</f>
        <v>sumber</v>
      </c>
      <c r="G21" s="269" t="s">
        <v>33</v>
      </c>
      <c r="H21" s="166" t="s">
        <v>2918</v>
      </c>
      <c r="I21" s="44">
        <v>4.0</v>
      </c>
      <c r="J21" s="44">
        <v>4.0</v>
      </c>
      <c r="K21" s="164" t="s">
        <v>2919</v>
      </c>
      <c r="L21" s="44">
        <v>0.0</v>
      </c>
      <c r="M21" s="44">
        <v>0.0</v>
      </c>
      <c r="N21" s="44">
        <v>0.0</v>
      </c>
      <c r="O21" s="44">
        <v>0.0</v>
      </c>
      <c r="P21" s="44">
        <v>0.0</v>
      </c>
      <c r="Q21" s="44">
        <v>0.0</v>
      </c>
      <c r="R21" s="44">
        <v>0.0</v>
      </c>
      <c r="S21" s="164"/>
      <c r="T21" s="44">
        <v>0.0</v>
      </c>
      <c r="U21" s="44">
        <v>0.0</v>
      </c>
      <c r="V21" s="44">
        <v>0.0</v>
      </c>
      <c r="W21" s="45"/>
      <c r="X21" s="45"/>
      <c r="Y21" s="45"/>
      <c r="Z21" s="9"/>
    </row>
    <row r="22" ht="14.25" customHeight="1">
      <c r="A22" s="9">
        <v>1.0</v>
      </c>
      <c r="B22" s="45" t="s">
        <v>2920</v>
      </c>
      <c r="C22" s="44">
        <v>18.0</v>
      </c>
      <c r="D22" s="44">
        <v>7.0</v>
      </c>
      <c r="E22" s="44" t="s">
        <v>496</v>
      </c>
      <c r="F22" s="162" t="str">
        <f>HYPERLINK("http://www.tribunnews.com/nasional/2019/02/25/setara-institut-sebut-kasus-intoleransi-cukup-tinggi-dalam-11-tahun-terakhir ","sumber")</f>
        <v>sumber</v>
      </c>
      <c r="G22" s="269" t="s">
        <v>33</v>
      </c>
      <c r="H22" s="166" t="s">
        <v>2921</v>
      </c>
      <c r="I22" s="44">
        <v>5.0</v>
      </c>
      <c r="J22" s="44">
        <v>4.0</v>
      </c>
      <c r="K22" s="164" t="s">
        <v>2879</v>
      </c>
      <c r="L22" s="44">
        <v>0.0</v>
      </c>
      <c r="M22" s="44">
        <v>0.0</v>
      </c>
      <c r="N22" s="44">
        <v>0.0</v>
      </c>
      <c r="O22" s="44">
        <v>0.0</v>
      </c>
      <c r="P22" s="44">
        <v>0.0</v>
      </c>
      <c r="Q22" s="44">
        <v>0.0</v>
      </c>
      <c r="R22" s="44">
        <v>1.0</v>
      </c>
      <c r="S22" s="164"/>
      <c r="T22" s="44">
        <v>0.0</v>
      </c>
      <c r="U22" s="44">
        <v>0.0</v>
      </c>
      <c r="V22" s="44">
        <v>1.0</v>
      </c>
      <c r="W22" s="45"/>
      <c r="X22" s="45"/>
      <c r="Y22" s="45"/>
      <c r="Z22" s="9"/>
    </row>
    <row r="23" ht="14.25" customHeight="1">
      <c r="A23" s="9">
        <v>1.0</v>
      </c>
      <c r="B23" s="45" t="s">
        <v>2922</v>
      </c>
      <c r="C23" s="44">
        <v>19.0</v>
      </c>
      <c r="D23" s="44">
        <v>1.0</v>
      </c>
      <c r="E23" s="44" t="s">
        <v>360</v>
      </c>
      <c r="F23" s="162" t="str">
        <f>HYPERLINK("https://news.detik.com/berita-jawa-tengah/d-4446855/warga-sikep-di-kudus-belum-semua-isi-kolom-kepercayaan-di-e-ktp ","sumber")</f>
        <v>sumber</v>
      </c>
      <c r="G23" s="269" t="s">
        <v>33</v>
      </c>
      <c r="H23" s="166" t="s">
        <v>2923</v>
      </c>
      <c r="I23" s="44">
        <v>2.0</v>
      </c>
      <c r="J23" s="44">
        <v>4.0</v>
      </c>
      <c r="K23" s="164" t="s">
        <v>2924</v>
      </c>
      <c r="L23" s="44">
        <v>0.0</v>
      </c>
      <c r="M23" s="44">
        <v>0.0</v>
      </c>
      <c r="N23" s="44">
        <v>0.0</v>
      </c>
      <c r="O23" s="44">
        <v>0.0</v>
      </c>
      <c r="P23" s="44">
        <v>0.0</v>
      </c>
      <c r="Q23" s="44">
        <v>2.0</v>
      </c>
      <c r="R23" s="44">
        <v>1.0</v>
      </c>
      <c r="S23" s="164"/>
      <c r="T23" s="44">
        <v>0.0</v>
      </c>
      <c r="U23" s="44">
        <v>0.0</v>
      </c>
      <c r="V23" s="44">
        <v>1.0</v>
      </c>
      <c r="W23" s="45"/>
      <c r="X23" s="45"/>
      <c r="Y23" s="45"/>
      <c r="Z23" s="9"/>
    </row>
    <row r="24" ht="14.25" customHeight="1">
      <c r="A24" s="252">
        <v>1.0</v>
      </c>
      <c r="B24" s="55" t="s">
        <v>2925</v>
      </c>
      <c r="C24" s="55">
        <v>20.0</v>
      </c>
      <c r="D24" s="55">
        <v>8.0</v>
      </c>
      <c r="E24" s="55" t="s">
        <v>360</v>
      </c>
      <c r="F24" s="171" t="str">
        <f>HYPERLINK("https://www.suara.com/news/2019/02/27/164729/ini-cara-urus-e-ktp-bagi-penghayat-kepercayaan","sumber")</f>
        <v>sumber</v>
      </c>
      <c r="G24" s="277" t="s">
        <v>33</v>
      </c>
      <c r="H24" s="55">
        <v>169.0</v>
      </c>
      <c r="I24" s="278">
        <v>4.0</v>
      </c>
      <c r="J24" s="55">
        <v>4.0</v>
      </c>
      <c r="K24" s="172" t="s">
        <v>2926</v>
      </c>
      <c r="L24" s="55">
        <v>0.0</v>
      </c>
      <c r="M24" s="55">
        <v>0.0</v>
      </c>
      <c r="N24" s="55">
        <v>0.0</v>
      </c>
      <c r="O24" s="55">
        <v>0.0</v>
      </c>
      <c r="P24" s="55">
        <v>0.0</v>
      </c>
      <c r="Q24" s="55">
        <v>0.0</v>
      </c>
      <c r="R24" s="55">
        <v>1.0</v>
      </c>
      <c r="S24" s="172"/>
      <c r="T24" s="55">
        <v>0.0</v>
      </c>
      <c r="U24" s="55">
        <v>0.0</v>
      </c>
      <c r="V24" s="55">
        <v>0.0</v>
      </c>
      <c r="W24" s="46"/>
      <c r="X24" s="46"/>
      <c r="Y24" s="55"/>
      <c r="Z24" s="30"/>
    </row>
    <row r="25" ht="14.25" customHeight="1">
      <c r="A25" s="9">
        <v>1.0</v>
      </c>
      <c r="B25" s="45" t="s">
        <v>2927</v>
      </c>
      <c r="C25" s="44">
        <v>21.0</v>
      </c>
      <c r="D25" s="44">
        <v>5.0</v>
      </c>
      <c r="E25" s="44" t="s">
        <v>2339</v>
      </c>
      <c r="F25" s="162" t="str">
        <f>HYPERLINK("https://tirto.id/sejarah-diskriminasi-penganut-agama-lokal-di-indonesia-dhTX","sumber")</f>
        <v>sumber</v>
      </c>
      <c r="G25" s="269" t="s">
        <v>33</v>
      </c>
      <c r="H25" s="166" t="s">
        <v>2928</v>
      </c>
      <c r="I25" s="166">
        <v>1.0</v>
      </c>
      <c r="J25" s="166">
        <v>4.0</v>
      </c>
      <c r="K25" s="164" t="s">
        <v>2929</v>
      </c>
      <c r="L25" s="166">
        <v>0.0</v>
      </c>
      <c r="M25" s="166">
        <v>1.0</v>
      </c>
      <c r="N25" s="44">
        <v>0.0</v>
      </c>
      <c r="O25" s="166">
        <v>0.0</v>
      </c>
      <c r="P25" s="166">
        <v>0.0</v>
      </c>
      <c r="Q25" s="166" t="s">
        <v>814</v>
      </c>
      <c r="R25" s="166" t="s">
        <v>2930</v>
      </c>
      <c r="S25" s="279"/>
      <c r="T25" s="166">
        <v>0.0</v>
      </c>
      <c r="U25" s="166">
        <v>0.0</v>
      </c>
      <c r="V25" s="166">
        <v>1.0</v>
      </c>
      <c r="W25" s="45"/>
      <c r="X25" s="45"/>
      <c r="Y25" s="45"/>
      <c r="Z25" s="9"/>
    </row>
    <row r="26" ht="14.25" customHeight="1">
      <c r="A26" s="43">
        <v>2.0</v>
      </c>
      <c r="B26" s="48" t="s">
        <v>2931</v>
      </c>
      <c r="C26" s="47">
        <v>22.0</v>
      </c>
      <c r="D26" s="47">
        <v>9.0</v>
      </c>
      <c r="E26" s="280">
        <v>43619.0</v>
      </c>
      <c r="F26" s="156" t="str">
        <f>HYPERLINK("https://khazanah.republika.co.id/berita/dunia-islam/dunia/pnxpvz313/masjidmasjid-di-kanada-tak-pernah-sepi-dari-jamaah","sumber")</f>
        <v>sumber</v>
      </c>
      <c r="G26" s="274" t="s">
        <v>33</v>
      </c>
      <c r="H26" s="192" t="s">
        <v>2932</v>
      </c>
      <c r="I26" s="48">
        <v>2.0</v>
      </c>
      <c r="J26" s="47">
        <v>4.0</v>
      </c>
      <c r="K26" s="165"/>
      <c r="L26" s="48"/>
      <c r="M26" s="48"/>
      <c r="N26" s="47"/>
      <c r="O26" s="48"/>
      <c r="P26" s="48"/>
      <c r="Q26" s="48"/>
      <c r="R26" s="48"/>
      <c r="S26" s="165"/>
      <c r="T26" s="48">
        <v>0.0</v>
      </c>
      <c r="U26" s="48">
        <v>0.0</v>
      </c>
      <c r="V26" s="48">
        <v>1.0</v>
      </c>
      <c r="W26" s="48"/>
      <c r="X26" s="48"/>
      <c r="Y26" s="48"/>
      <c r="Z26" s="51"/>
    </row>
    <row r="27" ht="14.25" customHeight="1">
      <c r="A27" s="252">
        <v>1.0</v>
      </c>
      <c r="B27" s="55" t="s">
        <v>2933</v>
      </c>
      <c r="C27" s="55">
        <v>23.0</v>
      </c>
      <c r="D27" s="55">
        <v>8.0</v>
      </c>
      <c r="E27" s="281">
        <v>43619.0</v>
      </c>
      <c r="F27" s="171" t="str">
        <f>HYPERLINK("https://www.suara.com/news/2019/03/06/151826/rasa-toleransi-di-upacara-tawur-kasanga-jelang-nyepi-di-blitar","sumber")</f>
        <v>sumber</v>
      </c>
      <c r="G27" s="277" t="s">
        <v>33</v>
      </c>
      <c r="H27" s="55">
        <v>196.0</v>
      </c>
      <c r="I27" s="55">
        <v>3.0</v>
      </c>
      <c r="J27" s="55">
        <v>4.0</v>
      </c>
      <c r="K27" s="172" t="s">
        <v>2934</v>
      </c>
      <c r="L27" s="55">
        <v>0.0</v>
      </c>
      <c r="M27" s="55">
        <v>0.0</v>
      </c>
      <c r="N27" s="55">
        <v>0.0</v>
      </c>
      <c r="O27" s="55">
        <v>0.0</v>
      </c>
      <c r="P27" s="55">
        <v>0.0</v>
      </c>
      <c r="Q27" s="55">
        <v>0.0</v>
      </c>
      <c r="R27" s="55">
        <v>1.0</v>
      </c>
      <c r="S27" s="172"/>
      <c r="T27" s="55">
        <v>0.0</v>
      </c>
      <c r="U27" s="55">
        <v>0.0</v>
      </c>
      <c r="V27" s="55">
        <v>0.0</v>
      </c>
      <c r="W27" s="46"/>
      <c r="X27" s="46"/>
      <c r="Y27" s="55"/>
      <c r="Z27" s="30"/>
    </row>
    <row r="28" ht="14.25" customHeight="1">
      <c r="A28" s="9">
        <v>1.0</v>
      </c>
      <c r="B28" s="45" t="s">
        <v>2935</v>
      </c>
      <c r="C28" s="44">
        <v>24.0</v>
      </c>
      <c r="D28" s="44">
        <v>4.0</v>
      </c>
      <c r="E28" s="44" t="s">
        <v>147</v>
      </c>
      <c r="F28" s="162" t="str">
        <f>HYPERLINK("https://www.liputan6.com/global/read/3918370/pimpinan-komunitas-muslim-ahmadiyah-dunia-kecam-penembakan-di-selandia-baru","sumber")</f>
        <v>sumber</v>
      </c>
      <c r="G28" s="269" t="s">
        <v>33</v>
      </c>
      <c r="H28" s="45" t="s">
        <v>2936</v>
      </c>
      <c r="I28" s="45">
        <v>1.0</v>
      </c>
      <c r="J28" s="45">
        <v>4.0</v>
      </c>
      <c r="K28" s="175" t="s">
        <v>2937</v>
      </c>
      <c r="L28" s="45">
        <v>0.0</v>
      </c>
      <c r="M28" s="45">
        <v>1.0</v>
      </c>
      <c r="N28" s="44">
        <v>0.0</v>
      </c>
      <c r="O28" s="45">
        <v>0.0</v>
      </c>
      <c r="P28" s="45">
        <v>0.0</v>
      </c>
      <c r="Q28" s="45" t="s">
        <v>100</v>
      </c>
      <c r="R28" s="45" t="s">
        <v>100</v>
      </c>
      <c r="S28" s="175"/>
      <c r="T28" s="45">
        <v>0.0</v>
      </c>
      <c r="U28" s="45">
        <v>0.0</v>
      </c>
      <c r="V28" s="45">
        <v>0.0</v>
      </c>
      <c r="W28" s="45"/>
      <c r="X28" s="45"/>
      <c r="Y28" s="45"/>
      <c r="Z28" s="9"/>
    </row>
    <row r="29" ht="14.25" customHeight="1">
      <c r="A29" s="9">
        <v>1.0</v>
      </c>
      <c r="B29" s="45" t="s">
        <v>2938</v>
      </c>
      <c r="C29" s="44">
        <v>25.0</v>
      </c>
      <c r="D29" s="44">
        <v>3.0</v>
      </c>
      <c r="E29" s="44" t="s">
        <v>147</v>
      </c>
      <c r="F29" s="162" t="str">
        <f>HYPERLINK("https://news.okezone.com/read/2019/03/16/18/2030960/mobil-mogok-dosen-fkip-unsyiah-selamat-dari-penembakan-di-new-zealand","sumber")</f>
        <v>sumber</v>
      </c>
      <c r="G29" s="269" t="s">
        <v>33</v>
      </c>
      <c r="H29" s="45" t="s">
        <v>2939</v>
      </c>
      <c r="I29" s="44">
        <v>1.0</v>
      </c>
      <c r="J29" s="44">
        <v>4.0</v>
      </c>
      <c r="K29" s="164" t="s">
        <v>2940</v>
      </c>
      <c r="L29" s="44">
        <v>0.0</v>
      </c>
      <c r="M29" s="44">
        <v>1.0</v>
      </c>
      <c r="N29" s="44">
        <v>0.0</v>
      </c>
      <c r="O29" s="44">
        <v>0.0</v>
      </c>
      <c r="P29" s="44">
        <v>0.0</v>
      </c>
      <c r="Q29" s="44">
        <v>0.0</v>
      </c>
      <c r="R29" s="44">
        <v>1.0</v>
      </c>
      <c r="S29" s="164"/>
      <c r="T29" s="44">
        <v>0.0</v>
      </c>
      <c r="U29" s="44">
        <v>0.0</v>
      </c>
      <c r="V29" s="44">
        <v>0.0</v>
      </c>
      <c r="W29" s="45"/>
      <c r="X29" s="45"/>
      <c r="Y29" s="45"/>
      <c r="Z29" s="9"/>
    </row>
    <row r="30" ht="14.25" customHeight="1">
      <c r="A30" s="43">
        <v>2.0</v>
      </c>
      <c r="B30" s="48" t="s">
        <v>2941</v>
      </c>
      <c r="C30" s="47">
        <v>26.0</v>
      </c>
      <c r="D30" s="47">
        <v>4.0</v>
      </c>
      <c r="E30" s="47" t="s">
        <v>529</v>
      </c>
      <c r="F30" s="156" t="str">
        <f>HYPERLINK("https://www.liputan6.com/global/read/3927261/as-klaim-dataran-tinggi-golan-milik-israel-suriah-desak-pbb-gelar-rapat-darurat","sumber")</f>
        <v>sumber</v>
      </c>
      <c r="G30" s="274" t="s">
        <v>33</v>
      </c>
      <c r="H30" s="48" t="s">
        <v>2942</v>
      </c>
      <c r="I30" s="47">
        <v>1.0</v>
      </c>
      <c r="J30" s="47">
        <v>5.0</v>
      </c>
      <c r="K30" s="165"/>
      <c r="L30" s="48"/>
      <c r="M30" s="48"/>
      <c r="N30" s="48"/>
      <c r="O30" s="48"/>
      <c r="P30" s="48"/>
      <c r="Q30" s="48"/>
      <c r="R30" s="48"/>
      <c r="S30" s="165"/>
      <c r="T30" s="48"/>
      <c r="U30" s="48"/>
      <c r="V30" s="48"/>
      <c r="W30" s="48"/>
      <c r="X30" s="48"/>
      <c r="Y30" s="47"/>
      <c r="Z30" s="43"/>
    </row>
    <row r="31" ht="14.25" customHeight="1">
      <c r="A31" s="43">
        <v>2.0</v>
      </c>
      <c r="B31" s="48" t="s">
        <v>2943</v>
      </c>
      <c r="C31" s="47">
        <v>27.0</v>
      </c>
      <c r="D31" s="47">
        <v>4.0</v>
      </c>
      <c r="E31" s="47" t="s">
        <v>171</v>
      </c>
      <c r="F31" s="156" t="str">
        <f>HYPERLINK("https://www.liputan6.com/global/read/3930587/makam-nabi-yunus-hingga-masjid-6-situs-kuno-yang-hancur-oleh-isis","sumber")</f>
        <v>sumber</v>
      </c>
      <c r="G31" s="274" t="s">
        <v>33</v>
      </c>
      <c r="H31" s="48" t="s">
        <v>2944</v>
      </c>
      <c r="I31" s="47">
        <v>1.0</v>
      </c>
      <c r="J31" s="47">
        <v>4.0</v>
      </c>
      <c r="K31" s="165"/>
      <c r="L31" s="48"/>
      <c r="M31" s="48"/>
      <c r="N31" s="48"/>
      <c r="O31" s="48"/>
      <c r="P31" s="48"/>
      <c r="Q31" s="48"/>
      <c r="R31" s="48"/>
      <c r="S31" s="165"/>
      <c r="T31" s="48"/>
      <c r="U31" s="48"/>
      <c r="V31" s="48"/>
      <c r="W31" s="48"/>
      <c r="X31" s="48"/>
      <c r="Y31" s="47"/>
      <c r="Z31" s="43"/>
    </row>
    <row r="32" ht="14.25" customHeight="1">
      <c r="A32" s="43">
        <v>2.0</v>
      </c>
      <c r="B32" s="48" t="s">
        <v>2945</v>
      </c>
      <c r="C32" s="47">
        <v>28.0</v>
      </c>
      <c r="D32" s="47">
        <v>9.0</v>
      </c>
      <c r="E32" s="280">
        <v>43500.0</v>
      </c>
      <c r="F32" s="156" t="str">
        <f>HYPERLINK("https://nasional.republika.co.id/berita/nasional/politik/ppc1jb430/kpu-undang-seluruh-ketum-parpol-hadiri-debat-terakhir","sumber")</f>
        <v>sumber</v>
      </c>
      <c r="G32" s="274" t="s">
        <v>33</v>
      </c>
      <c r="H32" s="48" t="s">
        <v>2946</v>
      </c>
      <c r="I32" s="47">
        <v>5.0</v>
      </c>
      <c r="J32" s="47">
        <v>4.0</v>
      </c>
      <c r="K32" s="157"/>
      <c r="L32" s="47"/>
      <c r="M32" s="47"/>
      <c r="N32" s="47"/>
      <c r="O32" s="47"/>
      <c r="P32" s="47"/>
      <c r="Q32" s="47"/>
      <c r="R32" s="47"/>
      <c r="S32" s="157"/>
      <c r="T32" s="47"/>
      <c r="U32" s="47"/>
      <c r="V32" s="47"/>
      <c r="W32" s="48"/>
      <c r="X32" s="48"/>
      <c r="Y32" s="47"/>
      <c r="Z32" s="43"/>
    </row>
    <row r="33" ht="14.25" customHeight="1">
      <c r="A33" s="9">
        <v>1.0</v>
      </c>
      <c r="B33" s="45" t="s">
        <v>2947</v>
      </c>
      <c r="C33" s="44">
        <v>29.0</v>
      </c>
      <c r="D33" s="44">
        <v>4.0</v>
      </c>
      <c r="E33" s="268">
        <v>43559.0</v>
      </c>
      <c r="F33" s="162" t="str">
        <f>HYPERLINK("https://www.liputan6.com/news/read/3933186/segel-untuk-masjid-ahmadiyah-di-bekasi-6-tahun-silam","sumber")</f>
        <v>sumber</v>
      </c>
      <c r="G33" s="269" t="s">
        <v>33</v>
      </c>
      <c r="H33" s="45" t="s">
        <v>2948</v>
      </c>
      <c r="I33" s="44">
        <v>1.0</v>
      </c>
      <c r="J33" s="44">
        <v>4.0</v>
      </c>
      <c r="K33" s="164" t="s">
        <v>2949</v>
      </c>
      <c r="L33" s="44">
        <v>0.0</v>
      </c>
      <c r="M33" s="44">
        <v>1.0</v>
      </c>
      <c r="N33" s="44">
        <v>0.0</v>
      </c>
      <c r="O33" s="44">
        <v>0.0</v>
      </c>
      <c r="P33" s="44">
        <v>0.0</v>
      </c>
      <c r="Q33" s="44" t="s">
        <v>887</v>
      </c>
      <c r="R33" s="44" t="s">
        <v>2950</v>
      </c>
      <c r="S33" s="164"/>
      <c r="T33" s="44">
        <v>0.0</v>
      </c>
      <c r="U33" s="44">
        <v>0.0</v>
      </c>
      <c r="V33" s="44">
        <v>1.0</v>
      </c>
      <c r="W33" s="45"/>
      <c r="X33" s="45"/>
      <c r="Y33" s="45"/>
      <c r="Z33" s="9"/>
    </row>
    <row r="34" ht="14.25" customHeight="1">
      <c r="A34" s="9">
        <v>1.0</v>
      </c>
      <c r="B34" s="45" t="s">
        <v>2951</v>
      </c>
      <c r="C34" s="44">
        <v>30.0</v>
      </c>
      <c r="D34" s="44">
        <v>10.0</v>
      </c>
      <c r="E34" s="268">
        <v>43559.0</v>
      </c>
      <c r="F34" s="162" t="str">
        <f>HYPERLINK("https://nasional.tempo.co/read/1192220/kepala-dusun-bantul-minta-maaf-soal-larangan-non-muslim-tinggal","sumber")</f>
        <v>sumber</v>
      </c>
      <c r="G34" s="269" t="s">
        <v>33</v>
      </c>
      <c r="H34" s="45" t="s">
        <v>2952</v>
      </c>
      <c r="I34" s="44">
        <v>1.0</v>
      </c>
      <c r="J34" s="44">
        <v>4.0</v>
      </c>
      <c r="K34" s="164" t="s">
        <v>2953</v>
      </c>
      <c r="L34" s="44">
        <v>0.0</v>
      </c>
      <c r="M34" s="44">
        <v>1.0</v>
      </c>
      <c r="N34" s="44">
        <v>0.0</v>
      </c>
      <c r="O34" s="44">
        <v>0.0</v>
      </c>
      <c r="P34" s="44">
        <v>0.0</v>
      </c>
      <c r="Q34" s="44" t="s">
        <v>2954</v>
      </c>
      <c r="R34" s="44" t="s">
        <v>2955</v>
      </c>
      <c r="S34" s="164" t="s">
        <v>2956</v>
      </c>
      <c r="T34" s="44">
        <v>2.0</v>
      </c>
      <c r="U34" s="44">
        <v>0.0</v>
      </c>
      <c r="V34" s="44">
        <v>1.0</v>
      </c>
      <c r="W34" s="45"/>
      <c r="X34" s="45"/>
      <c r="Y34" s="45"/>
      <c r="Z34" s="9"/>
    </row>
    <row r="35" ht="14.25" customHeight="1">
      <c r="A35" s="282">
        <v>1.0</v>
      </c>
      <c r="B35" s="283" t="s">
        <v>2957</v>
      </c>
      <c r="C35" s="44">
        <v>31.0</v>
      </c>
      <c r="D35" s="44">
        <v>10.0</v>
      </c>
      <c r="E35" s="268">
        <v>43589.0</v>
      </c>
      <c r="F35" s="284" t="str">
        <f>HYPERLINK("https://nasional.tempo.co/read/1192703/yogyakarta-dicap-intoleran-sultan-hb-x-keluarkan-instruksi-ini ","sumber")</f>
        <v>sumber</v>
      </c>
      <c r="G35" s="269" t="s">
        <v>33</v>
      </c>
      <c r="H35" s="45" t="s">
        <v>2958</v>
      </c>
      <c r="I35" s="44">
        <v>4.0</v>
      </c>
      <c r="J35" s="44">
        <v>4.0</v>
      </c>
      <c r="K35" s="164" t="s">
        <v>2959</v>
      </c>
      <c r="L35" s="44">
        <v>0.0</v>
      </c>
      <c r="M35" s="44">
        <v>0.0</v>
      </c>
      <c r="N35" s="44">
        <v>0.0</v>
      </c>
      <c r="O35" s="44">
        <v>0.0</v>
      </c>
      <c r="P35" s="44">
        <v>0.0</v>
      </c>
      <c r="Q35" s="44">
        <v>0.0</v>
      </c>
      <c r="R35" s="44">
        <v>1.0</v>
      </c>
      <c r="S35" s="164"/>
      <c r="T35" s="44">
        <v>0.0</v>
      </c>
      <c r="U35" s="44">
        <v>0.0</v>
      </c>
      <c r="V35" s="44">
        <v>0.0</v>
      </c>
      <c r="W35" s="45"/>
      <c r="X35" s="45"/>
      <c r="Y35" s="45"/>
      <c r="Z35" s="9"/>
    </row>
    <row r="36" ht="14.25" customHeight="1">
      <c r="A36" s="214">
        <v>2.0</v>
      </c>
      <c r="B36" s="285" t="s">
        <v>2960</v>
      </c>
      <c r="C36" s="47">
        <v>32.0</v>
      </c>
      <c r="D36" s="47">
        <v>1.0</v>
      </c>
      <c r="E36" s="280">
        <v>43620.0</v>
      </c>
      <c r="F36" s="156" t="str">
        <f>HYPERLINK("https://news.detik.com/internasional/d-4499216/as-akan-umumkan-pasukan-garda-revolusi-iran-sebagai-organisasi-teroris ","sumber")</f>
        <v>sumber</v>
      </c>
      <c r="G36" s="274" t="s">
        <v>33</v>
      </c>
      <c r="H36" s="48" t="s">
        <v>2961</v>
      </c>
      <c r="I36" s="48"/>
      <c r="J36" s="48"/>
      <c r="K36" s="165"/>
      <c r="L36" s="48"/>
      <c r="M36" s="48"/>
      <c r="N36" s="48"/>
      <c r="O36" s="48"/>
      <c r="P36" s="48"/>
      <c r="Q36" s="48"/>
      <c r="R36" s="48"/>
      <c r="S36" s="165"/>
      <c r="T36" s="48"/>
      <c r="U36" s="48"/>
      <c r="V36" s="48"/>
      <c r="W36" s="48"/>
      <c r="X36" s="48"/>
      <c r="Y36" s="47"/>
      <c r="Z36" s="43"/>
    </row>
    <row r="37" ht="14.25" customHeight="1">
      <c r="A37" s="214">
        <v>2.0</v>
      </c>
      <c r="B37" s="285" t="s">
        <v>2962</v>
      </c>
      <c r="C37" s="47">
        <v>33.0</v>
      </c>
      <c r="D37" s="47">
        <v>10.0</v>
      </c>
      <c r="E37" s="280">
        <v>43620.0</v>
      </c>
      <c r="F37" s="156" t="str">
        <f>HYPERLINK("https://dunia.tempo.co/read/1192952/as-masukkan-garda-revolusi-iran-dalam-daftar-teroris ","sumber")</f>
        <v>sumber</v>
      </c>
      <c r="G37" s="274" t="s">
        <v>33</v>
      </c>
      <c r="H37" s="48" t="s">
        <v>2963</v>
      </c>
      <c r="I37" s="48"/>
      <c r="J37" s="48"/>
      <c r="K37" s="165"/>
      <c r="L37" s="48"/>
      <c r="M37" s="48"/>
      <c r="N37" s="48"/>
      <c r="O37" s="48"/>
      <c r="P37" s="48"/>
      <c r="Q37" s="48"/>
      <c r="R37" s="48"/>
      <c r="S37" s="165"/>
      <c r="T37" s="48"/>
      <c r="U37" s="48"/>
      <c r="V37" s="48"/>
      <c r="W37" s="48"/>
      <c r="X37" s="48"/>
      <c r="Y37" s="47"/>
      <c r="Z37" s="43"/>
    </row>
    <row r="38" ht="14.25" customHeight="1">
      <c r="A38" s="214">
        <v>2.0</v>
      </c>
      <c r="B38" s="285" t="s">
        <v>2964</v>
      </c>
      <c r="C38" s="47">
        <v>34.0</v>
      </c>
      <c r="D38" s="47">
        <v>8.0</v>
      </c>
      <c r="E38" s="280">
        <v>43712.0</v>
      </c>
      <c r="F38" s="156" t="str">
        <f>HYPERLINK("https://www.suara.com/news/2019/04/09/134418/donald-trump-resmi-nyatakan-pasukan-pengawal-revolusi-iran-sebagai-teroris ","sumber")</f>
        <v>sumber</v>
      </c>
      <c r="G38" s="274" t="s">
        <v>33</v>
      </c>
      <c r="H38" s="48" t="s">
        <v>2965</v>
      </c>
      <c r="I38" s="48"/>
      <c r="J38" s="48"/>
      <c r="K38" s="165"/>
      <c r="L38" s="48"/>
      <c r="M38" s="48"/>
      <c r="N38" s="48"/>
      <c r="O38" s="48"/>
      <c r="P38" s="48"/>
      <c r="Q38" s="48"/>
      <c r="R38" s="48"/>
      <c r="S38" s="165"/>
      <c r="T38" s="48"/>
      <c r="U38" s="48"/>
      <c r="V38" s="48"/>
      <c r="W38" s="48"/>
      <c r="X38" s="48"/>
      <c r="Y38" s="47"/>
      <c r="Z38" s="43"/>
    </row>
    <row r="39" ht="14.25" customHeight="1">
      <c r="A39" s="282">
        <v>1.0</v>
      </c>
      <c r="B39" s="283" t="s">
        <v>2966</v>
      </c>
      <c r="C39" s="44">
        <v>35.0</v>
      </c>
      <c r="D39" s="44">
        <v>8.0</v>
      </c>
      <c r="E39" s="268">
        <v>43803.0</v>
      </c>
      <c r="F39" s="162" t="str">
        <f>HYPERLINK("https://www.suara.com/news/2019/04/12/143832/bom-meledak-di-tengah-pasar-16-orang-tewas-di-pakistan ","sumber")</f>
        <v>sumber</v>
      </c>
      <c r="G39" s="269" t="s">
        <v>33</v>
      </c>
      <c r="H39" s="45" t="s">
        <v>2967</v>
      </c>
      <c r="I39" s="44">
        <v>1.0</v>
      </c>
      <c r="J39" s="44">
        <v>4.0</v>
      </c>
      <c r="K39" s="164" t="s">
        <v>2968</v>
      </c>
      <c r="L39" s="44">
        <v>0.0</v>
      </c>
      <c r="M39" s="44">
        <v>1.0</v>
      </c>
      <c r="N39" s="44">
        <v>0.0</v>
      </c>
      <c r="O39" s="44">
        <v>0.0</v>
      </c>
      <c r="P39" s="44">
        <v>0.0</v>
      </c>
      <c r="Q39" s="44">
        <v>0.0</v>
      </c>
      <c r="R39" s="44">
        <v>0.0</v>
      </c>
      <c r="S39" s="164"/>
      <c r="T39" s="44">
        <v>0.0</v>
      </c>
      <c r="U39" s="44">
        <v>0.0</v>
      </c>
      <c r="V39" s="44">
        <v>0.0</v>
      </c>
      <c r="W39" s="45"/>
      <c r="X39" s="45"/>
      <c r="Y39" s="45"/>
      <c r="Z39" s="9"/>
    </row>
    <row r="40" ht="14.25" customHeight="1">
      <c r="A40" s="214">
        <v>2.0</v>
      </c>
      <c r="B40" s="70" t="s">
        <v>2969</v>
      </c>
      <c r="C40" s="47">
        <v>36.0</v>
      </c>
      <c r="D40" s="47">
        <v>4.0</v>
      </c>
      <c r="E40" s="47" t="s">
        <v>766</v>
      </c>
      <c r="F40" s="156" t="str">
        <f>HYPERLINK("https://www.liputan6.com/global/read/3940817/wanita-asia-ini-muslimah-pertama-yang-jadi-wali-kota-di-amerika ","sumber")</f>
        <v>sumber</v>
      </c>
      <c r="G40" s="274" t="s">
        <v>33</v>
      </c>
      <c r="H40" s="47">
        <v>699.0</v>
      </c>
      <c r="I40" s="47">
        <v>3.0</v>
      </c>
      <c r="J40" s="47">
        <v>4.0</v>
      </c>
      <c r="K40" s="165"/>
      <c r="L40" s="48"/>
      <c r="M40" s="48"/>
      <c r="N40" s="48"/>
      <c r="O40" s="48"/>
      <c r="P40" s="48"/>
      <c r="Q40" s="48"/>
      <c r="R40" s="48"/>
      <c r="S40" s="165"/>
      <c r="T40" s="48"/>
      <c r="U40" s="48"/>
      <c r="V40" s="48"/>
      <c r="W40" s="48"/>
      <c r="X40" s="48"/>
      <c r="Y40" s="47"/>
      <c r="Z40" s="43"/>
    </row>
    <row r="41" ht="14.25" customHeight="1">
      <c r="A41" s="282">
        <v>1.0</v>
      </c>
      <c r="B41" s="283" t="s">
        <v>2970</v>
      </c>
      <c r="C41" s="44">
        <v>37.0</v>
      </c>
      <c r="D41" s="44">
        <v>8.0</v>
      </c>
      <c r="E41" s="44" t="s">
        <v>569</v>
      </c>
      <c r="F41" s="162" t="str">
        <f>HYPERLINK("https://www.suara.com/news/2019/04/18/160050/kelompok-bersenjata-di-pakistan-bajak-bus-lalu-bunuh-14-penumpang ","sumber")</f>
        <v>sumber</v>
      </c>
      <c r="G41" s="269" t="s">
        <v>33</v>
      </c>
      <c r="H41" s="45" t="s">
        <v>2971</v>
      </c>
      <c r="I41" s="44">
        <v>1.0</v>
      </c>
      <c r="J41" s="44">
        <v>4.0</v>
      </c>
      <c r="K41" s="164"/>
      <c r="L41" s="44">
        <v>-1.0</v>
      </c>
      <c r="M41" s="44">
        <v>-1.0</v>
      </c>
      <c r="N41" s="44">
        <v>0.0</v>
      </c>
      <c r="O41" s="44">
        <v>0.0</v>
      </c>
      <c r="P41" s="44">
        <v>0.0</v>
      </c>
      <c r="Q41" s="44"/>
      <c r="R41" s="44"/>
      <c r="S41" s="164"/>
      <c r="T41" s="44">
        <v>0.0</v>
      </c>
      <c r="U41" s="44">
        <v>0.0</v>
      </c>
      <c r="V41" s="44">
        <v>0.0</v>
      </c>
      <c r="W41" s="45"/>
      <c r="X41" s="45"/>
      <c r="Y41" s="44"/>
      <c r="Z41" s="52"/>
    </row>
    <row r="42" ht="14.25" customHeight="1">
      <c r="A42" s="282">
        <v>1.0</v>
      </c>
      <c r="B42" s="283" t="s">
        <v>2972</v>
      </c>
      <c r="C42" s="44">
        <v>38.0</v>
      </c>
      <c r="D42" s="44">
        <v>9.0</v>
      </c>
      <c r="E42" s="44" t="s">
        <v>2973</v>
      </c>
      <c r="F42" s="162" t="str">
        <f>HYPERLINK("https://internasional.republika.co.id/berita/internasional/amerika/pqm5wd382/as-diminta-sanksi-saudi-karena-eksekusi-mati-37-warganya ","sumber")</f>
        <v>sumber</v>
      </c>
      <c r="G42" s="269" t="s">
        <v>33</v>
      </c>
      <c r="H42" s="45" t="s">
        <v>2974</v>
      </c>
      <c r="I42" s="44">
        <v>1.0</v>
      </c>
      <c r="J42" s="44">
        <v>4.0</v>
      </c>
      <c r="K42" s="286" t="s">
        <v>2975</v>
      </c>
      <c r="L42" s="44">
        <v>0.0</v>
      </c>
      <c r="M42" s="44">
        <v>1.0</v>
      </c>
      <c r="N42" s="44">
        <v>0.0</v>
      </c>
      <c r="O42" s="44">
        <v>0.0</v>
      </c>
      <c r="P42" s="44">
        <v>0.0</v>
      </c>
      <c r="Q42" s="44" t="s">
        <v>53</v>
      </c>
      <c r="R42" s="44" t="s">
        <v>392</v>
      </c>
      <c r="S42" s="164"/>
      <c r="T42" s="44">
        <v>0.0</v>
      </c>
      <c r="U42" s="44">
        <v>0.0</v>
      </c>
      <c r="V42" s="44">
        <v>0.0</v>
      </c>
      <c r="W42" s="45"/>
      <c r="X42" s="45"/>
      <c r="Y42" s="45"/>
      <c r="Z42" s="9"/>
    </row>
    <row r="43" ht="14.25" customHeight="1">
      <c r="A43" s="282">
        <v>1.0</v>
      </c>
      <c r="B43" s="283" t="s">
        <v>2056</v>
      </c>
      <c r="C43" s="44">
        <v>39.0</v>
      </c>
      <c r="D43" s="44">
        <v>4.0</v>
      </c>
      <c r="E43" s="44" t="s">
        <v>2053</v>
      </c>
      <c r="F43" s="162" t="str">
        <f>HYPERLINK("https://www.liputan6.com/global/read/3952307/warga-saudi-yang-dieksekusi-gantung-bantah-terlibat-aksi-terorisme ","sumber")</f>
        <v>sumber</v>
      </c>
      <c r="G43" s="269" t="s">
        <v>33</v>
      </c>
      <c r="H43" s="45" t="s">
        <v>2976</v>
      </c>
      <c r="I43" s="44">
        <v>1.0</v>
      </c>
      <c r="J43" s="44">
        <v>4.0</v>
      </c>
      <c r="K43" s="164" t="s">
        <v>2977</v>
      </c>
      <c r="L43" s="44">
        <v>0.0</v>
      </c>
      <c r="M43" s="44">
        <v>1.0</v>
      </c>
      <c r="N43" s="44">
        <v>0.0</v>
      </c>
      <c r="O43" s="44">
        <v>0.0</v>
      </c>
      <c r="P43" s="44">
        <v>0.0</v>
      </c>
      <c r="Q43" s="44" t="s">
        <v>2978</v>
      </c>
      <c r="R43" s="44" t="s">
        <v>2979</v>
      </c>
      <c r="S43" s="164"/>
      <c r="T43" s="44">
        <v>0.0</v>
      </c>
      <c r="U43" s="44">
        <v>0.0</v>
      </c>
      <c r="V43" s="44">
        <v>1.0</v>
      </c>
      <c r="W43" s="45"/>
      <c r="X43" s="45"/>
      <c r="Y43" s="45"/>
      <c r="Z43" s="9"/>
    </row>
    <row r="44" ht="14.25" customHeight="1">
      <c r="A44" s="282">
        <v>1.0</v>
      </c>
      <c r="B44" s="283" t="s">
        <v>2980</v>
      </c>
      <c r="C44" s="44">
        <v>40.0</v>
      </c>
      <c r="D44" s="44">
        <v>3.0</v>
      </c>
      <c r="E44" s="44" t="s">
        <v>386</v>
      </c>
      <c r="F44" s="162" t="str">
        <f>HYPERLINK("https://news.okezone.com/read/2019/04/29/18/2049437/pemuda-saudi-dihukum-pancung-karena-kirim-pesan-via-whatsapp ","sumber")</f>
        <v>sumber</v>
      </c>
      <c r="G44" s="269" t="s">
        <v>33</v>
      </c>
      <c r="H44" s="45" t="s">
        <v>2981</v>
      </c>
      <c r="I44" s="44">
        <v>1.0</v>
      </c>
      <c r="J44" s="44">
        <v>4.0</v>
      </c>
      <c r="K44" s="164" t="s">
        <v>2982</v>
      </c>
      <c r="L44" s="44">
        <v>0.0</v>
      </c>
      <c r="M44" s="44">
        <v>1.0</v>
      </c>
      <c r="N44" s="44">
        <v>0.0</v>
      </c>
      <c r="O44" s="44">
        <v>0.0</v>
      </c>
      <c r="P44" s="44">
        <v>0.0</v>
      </c>
      <c r="Q44" s="44" t="s">
        <v>61</v>
      </c>
      <c r="R44" s="44" t="s">
        <v>192</v>
      </c>
      <c r="S44" s="164"/>
      <c r="T44" s="44">
        <v>0.0</v>
      </c>
      <c r="U44" s="44">
        <v>0.0</v>
      </c>
      <c r="V44" s="44">
        <v>0.0</v>
      </c>
      <c r="W44" s="45"/>
      <c r="X44" s="45"/>
      <c r="Y44" s="45"/>
      <c r="Z44" s="9"/>
    </row>
    <row r="45" ht="14.25" customHeight="1">
      <c r="A45" s="282">
        <v>1.0</v>
      </c>
      <c r="B45" s="283" t="s">
        <v>2983</v>
      </c>
      <c r="C45" s="44">
        <v>41.0</v>
      </c>
      <c r="D45" s="44">
        <v>4.0</v>
      </c>
      <c r="E45" s="287">
        <v>43588.0</v>
      </c>
      <c r="F45" s="162" t="str">
        <f>HYPERLINK("https://www.liputan6.com/global/read/3956177/sejumlah-negara-dan-organisasi-ham-desak-saudi-setop-hukuman-mati","sumber")</f>
        <v>sumber</v>
      </c>
      <c r="G45" s="269" t="s">
        <v>33</v>
      </c>
      <c r="H45" s="45" t="s">
        <v>2984</v>
      </c>
      <c r="I45" s="44">
        <v>4.0</v>
      </c>
      <c r="J45" s="44">
        <v>4.0</v>
      </c>
      <c r="K45" s="164" t="s">
        <v>2985</v>
      </c>
      <c r="L45" s="44">
        <v>0.0</v>
      </c>
      <c r="M45" s="44">
        <v>0.0</v>
      </c>
      <c r="N45" s="44">
        <v>0.0</v>
      </c>
      <c r="O45" s="44">
        <v>0.0</v>
      </c>
      <c r="P45" s="44">
        <v>0.0</v>
      </c>
      <c r="Q45" s="44" t="s">
        <v>53</v>
      </c>
      <c r="R45" s="44" t="s">
        <v>131</v>
      </c>
      <c r="S45" s="164"/>
      <c r="T45" s="44">
        <v>0.0</v>
      </c>
      <c r="U45" s="44">
        <v>0.0</v>
      </c>
      <c r="V45" s="44">
        <v>1.0</v>
      </c>
      <c r="W45" s="45"/>
      <c r="X45" s="45"/>
      <c r="Y45" s="45"/>
      <c r="Z45" s="9"/>
    </row>
    <row r="46" ht="14.25" customHeight="1">
      <c r="A46" s="282">
        <v>1.0</v>
      </c>
      <c r="B46" s="283" t="s">
        <v>2986</v>
      </c>
      <c r="C46" s="44">
        <v>42.0</v>
      </c>
      <c r="D46" s="44">
        <v>8.0</v>
      </c>
      <c r="E46" s="287">
        <v>43595.0</v>
      </c>
      <c r="F46" s="162" t="str">
        <f>HYPERLINK("https://www.suara.com/news/2019/05/10/055406/3-orang-dinyatakan-bersalah-atas-pembakaran-masjid-syiah-di-australia","sumber")</f>
        <v>sumber</v>
      </c>
      <c r="G46" s="269" t="s">
        <v>33</v>
      </c>
      <c r="H46" s="45" t="s">
        <v>2987</v>
      </c>
      <c r="I46" s="44">
        <v>1.0</v>
      </c>
      <c r="J46" s="44">
        <v>4.0</v>
      </c>
      <c r="K46" s="164"/>
      <c r="L46" s="44">
        <v>-1.0</v>
      </c>
      <c r="M46" s="44">
        <v>0.0</v>
      </c>
      <c r="N46" s="44">
        <v>0.0</v>
      </c>
      <c r="O46" s="44">
        <v>0.0</v>
      </c>
      <c r="P46" s="44">
        <v>0.0</v>
      </c>
      <c r="Q46" s="44"/>
      <c r="R46" s="44"/>
      <c r="S46" s="164"/>
      <c r="T46" s="44">
        <v>0.0</v>
      </c>
      <c r="U46" s="44">
        <v>0.0</v>
      </c>
      <c r="V46" s="44">
        <v>0.0</v>
      </c>
      <c r="W46" s="45"/>
      <c r="X46" s="45"/>
      <c r="Y46" s="45"/>
      <c r="Z46" s="9"/>
    </row>
    <row r="47" ht="14.25" customHeight="1">
      <c r="A47" s="214">
        <v>2.0</v>
      </c>
      <c r="B47" s="285" t="s">
        <v>2988</v>
      </c>
      <c r="C47" s="47">
        <v>43.0</v>
      </c>
      <c r="D47" s="47">
        <v>10.0</v>
      </c>
      <c r="E47" s="288">
        <v>43595.0</v>
      </c>
      <c r="F47" s="156" t="str">
        <f>HYPERLINK("https://dunia.tempo.co/read/1203852/kelompok-ham-di-prancis-blokade-pengiriman-senjata-ke-arab-saudi","sumber")</f>
        <v>sumber</v>
      </c>
      <c r="G47" s="274" t="s">
        <v>33</v>
      </c>
      <c r="H47" s="48" t="s">
        <v>2989</v>
      </c>
      <c r="I47" s="48"/>
      <c r="J47" s="48"/>
      <c r="K47" s="165"/>
      <c r="L47" s="48"/>
      <c r="M47" s="48"/>
      <c r="N47" s="48"/>
      <c r="O47" s="47"/>
      <c r="P47" s="48"/>
      <c r="Q47" s="48"/>
      <c r="R47" s="48"/>
      <c r="S47" s="165"/>
      <c r="T47" s="48"/>
      <c r="U47" s="48"/>
      <c r="V47" s="48"/>
      <c r="W47" s="48"/>
      <c r="X47" s="48"/>
      <c r="Y47" s="47"/>
      <c r="Z47" s="43"/>
    </row>
    <row r="48" ht="14.25" customHeight="1">
      <c r="A48" s="214">
        <v>2.0</v>
      </c>
      <c r="B48" s="285" t="s">
        <v>400</v>
      </c>
      <c r="C48" s="47">
        <v>44.0</v>
      </c>
      <c r="D48" s="47">
        <v>8.0</v>
      </c>
      <c r="E48" s="288">
        <v>43606.0</v>
      </c>
      <c r="F48" s="156" t="str">
        <f>HYPERLINK("https://www.suara.com/news/2019/05/21/102304/new-york-times-jokowi-menang-lagi-kalahkan-eks-jenderal-garis-keras","sumber")</f>
        <v>sumber</v>
      </c>
      <c r="G48" s="274" t="s">
        <v>33</v>
      </c>
      <c r="H48" s="48" t="s">
        <v>2990</v>
      </c>
      <c r="I48" s="48"/>
      <c r="J48" s="48"/>
      <c r="K48" s="165"/>
      <c r="L48" s="48"/>
      <c r="M48" s="48"/>
      <c r="N48" s="48"/>
      <c r="O48" s="48"/>
      <c r="P48" s="48"/>
      <c r="Q48" s="48"/>
      <c r="R48" s="48"/>
      <c r="S48" s="165"/>
      <c r="T48" s="48"/>
      <c r="U48" s="48"/>
      <c r="V48" s="48"/>
      <c r="W48" s="48"/>
      <c r="X48" s="48"/>
      <c r="Y48" s="47"/>
      <c r="Z48" s="43"/>
    </row>
    <row r="49" ht="14.25" customHeight="1">
      <c r="A49" s="214">
        <v>2.0</v>
      </c>
      <c r="B49" s="285" t="s">
        <v>2991</v>
      </c>
      <c r="C49" s="47">
        <v>45.0</v>
      </c>
      <c r="D49" s="47">
        <v>7.0</v>
      </c>
      <c r="E49" s="288">
        <v>43606.0</v>
      </c>
      <c r="F49" s="156" t="str">
        <f>HYPERLINK("https://www.tribunnews.com/internasional/2019/05/21/exxonmobil-evakuasi-staf-asing-di-irak-antisipasi-memanasnya-hubungan-as-iran","sumber")</f>
        <v>sumber</v>
      </c>
      <c r="G49" s="274" t="s">
        <v>33</v>
      </c>
      <c r="H49" s="48" t="s">
        <v>2992</v>
      </c>
      <c r="I49" s="48"/>
      <c r="J49" s="48"/>
      <c r="K49" s="165"/>
      <c r="L49" s="48"/>
      <c r="M49" s="48"/>
      <c r="N49" s="48"/>
      <c r="O49" s="48"/>
      <c r="P49" s="48"/>
      <c r="Q49" s="48"/>
      <c r="R49" s="48"/>
      <c r="S49" s="165"/>
      <c r="T49" s="48"/>
      <c r="U49" s="48"/>
      <c r="V49" s="48"/>
      <c r="W49" s="48"/>
      <c r="X49" s="48"/>
      <c r="Y49" s="47"/>
      <c r="Z49" s="43"/>
    </row>
    <row r="50" ht="14.25" customHeight="1">
      <c r="A50" s="214">
        <v>2.0</v>
      </c>
      <c r="B50" s="285" t="s">
        <v>2993</v>
      </c>
      <c r="C50" s="47">
        <v>46.0</v>
      </c>
      <c r="D50" s="47">
        <v>10.0</v>
      </c>
      <c r="E50" s="288">
        <v>43607.0</v>
      </c>
      <c r="F50" s="156" t="str">
        <f>HYPERLINK("https://kolom.tempo.co/read/1207896/setelah-jokowi-menang-lagi/full&amp;view=ok","sumber")</f>
        <v>sumber</v>
      </c>
      <c r="G50" s="274" t="s">
        <v>33</v>
      </c>
      <c r="H50" s="48" t="s">
        <v>2994</v>
      </c>
      <c r="I50" s="48"/>
      <c r="J50" s="48"/>
      <c r="K50" s="165"/>
      <c r="L50" s="48"/>
      <c r="M50" s="48"/>
      <c r="N50" s="48"/>
      <c r="O50" s="48"/>
      <c r="P50" s="48"/>
      <c r="Q50" s="48"/>
      <c r="R50" s="48"/>
      <c r="S50" s="165"/>
      <c r="T50" s="48"/>
      <c r="U50" s="48"/>
      <c r="V50" s="48"/>
      <c r="W50" s="48"/>
      <c r="X50" s="48"/>
      <c r="Y50" s="47"/>
      <c r="Z50" s="43"/>
    </row>
    <row r="51" ht="14.25" customHeight="1">
      <c r="A51" s="214">
        <v>2.0</v>
      </c>
      <c r="B51" s="285" t="s">
        <v>2995</v>
      </c>
      <c r="C51" s="47">
        <v>47.0</v>
      </c>
      <c r="D51" s="47">
        <v>9.0</v>
      </c>
      <c r="E51" s="288">
        <v>43608.0</v>
      </c>
      <c r="F51" s="156" t="str">
        <f>HYPERLINK("https://internasional.republika.co.id/berita/internasional/amerika/pry346382/alasan-as-ingin-tambah-ribuan-pasukan-ke-timur-tengah","sumber")</f>
        <v>sumber</v>
      </c>
      <c r="G51" s="274" t="s">
        <v>33</v>
      </c>
      <c r="H51" s="48" t="s">
        <v>2996</v>
      </c>
      <c r="I51" s="48"/>
      <c r="J51" s="48"/>
      <c r="K51" s="165"/>
      <c r="L51" s="48"/>
      <c r="M51" s="48"/>
      <c r="N51" s="48"/>
      <c r="O51" s="48"/>
      <c r="P51" s="48"/>
      <c r="Q51" s="48"/>
      <c r="R51" s="48"/>
      <c r="S51" s="165"/>
      <c r="T51" s="48"/>
      <c r="U51" s="48"/>
      <c r="V51" s="48"/>
      <c r="W51" s="48"/>
      <c r="X51" s="48"/>
      <c r="Y51" s="47"/>
      <c r="Z51" s="43"/>
    </row>
    <row r="52" ht="14.25" customHeight="1">
      <c r="A52" s="214">
        <v>2.0</v>
      </c>
      <c r="B52" s="285" t="s">
        <v>2997</v>
      </c>
      <c r="C52" s="47">
        <v>48.0</v>
      </c>
      <c r="D52" s="47">
        <v>2.0</v>
      </c>
      <c r="E52" s="288">
        <v>43610.0</v>
      </c>
      <c r="F52" s="156" t="str">
        <f>HYPERLINK("https://www.cnnindonesia.com/gaya-hidup/20190524172411-269-398178/ramadan-di-irak-dan-ikan-soekarno ","sumber")</f>
        <v>sumber</v>
      </c>
      <c r="G52" s="274" t="s">
        <v>33</v>
      </c>
      <c r="H52" s="48" t="s">
        <v>2998</v>
      </c>
      <c r="I52" s="48"/>
      <c r="J52" s="48"/>
      <c r="K52" s="165"/>
      <c r="L52" s="48"/>
      <c r="M52" s="48"/>
      <c r="N52" s="48"/>
      <c r="O52" s="48"/>
      <c r="P52" s="48"/>
      <c r="Q52" s="48"/>
      <c r="R52" s="48"/>
      <c r="S52" s="165"/>
      <c r="T52" s="48"/>
      <c r="U52" s="48"/>
      <c r="V52" s="48"/>
      <c r="W52" s="48"/>
      <c r="X52" s="48"/>
      <c r="Y52" s="47"/>
      <c r="Z52" s="43"/>
    </row>
    <row r="53" ht="14.25" customHeight="1">
      <c r="A53" s="189">
        <v>1.0</v>
      </c>
      <c r="B53" s="77" t="s">
        <v>2999</v>
      </c>
      <c r="C53" s="55">
        <v>49.0</v>
      </c>
      <c r="D53" s="55">
        <v>1.0</v>
      </c>
      <c r="E53" s="289">
        <v>43596.0</v>
      </c>
      <c r="F53" s="171" t="str">
        <f>HYPERLINK("https://news.detik.com/dw/d-4545510/azerbaijan-tanah-toleransi-beragama ","sumber")</f>
        <v>sumber</v>
      </c>
      <c r="G53" s="277" t="s">
        <v>33</v>
      </c>
      <c r="H53" s="55">
        <v>835.0</v>
      </c>
      <c r="I53" s="55">
        <v>2.0</v>
      </c>
      <c r="J53" s="55">
        <v>4.0</v>
      </c>
      <c r="K53" s="172" t="s">
        <v>3000</v>
      </c>
      <c r="L53" s="55">
        <v>0.0</v>
      </c>
      <c r="M53" s="55">
        <v>0.0</v>
      </c>
      <c r="N53" s="55">
        <v>0.0</v>
      </c>
      <c r="O53" s="55">
        <v>0.0</v>
      </c>
      <c r="P53" s="55">
        <v>0.0</v>
      </c>
      <c r="Q53" s="55">
        <v>0.0</v>
      </c>
      <c r="R53" s="55">
        <v>1.0</v>
      </c>
      <c r="S53" s="172"/>
      <c r="T53" s="55">
        <v>0.0</v>
      </c>
      <c r="U53" s="55">
        <v>0.0</v>
      </c>
      <c r="V53" s="55">
        <v>1.0</v>
      </c>
      <c r="W53" s="46"/>
      <c r="X53" s="46"/>
      <c r="Y53" s="55"/>
      <c r="Z53" s="30"/>
    </row>
    <row r="54" ht="14.25" customHeight="1">
      <c r="A54" s="290">
        <v>1.0</v>
      </c>
      <c r="B54" s="291" t="s">
        <v>3001</v>
      </c>
      <c r="C54" s="79">
        <v>50.0</v>
      </c>
      <c r="D54" s="79">
        <v>1.0</v>
      </c>
      <c r="E54" s="292">
        <v>43614.0</v>
      </c>
      <c r="F54" s="293" t="str">
        <f>HYPERLINK("https://news.detik.com/berita/d-4570176/jerry-d-gray-bantah-agen-asing-itu-fitnah-saya-juga-dituduh-syiah","sumber")</f>
        <v>sumber</v>
      </c>
      <c r="G54" s="294" t="s">
        <v>33</v>
      </c>
      <c r="H54" s="63" t="s">
        <v>3002</v>
      </c>
      <c r="I54" s="79">
        <v>2.0</v>
      </c>
      <c r="J54" s="79">
        <v>4.0</v>
      </c>
      <c r="K54" s="191" t="s">
        <v>3003</v>
      </c>
      <c r="L54" s="79">
        <v>0.0</v>
      </c>
      <c r="M54" s="79">
        <v>0.0</v>
      </c>
      <c r="N54" s="79">
        <v>0.0</v>
      </c>
      <c r="O54" s="79">
        <v>0.0</v>
      </c>
      <c r="P54" s="79">
        <v>0.0</v>
      </c>
      <c r="Q54" s="79">
        <v>-1.0</v>
      </c>
      <c r="R54" s="79">
        <v>0.0</v>
      </c>
      <c r="S54" s="191"/>
      <c r="T54" s="79">
        <v>0.0</v>
      </c>
      <c r="U54" s="79">
        <v>0.0</v>
      </c>
      <c r="V54" s="79">
        <v>0.0</v>
      </c>
      <c r="W54" s="63"/>
      <c r="X54" s="63"/>
      <c r="Y54" s="63"/>
      <c r="Z54" s="295"/>
    </row>
    <row r="55" ht="14.25" customHeight="1">
      <c r="A55" s="282">
        <v>1.0</v>
      </c>
      <c r="B55" s="283" t="s">
        <v>3004</v>
      </c>
      <c r="C55" s="44">
        <v>51.0</v>
      </c>
      <c r="D55" s="44">
        <v>6.0</v>
      </c>
      <c r="E55" s="287">
        <v>43624.0</v>
      </c>
      <c r="F55" s="162" t="str">
        <f>HYPERLINK("https://internasional.kompas.com/read/2019/06/08/11031751/ikut-unjuk-rasa-saat-umur-10-tahun-remaja-18-tahun-di-saudi-terancam ","sumber")</f>
        <v>sumber</v>
      </c>
      <c r="G55" s="269" t="s">
        <v>33</v>
      </c>
      <c r="H55" s="45" t="s">
        <v>3005</v>
      </c>
      <c r="I55" s="44">
        <v>4.0</v>
      </c>
      <c r="J55" s="44">
        <v>4.0</v>
      </c>
      <c r="K55" s="164"/>
      <c r="L55" s="44">
        <v>0.0</v>
      </c>
      <c r="M55" s="44">
        <v>0.0</v>
      </c>
      <c r="N55" s="44">
        <v>-1.0</v>
      </c>
      <c r="O55" s="44">
        <v>0.0</v>
      </c>
      <c r="P55" s="44">
        <v>0.0</v>
      </c>
      <c r="Q55" s="44"/>
      <c r="R55" s="44"/>
      <c r="S55" s="164"/>
      <c r="T55" s="44">
        <v>0.0</v>
      </c>
      <c r="U55" s="44">
        <v>0.0</v>
      </c>
      <c r="V55" s="44">
        <v>1.0</v>
      </c>
      <c r="W55" s="45"/>
      <c r="X55" s="45"/>
      <c r="Y55" s="45"/>
      <c r="Z55" s="9"/>
    </row>
    <row r="56" ht="14.25" customHeight="1">
      <c r="A56" s="189">
        <v>1.0</v>
      </c>
      <c r="B56" s="77" t="s">
        <v>3006</v>
      </c>
      <c r="C56" s="55">
        <v>52.0</v>
      </c>
      <c r="D56" s="55">
        <v>6.0</v>
      </c>
      <c r="E56" s="296">
        <v>43625.0</v>
      </c>
      <c r="F56" s="171" t="str">
        <f>HYPERLINK("https://regional.kompas.com/read/2019/06/09/16070261/lebaran-di-pengungsian-jemaah-ahmadiyah-rindu-kampung-halaman ","sumber")</f>
        <v>sumber</v>
      </c>
      <c r="G56" s="277" t="s">
        <v>33</v>
      </c>
      <c r="H56" s="55">
        <v>474.0</v>
      </c>
      <c r="I56" s="55">
        <v>1.0</v>
      </c>
      <c r="J56" s="55">
        <v>4.0</v>
      </c>
      <c r="K56" s="172" t="s">
        <v>3007</v>
      </c>
      <c r="L56" s="55">
        <v>0.0</v>
      </c>
      <c r="M56" s="55">
        <v>-1.0</v>
      </c>
      <c r="N56" s="55">
        <v>0.0</v>
      </c>
      <c r="O56" s="55">
        <v>0.0</v>
      </c>
      <c r="P56" s="55">
        <v>0.0</v>
      </c>
      <c r="Q56" s="55" t="s">
        <v>191</v>
      </c>
      <c r="R56" s="55" t="s">
        <v>61</v>
      </c>
      <c r="S56" s="172"/>
      <c r="T56" s="55">
        <v>0.0</v>
      </c>
      <c r="U56" s="55">
        <v>0.0</v>
      </c>
      <c r="V56" s="55">
        <v>0.0</v>
      </c>
      <c r="W56" s="46"/>
      <c r="X56" s="46"/>
      <c r="Y56" s="55"/>
      <c r="Z56" s="30"/>
    </row>
    <row r="57" ht="14.25" customHeight="1">
      <c r="A57" s="214">
        <v>2.0</v>
      </c>
      <c r="B57" s="285" t="s">
        <v>3008</v>
      </c>
      <c r="C57" s="47">
        <v>53.0</v>
      </c>
      <c r="D57" s="47">
        <v>6.0</v>
      </c>
      <c r="E57" s="288">
        <v>43628.0</v>
      </c>
      <c r="F57" s="156" t="str">
        <f>HYPERLINK("https://edukasi.kompas.com/read/2019/06/12/19414931/unsyiah-tawarkan-63-prodi-di-sbmptn-2019-ini-daftar-profi-favoritnya ","sumber")</f>
        <v>sumber</v>
      </c>
      <c r="G57" s="274" t="s">
        <v>33</v>
      </c>
      <c r="H57" s="48" t="s">
        <v>3009</v>
      </c>
      <c r="I57" s="48"/>
      <c r="J57" s="48"/>
      <c r="K57" s="165"/>
      <c r="L57" s="48"/>
      <c r="M57" s="48"/>
      <c r="N57" s="48"/>
      <c r="O57" s="48"/>
      <c r="P57" s="48"/>
      <c r="Q57" s="48"/>
      <c r="R57" s="48"/>
      <c r="S57" s="165"/>
      <c r="T57" s="48"/>
      <c r="U57" s="48"/>
      <c r="V57" s="48"/>
      <c r="W57" s="48"/>
      <c r="X57" s="48"/>
      <c r="Y57" s="47"/>
      <c r="Z57" s="43"/>
    </row>
    <row r="58" ht="14.25" customHeight="1">
      <c r="A58" s="282">
        <v>1.0</v>
      </c>
      <c r="B58" s="283" t="s">
        <v>3010</v>
      </c>
      <c r="C58" s="44">
        <v>54.0</v>
      </c>
      <c r="D58" s="44">
        <v>1.0</v>
      </c>
      <c r="E58" s="287">
        <v>43629.0</v>
      </c>
      <c r="F58" s="162" t="str">
        <f>HYPERLINK("https://news.detik.com/berita/d-4584496/mui-gowa-sebut-tarekat-di-sulsel-juga-keliru-tafsirkan-hamdalah ","sumber")</f>
        <v>sumber</v>
      </c>
      <c r="G58" s="269" t="s">
        <v>33</v>
      </c>
      <c r="H58" s="45" t="s">
        <v>3011</v>
      </c>
      <c r="I58" s="44">
        <v>1.0</v>
      </c>
      <c r="J58" s="44">
        <v>4.0</v>
      </c>
      <c r="K58" s="164" t="s">
        <v>3012</v>
      </c>
      <c r="L58" s="44">
        <v>0.0</v>
      </c>
      <c r="M58" s="44">
        <v>-1.0</v>
      </c>
      <c r="N58" s="44">
        <v>0.0</v>
      </c>
      <c r="O58" s="44">
        <v>0.0</v>
      </c>
      <c r="P58" s="44">
        <v>0.0</v>
      </c>
      <c r="Q58" s="44">
        <v>0.0</v>
      </c>
      <c r="R58" s="44">
        <v>-1.0</v>
      </c>
      <c r="S58" s="164"/>
      <c r="T58" s="44">
        <v>0.0</v>
      </c>
      <c r="U58" s="44">
        <v>0.0</v>
      </c>
      <c r="V58" s="44">
        <v>0.0</v>
      </c>
      <c r="W58" s="45"/>
      <c r="X58" s="45"/>
      <c r="Y58" s="45"/>
      <c r="Z58" s="52"/>
    </row>
    <row r="59" ht="14.25" customHeight="1">
      <c r="A59" s="189">
        <v>1.0</v>
      </c>
      <c r="B59" s="77" t="s">
        <v>1174</v>
      </c>
      <c r="C59" s="55">
        <v>55.0</v>
      </c>
      <c r="D59" s="55">
        <v>3.0</v>
      </c>
      <c r="E59" s="296">
        <v>43629.0</v>
      </c>
      <c r="F59" s="171" t="str">
        <f>HYPERLINK("https://index.okezone.com/read/2019/06/13/614/2065994/kontroversi-zakir-naik-penceramah-kondang-yang-bikin-malaysia-dan-india-memanas","sumber")</f>
        <v>sumber</v>
      </c>
      <c r="G59" s="277" t="s">
        <v>33</v>
      </c>
      <c r="H59" s="55">
        <v>333.0</v>
      </c>
      <c r="I59" s="55">
        <v>1.0</v>
      </c>
      <c r="J59" s="55">
        <v>4.0</v>
      </c>
      <c r="K59" s="172" t="s">
        <v>3013</v>
      </c>
      <c r="L59" s="55">
        <v>0.0</v>
      </c>
      <c r="M59" s="55">
        <v>1.0</v>
      </c>
      <c r="N59" s="55">
        <v>0.0</v>
      </c>
      <c r="O59" s="55">
        <v>0.0</v>
      </c>
      <c r="P59" s="55">
        <v>0.0</v>
      </c>
      <c r="Q59" s="55" t="s">
        <v>61</v>
      </c>
      <c r="R59" s="55" t="s">
        <v>61</v>
      </c>
      <c r="S59" s="172"/>
      <c r="T59" s="55">
        <v>0.0</v>
      </c>
      <c r="U59" s="55">
        <v>0.0</v>
      </c>
      <c r="V59" s="55">
        <v>0.0</v>
      </c>
      <c r="W59" s="46"/>
      <c r="X59" s="46"/>
      <c r="Y59" s="55"/>
      <c r="Z59" s="30"/>
    </row>
    <row r="60" ht="14.25" customHeight="1">
      <c r="A60" s="214">
        <v>2.0</v>
      </c>
      <c r="B60" s="285" t="s">
        <v>3014</v>
      </c>
      <c r="C60" s="47">
        <v>56.0</v>
      </c>
      <c r="D60" s="47">
        <v>5.0</v>
      </c>
      <c r="E60" s="288">
        <v>43629.0</v>
      </c>
      <c r="F60" s="156" t="str">
        <f>HYPERLINK("https://tirto.id/persiapan-sbmptn-melihat-tingkat-kompetisi-jurusan-ecjy ","sumber")</f>
        <v>sumber</v>
      </c>
      <c r="G60" s="274" t="s">
        <v>33</v>
      </c>
      <c r="H60" s="48" t="s">
        <v>3015</v>
      </c>
      <c r="I60" s="48"/>
      <c r="J60" s="48"/>
      <c r="K60" s="165"/>
      <c r="L60" s="48"/>
      <c r="M60" s="48"/>
      <c r="N60" s="48"/>
      <c r="O60" s="48"/>
      <c r="P60" s="48"/>
      <c r="Q60" s="48"/>
      <c r="R60" s="48"/>
      <c r="S60" s="165"/>
      <c r="T60" s="48"/>
      <c r="U60" s="48"/>
      <c r="V60" s="48"/>
      <c r="W60" s="48"/>
      <c r="X60" s="48"/>
      <c r="Y60" s="47"/>
      <c r="Z60" s="43"/>
    </row>
    <row r="61" ht="14.25" customHeight="1">
      <c r="A61" s="189">
        <v>1.0</v>
      </c>
      <c r="B61" s="77" t="s">
        <v>3016</v>
      </c>
      <c r="C61" s="55">
        <v>57.0</v>
      </c>
      <c r="D61" s="55">
        <v>9.0</v>
      </c>
      <c r="E61" s="296">
        <v>43631.0</v>
      </c>
      <c r="F61" s="171" t="str">
        <f>HYPERLINK("https://nasional.republika.co.id/berita/nasional/umum/pt56gy320/2-warga-yogyakarta-ajukan-penghayat-kepercayaan-di-ktp ","sumber")</f>
        <v>sumber</v>
      </c>
      <c r="G61" s="277" t="s">
        <v>33</v>
      </c>
      <c r="H61" s="55">
        <v>293.0</v>
      </c>
      <c r="I61" s="55">
        <v>2.0</v>
      </c>
      <c r="J61" s="55">
        <v>4.0</v>
      </c>
      <c r="K61" s="172" t="s">
        <v>3017</v>
      </c>
      <c r="L61" s="55">
        <v>0.0</v>
      </c>
      <c r="M61" s="55">
        <v>0.0</v>
      </c>
      <c r="N61" s="55">
        <v>0.0</v>
      </c>
      <c r="O61" s="55">
        <v>0.0</v>
      </c>
      <c r="P61" s="55">
        <v>0.0</v>
      </c>
      <c r="Q61" s="55">
        <v>0.0</v>
      </c>
      <c r="R61" s="55">
        <v>1.0</v>
      </c>
      <c r="S61" s="172" t="s">
        <v>3018</v>
      </c>
      <c r="T61" s="55">
        <v>3.0</v>
      </c>
      <c r="U61" s="55">
        <v>0.0</v>
      </c>
      <c r="V61" s="55">
        <v>0.0</v>
      </c>
      <c r="W61" s="46"/>
      <c r="X61" s="46"/>
      <c r="Y61" s="55"/>
      <c r="Z61" s="30"/>
    </row>
    <row r="62" ht="14.25" customHeight="1">
      <c r="A62" s="282">
        <v>1.0</v>
      </c>
      <c r="B62" s="283" t="s">
        <v>3019</v>
      </c>
      <c r="C62" s="44">
        <v>58.0</v>
      </c>
      <c r="D62" s="44">
        <v>8.0</v>
      </c>
      <c r="E62" s="287">
        <v>43634.0</v>
      </c>
      <c r="F62" s="162" t="str">
        <f>HYPERLINK("https://jogja.suara.com/read/2019/06/18/184040/pemdes-rejosari-akui-surat-kutukan-tuhan-menyinggung-masyarakat ","sumber")</f>
        <v>sumber</v>
      </c>
      <c r="G62" s="269" t="s">
        <v>33</v>
      </c>
      <c r="H62" s="45" t="s">
        <v>3020</v>
      </c>
      <c r="I62" s="44">
        <v>2.0</v>
      </c>
      <c r="J62" s="44">
        <v>4.0</v>
      </c>
      <c r="K62" s="164" t="s">
        <v>3021</v>
      </c>
      <c r="L62" s="44">
        <v>0.0</v>
      </c>
      <c r="M62" s="44">
        <v>0.0</v>
      </c>
      <c r="N62" s="44">
        <v>0.0</v>
      </c>
      <c r="O62" s="44">
        <v>0.0</v>
      </c>
      <c r="P62" s="44">
        <v>0.0</v>
      </c>
      <c r="Q62" s="44" t="s">
        <v>61</v>
      </c>
      <c r="R62" s="44" t="s">
        <v>61</v>
      </c>
      <c r="S62" s="164" t="s">
        <v>2885</v>
      </c>
      <c r="T62" s="44">
        <v>1.0</v>
      </c>
      <c r="U62" s="44">
        <v>0.0</v>
      </c>
      <c r="V62" s="44">
        <v>0.0</v>
      </c>
      <c r="W62" s="45"/>
      <c r="X62" s="45"/>
      <c r="Y62" s="45"/>
      <c r="Z62" s="9"/>
    </row>
    <row r="63" ht="14.25" customHeight="1">
      <c r="A63" s="214">
        <v>2.0</v>
      </c>
      <c r="B63" s="285" t="s">
        <v>3022</v>
      </c>
      <c r="C63" s="47">
        <v>59.0</v>
      </c>
      <c r="D63" s="47">
        <v>8.0</v>
      </c>
      <c r="E63" s="288">
        <v>43637.0</v>
      </c>
      <c r="F63" s="156" t="str">
        <f>HYPERLINK("https://www.suara.com/lifestyle/2019/06/21/170000/sambut-solstis-bulan-juni-ribuan-orang-penuhi-stonehenge ","sumber")</f>
        <v>sumber</v>
      </c>
      <c r="G63" s="274" t="s">
        <v>33</v>
      </c>
      <c r="H63" s="48" t="s">
        <v>3023</v>
      </c>
      <c r="I63" s="48"/>
      <c r="J63" s="48"/>
      <c r="K63" s="165"/>
      <c r="L63" s="48"/>
      <c r="M63" s="48"/>
      <c r="N63" s="48"/>
      <c r="O63" s="48"/>
      <c r="P63" s="48"/>
      <c r="Q63" s="48"/>
      <c r="R63" s="48"/>
      <c r="S63" s="165"/>
      <c r="T63" s="48"/>
      <c r="U63" s="48"/>
      <c r="V63" s="48"/>
      <c r="W63" s="48"/>
      <c r="X63" s="48"/>
      <c r="Y63" s="47"/>
      <c r="Z63" s="43"/>
    </row>
    <row r="64" ht="14.25" customHeight="1">
      <c r="A64" s="189">
        <v>1.0</v>
      </c>
      <c r="B64" s="77" t="s">
        <v>3024</v>
      </c>
      <c r="C64" s="55">
        <v>60.0</v>
      </c>
      <c r="D64" s="55">
        <v>1.0</v>
      </c>
      <c r="E64" s="296">
        <v>43638.0</v>
      </c>
      <c r="F64" s="171" t="str">
        <f>HYPERLINK("https://news.detik.com/dw/d-4572783/transformasi-modernitas-di-saudi-dalam-balutan-perseteruan-dengan-iran","sumber")</f>
        <v>sumber</v>
      </c>
      <c r="G64" s="277" t="s">
        <v>33</v>
      </c>
      <c r="H64" s="55">
        <v>1417.0</v>
      </c>
      <c r="I64" s="55">
        <v>4.0</v>
      </c>
      <c r="J64" s="55">
        <v>4.0</v>
      </c>
      <c r="K64" s="172" t="s">
        <v>3025</v>
      </c>
      <c r="L64" s="55">
        <v>0.0</v>
      </c>
      <c r="M64" s="55">
        <v>0.0</v>
      </c>
      <c r="N64" s="55">
        <v>0.0</v>
      </c>
      <c r="O64" s="55">
        <v>0.0</v>
      </c>
      <c r="P64" s="55">
        <v>0.0</v>
      </c>
      <c r="Q64" s="55">
        <v>0.0</v>
      </c>
      <c r="R64" s="55">
        <v>0.0</v>
      </c>
      <c r="S64" s="172" t="s">
        <v>3026</v>
      </c>
      <c r="T64" s="55">
        <v>6.0</v>
      </c>
      <c r="U64" s="55">
        <v>0.0</v>
      </c>
      <c r="V64" s="55">
        <v>1.0</v>
      </c>
      <c r="W64" s="46"/>
      <c r="X64" s="46"/>
      <c r="Y64" s="55"/>
      <c r="Z64" s="30"/>
    </row>
    <row r="65" ht="14.25" customHeight="1">
      <c r="A65" s="282">
        <v>1.0</v>
      </c>
      <c r="B65" s="283" t="s">
        <v>3027</v>
      </c>
      <c r="C65" s="44">
        <v>61.0</v>
      </c>
      <c r="D65" s="44">
        <v>10.0</v>
      </c>
      <c r="E65" s="287">
        <v>43638.0</v>
      </c>
      <c r="F65" s="162" t="str">
        <f>HYPERLINK("https://travel.tempo.co/read/1217129/hari-ini-ada-festival-budaya-benang-merah-berbasis-keagamaan","sumber")</f>
        <v>sumber</v>
      </c>
      <c r="G65" s="269" t="s">
        <v>33</v>
      </c>
      <c r="H65" s="45" t="s">
        <v>3028</v>
      </c>
      <c r="I65" s="44">
        <v>3.0</v>
      </c>
      <c r="J65" s="44">
        <v>4.0</v>
      </c>
      <c r="K65" s="164" t="s">
        <v>3029</v>
      </c>
      <c r="L65" s="44">
        <v>0.0</v>
      </c>
      <c r="M65" s="44">
        <v>0.0</v>
      </c>
      <c r="N65" s="44">
        <v>0.0</v>
      </c>
      <c r="O65" s="44">
        <v>0.0</v>
      </c>
      <c r="P65" s="44">
        <v>0.0</v>
      </c>
      <c r="Q65" s="44" t="s">
        <v>242</v>
      </c>
      <c r="R65" s="44" t="s">
        <v>341</v>
      </c>
      <c r="S65" s="164" t="s">
        <v>2885</v>
      </c>
      <c r="T65" s="44">
        <v>1.0</v>
      </c>
      <c r="U65" s="44">
        <v>0.0</v>
      </c>
      <c r="V65" s="44">
        <v>0.0</v>
      </c>
      <c r="W65" s="45"/>
      <c r="X65" s="45"/>
      <c r="Y65" s="45"/>
      <c r="Z65" s="9"/>
    </row>
    <row r="66" ht="14.25" customHeight="1">
      <c r="A66" s="282">
        <v>1.0</v>
      </c>
      <c r="B66" s="283" t="s">
        <v>3030</v>
      </c>
      <c r="C66" s="44">
        <v>62.0</v>
      </c>
      <c r="D66" s="44">
        <v>5.0</v>
      </c>
      <c r="E66" s="287">
        <v>43642.0</v>
      </c>
      <c r="F66" s="162" t="str">
        <f>HYPERLINK("https://tirto.id/isi-petisi-massa-aksi-kawal-mk-jelang-sidang-putusan-ec8U ","sumber")</f>
        <v>sumber</v>
      </c>
      <c r="G66" s="269" t="s">
        <v>33</v>
      </c>
      <c r="H66" s="45" t="s">
        <v>3031</v>
      </c>
      <c r="I66" s="44">
        <v>3.0</v>
      </c>
      <c r="J66" s="44">
        <v>4.0</v>
      </c>
      <c r="K66" s="164" t="s">
        <v>3032</v>
      </c>
      <c r="L66" s="44">
        <v>0.0</v>
      </c>
      <c r="M66" s="44">
        <v>0.0</v>
      </c>
      <c r="N66" s="44">
        <v>0.0</v>
      </c>
      <c r="O66" s="44">
        <v>0.0</v>
      </c>
      <c r="P66" s="44">
        <v>0.0</v>
      </c>
      <c r="Q66" s="44">
        <v>0.0</v>
      </c>
      <c r="R66" s="44">
        <v>0.0</v>
      </c>
      <c r="S66" s="164"/>
      <c r="T66" s="44">
        <v>0.0</v>
      </c>
      <c r="U66" s="44">
        <v>0.0</v>
      </c>
      <c r="V66" s="44">
        <v>0.0</v>
      </c>
      <c r="W66" s="45"/>
      <c r="X66" s="45"/>
      <c r="Y66" s="45"/>
      <c r="Z66" s="9"/>
    </row>
    <row r="67" ht="14.25" customHeight="1">
      <c r="A67" s="282">
        <v>1.0</v>
      </c>
      <c r="B67" s="283" t="s">
        <v>3033</v>
      </c>
      <c r="C67" s="44">
        <v>63.0</v>
      </c>
      <c r="D67" s="44">
        <v>1.0</v>
      </c>
      <c r="E67" s="287">
        <v>43653.0</v>
      </c>
      <c r="F67" s="162" t="str">
        <f>HYPERLINK("https://news.detik.com/internasional/d-4614008/is-serang-masjid-syiah-di-afghanistan-dua-orang-tewas ","sumber")</f>
        <v>sumber</v>
      </c>
      <c r="G67" s="269" t="s">
        <v>33</v>
      </c>
      <c r="H67" s="45" t="s">
        <v>3034</v>
      </c>
      <c r="I67" s="44">
        <v>1.0</v>
      </c>
      <c r="J67" s="44">
        <v>4.0</v>
      </c>
      <c r="K67" s="164"/>
      <c r="L67" s="44">
        <v>0.0</v>
      </c>
      <c r="M67" s="44">
        <v>-1.0</v>
      </c>
      <c r="N67" s="44">
        <v>0.0</v>
      </c>
      <c r="O67" s="44">
        <v>0.0</v>
      </c>
      <c r="P67" s="44">
        <v>0.0</v>
      </c>
      <c r="Q67" s="44"/>
      <c r="R67" s="44"/>
      <c r="S67" s="164"/>
      <c r="T67" s="44">
        <v>0.0</v>
      </c>
      <c r="U67" s="44">
        <v>0.0</v>
      </c>
      <c r="V67" s="44">
        <v>0.0</v>
      </c>
      <c r="W67" s="45"/>
      <c r="X67" s="45"/>
      <c r="Y67" s="45"/>
      <c r="Z67" s="9"/>
    </row>
    <row r="68" ht="14.25" customHeight="1">
      <c r="A68" s="189">
        <v>1.0</v>
      </c>
      <c r="B68" s="77" t="s">
        <v>3035</v>
      </c>
      <c r="C68" s="55">
        <v>64.0</v>
      </c>
      <c r="D68" s="55">
        <v>4.0</v>
      </c>
      <c r="E68" s="296">
        <v>43655.0</v>
      </c>
      <c r="F68" s="171" t="str">
        <f>HYPERLINK("https://www.liputan6.com/global/read/4008080/hadiri-konferensi-muslim-di-kanada-justin-trudeau-tekankan-pentingnya-perdamaian ","sumber")</f>
        <v>sumber</v>
      </c>
      <c r="G68" s="277" t="s">
        <v>33</v>
      </c>
      <c r="H68" s="55">
        <v>334.0</v>
      </c>
      <c r="I68" s="55">
        <v>3.0</v>
      </c>
      <c r="J68" s="55">
        <v>4.0</v>
      </c>
      <c r="K68" s="172" t="s">
        <v>3036</v>
      </c>
      <c r="L68" s="55">
        <v>0.0</v>
      </c>
      <c r="M68" s="55">
        <v>0.0</v>
      </c>
      <c r="N68" s="55">
        <v>0.0</v>
      </c>
      <c r="O68" s="55">
        <v>0.0</v>
      </c>
      <c r="P68" s="55">
        <v>0.0</v>
      </c>
      <c r="Q68" s="55">
        <v>0.0</v>
      </c>
      <c r="R68" s="55">
        <v>1.0</v>
      </c>
      <c r="S68" s="172"/>
      <c r="T68" s="55">
        <v>0.0</v>
      </c>
      <c r="U68" s="55">
        <v>0.0</v>
      </c>
      <c r="V68" s="55">
        <v>0.0</v>
      </c>
      <c r="W68" s="46"/>
      <c r="X68" s="46"/>
      <c r="Y68" s="55"/>
      <c r="Z68" s="30"/>
    </row>
    <row r="69" ht="14.25" customHeight="1">
      <c r="A69" s="214">
        <v>2.0</v>
      </c>
      <c r="B69" s="285" t="s">
        <v>3037</v>
      </c>
      <c r="C69" s="47">
        <v>65.0</v>
      </c>
      <c r="D69" s="47">
        <v>5.0</v>
      </c>
      <c r="E69" s="288">
        <v>43655.0</v>
      </c>
      <c r="F69" s="156" t="str">
        <f>HYPERLINK("https://tirto.id/hasil-sbmptn-ltmpt-2019-bisa-dicek-melalui-portal-unsyiah-edVl ","sumber")</f>
        <v>sumber</v>
      </c>
      <c r="G69" s="274" t="s">
        <v>33</v>
      </c>
      <c r="H69" s="48" t="s">
        <v>3038</v>
      </c>
      <c r="I69" s="48"/>
      <c r="J69" s="48"/>
      <c r="K69" s="165"/>
      <c r="L69" s="48"/>
      <c r="M69" s="48"/>
      <c r="N69" s="48"/>
      <c r="O69" s="48"/>
      <c r="P69" s="48"/>
      <c r="Q69" s="48"/>
      <c r="R69" s="48"/>
      <c r="S69" s="165"/>
      <c r="T69" s="48"/>
      <c r="U69" s="48"/>
      <c r="V69" s="48"/>
      <c r="W69" s="48"/>
      <c r="X69" s="48"/>
      <c r="Y69" s="47"/>
      <c r="Z69" s="43"/>
    </row>
    <row r="70" ht="14.25" customHeight="1">
      <c r="A70" s="282">
        <v>1.0</v>
      </c>
      <c r="B70" s="283" t="s">
        <v>3039</v>
      </c>
      <c r="C70" s="44">
        <v>66.0</v>
      </c>
      <c r="D70" s="44">
        <v>3.0</v>
      </c>
      <c r="E70" s="287">
        <v>43656.0</v>
      </c>
      <c r="F70" s="162" t="str">
        <f>HYPERLINK("https://news.okezone.com/read/2019/07/10/18/2076992/hingga-juni-2019-arab-saudi-sudah-eksekusi-mati-122-orang ","sumber")</f>
        <v>sumber</v>
      </c>
      <c r="G70" s="269" t="s">
        <v>33</v>
      </c>
      <c r="H70" s="45" t="s">
        <v>3040</v>
      </c>
      <c r="I70" s="44">
        <v>1.0</v>
      </c>
      <c r="J70" s="44">
        <v>4.0</v>
      </c>
      <c r="K70" s="164" t="s">
        <v>3041</v>
      </c>
      <c r="L70" s="44">
        <v>0.0</v>
      </c>
      <c r="M70" s="44">
        <v>-1.0</v>
      </c>
      <c r="N70" s="44">
        <v>0.0</v>
      </c>
      <c r="O70" s="44">
        <v>0.0</v>
      </c>
      <c r="P70" s="44">
        <v>0.0</v>
      </c>
      <c r="Q70" s="44">
        <v>0.0</v>
      </c>
      <c r="R70" s="44">
        <v>-1.0</v>
      </c>
      <c r="S70" s="164"/>
      <c r="T70" s="44">
        <v>0.0</v>
      </c>
      <c r="U70" s="44">
        <v>0.0</v>
      </c>
      <c r="V70" s="44">
        <v>0.0</v>
      </c>
      <c r="W70" s="45"/>
      <c r="X70" s="45"/>
      <c r="Y70" s="45"/>
      <c r="Z70" s="9"/>
    </row>
    <row r="71" ht="14.25" customHeight="1">
      <c r="A71" s="282">
        <v>1.0</v>
      </c>
      <c r="B71" s="283" t="s">
        <v>3042</v>
      </c>
      <c r="C71" s="44">
        <v>67.0</v>
      </c>
      <c r="D71" s="44">
        <v>7.0</v>
      </c>
      <c r="E71" s="287">
        <v>43669.0</v>
      </c>
      <c r="F71" s="162" t="str">
        <f>HYPERLINK("https://www.tribunnews.com/nasional/2019/07/23/jokowi-keluarkan-aturan-pencatatan-perwakinan-bagi-penghayat-kepercayaan ","sumber")</f>
        <v>sumber</v>
      </c>
      <c r="G71" s="269" t="s">
        <v>33</v>
      </c>
      <c r="H71" s="45" t="s">
        <v>2981</v>
      </c>
      <c r="I71" s="44">
        <v>4.0</v>
      </c>
      <c r="J71" s="44">
        <v>4.0</v>
      </c>
      <c r="K71" s="164"/>
      <c r="L71" s="44">
        <v>0.0</v>
      </c>
      <c r="M71" s="44">
        <v>0.0</v>
      </c>
      <c r="N71" s="44">
        <v>0.0</v>
      </c>
      <c r="O71" s="44">
        <v>0.0</v>
      </c>
      <c r="P71" s="44">
        <v>0.0</v>
      </c>
      <c r="Q71" s="44"/>
      <c r="R71" s="44"/>
      <c r="S71" s="164"/>
      <c r="T71" s="44">
        <v>0.0</v>
      </c>
      <c r="U71" s="44">
        <v>0.0</v>
      </c>
      <c r="V71" s="44">
        <v>1.0</v>
      </c>
      <c r="W71" s="45"/>
      <c r="X71" s="45"/>
      <c r="Y71" s="45"/>
      <c r="Z71" s="9"/>
    </row>
    <row r="72" ht="14.25" customHeight="1">
      <c r="A72" s="282">
        <v>1.0</v>
      </c>
      <c r="B72" s="283" t="s">
        <v>3043</v>
      </c>
      <c r="C72" s="44">
        <v>68.0</v>
      </c>
      <c r="D72" s="44">
        <v>8.0</v>
      </c>
      <c r="E72" s="287">
        <v>43670.0</v>
      </c>
      <c r="F72" s="162" t="str">
        <f>HYPERLINK("https://jateng.suara.com/read/2019/07/24/152627/desa-inklusi-ramah-difabel-di-sukoharjo-jadi-percontohan-daerah-lain ","sumber")</f>
        <v>sumber</v>
      </c>
      <c r="G72" s="269" t="s">
        <v>33</v>
      </c>
      <c r="H72" s="45" t="s">
        <v>3044</v>
      </c>
      <c r="I72" s="44">
        <v>2.0</v>
      </c>
      <c r="J72" s="44">
        <v>2.0</v>
      </c>
      <c r="K72" s="164" t="s">
        <v>3045</v>
      </c>
      <c r="L72" s="44">
        <v>0.0</v>
      </c>
      <c r="M72" s="44">
        <v>0.0</v>
      </c>
      <c r="N72" s="44">
        <v>0.0</v>
      </c>
      <c r="O72" s="44">
        <v>0.0</v>
      </c>
      <c r="P72" s="44">
        <v>0.0</v>
      </c>
      <c r="Q72" s="44" t="s">
        <v>119</v>
      </c>
      <c r="R72" s="44" t="s">
        <v>192</v>
      </c>
      <c r="S72" s="164"/>
      <c r="T72" s="44">
        <v>0.0</v>
      </c>
      <c r="U72" s="44">
        <v>0.0</v>
      </c>
      <c r="V72" s="44">
        <v>1.0</v>
      </c>
      <c r="W72" s="45"/>
      <c r="X72" s="45"/>
      <c r="Y72" s="45"/>
      <c r="Z72" s="9"/>
    </row>
    <row r="73" ht="14.25" customHeight="1">
      <c r="A73" s="214">
        <v>2.0</v>
      </c>
      <c r="B73" s="285" t="s">
        <v>1194</v>
      </c>
      <c r="C73" s="47">
        <v>69.0</v>
      </c>
      <c r="D73" s="47">
        <v>7.0</v>
      </c>
      <c r="E73" s="288">
        <v>43674.0</v>
      </c>
      <c r="F73" s="156" t="str">
        <f>HYPERLINK("https://www.tribunnews.com/regional/2019/07/28/ini-daftar-tkw-asal-cirebon-terjerat-masalah-di-arab-saudi-dua-orang-tak-diketahui-nasibnya ","sumber")</f>
        <v>sumber</v>
      </c>
      <c r="G73" s="274" t="s">
        <v>33</v>
      </c>
      <c r="H73" s="48" t="s">
        <v>3046</v>
      </c>
      <c r="I73" s="48"/>
      <c r="J73" s="48"/>
      <c r="K73" s="165"/>
      <c r="L73" s="48"/>
      <c r="M73" s="48"/>
      <c r="N73" s="48"/>
      <c r="O73" s="48"/>
      <c r="P73" s="48"/>
      <c r="Q73" s="48"/>
      <c r="R73" s="48"/>
      <c r="S73" s="165"/>
      <c r="T73" s="48"/>
      <c r="U73" s="48"/>
      <c r="V73" s="48"/>
      <c r="W73" s="48"/>
      <c r="X73" s="48"/>
      <c r="Y73" s="47"/>
      <c r="Z73" s="43"/>
    </row>
    <row r="74" ht="14.25" customHeight="1">
      <c r="A74" s="189">
        <v>1.0</v>
      </c>
      <c r="B74" s="77" t="s">
        <v>3047</v>
      </c>
      <c r="C74" s="55">
        <v>70.0</v>
      </c>
      <c r="D74" s="55">
        <v>1.0</v>
      </c>
      <c r="E74" s="289">
        <v>43669.0</v>
      </c>
      <c r="F74" s="171" t="str">
        <f>HYPERLINK("https://news.detik.com/berita/d-4636261/jalan-berliku-penghayat-ikut-dirikan-ri-didiskriminasi-kini-diakui-jokowi ","sumber")</f>
        <v>sumber</v>
      </c>
      <c r="G74" s="277" t="s">
        <v>33</v>
      </c>
      <c r="H74" s="55">
        <v>669.0</v>
      </c>
      <c r="I74" s="55">
        <v>4.0</v>
      </c>
      <c r="J74" s="55">
        <v>4.0</v>
      </c>
      <c r="K74" s="172" t="s">
        <v>3048</v>
      </c>
      <c r="L74" s="55">
        <v>0.0</v>
      </c>
      <c r="M74" s="55">
        <v>0.0</v>
      </c>
      <c r="N74" s="55">
        <v>0.0</v>
      </c>
      <c r="O74" s="55">
        <v>0.0</v>
      </c>
      <c r="P74" s="55">
        <v>0.0</v>
      </c>
      <c r="Q74" s="55" t="s">
        <v>61</v>
      </c>
      <c r="R74" s="55" t="s">
        <v>214</v>
      </c>
      <c r="S74" s="172" t="s">
        <v>3049</v>
      </c>
      <c r="T74" s="55">
        <v>4.0</v>
      </c>
      <c r="U74" s="55">
        <v>0.0</v>
      </c>
      <c r="V74" s="55">
        <v>1.0</v>
      </c>
      <c r="W74" s="46"/>
      <c r="X74" s="46"/>
      <c r="Y74" s="55"/>
      <c r="Z74" s="30"/>
    </row>
    <row r="75" ht="14.25" customHeight="1">
      <c r="A75" s="282">
        <v>1.0</v>
      </c>
      <c r="B75" s="283" t="s">
        <v>3050</v>
      </c>
      <c r="C75" s="44">
        <v>71.0</v>
      </c>
      <c r="D75" s="44">
        <v>10.0</v>
      </c>
      <c r="E75" s="287">
        <v>43684.0</v>
      </c>
      <c r="F75" s="162" t="str">
        <f>HYPERLINK("https://dunia.tempo.co/read/1232942/hak-istimewa-kashmir-dicabut-pakistan-dan-india-terancam-perang ","sumber")</f>
        <v>sumber</v>
      </c>
      <c r="G75" s="269" t="s">
        <v>33</v>
      </c>
      <c r="H75" s="45" t="s">
        <v>3051</v>
      </c>
      <c r="I75" s="44">
        <v>1.0</v>
      </c>
      <c r="J75" s="44">
        <v>4.0</v>
      </c>
      <c r="K75" s="164" t="s">
        <v>3052</v>
      </c>
      <c r="L75" s="44">
        <v>0.0</v>
      </c>
      <c r="M75" s="44">
        <v>-1.0</v>
      </c>
      <c r="N75" s="44">
        <v>0.0</v>
      </c>
      <c r="O75" s="44">
        <v>0.0</v>
      </c>
      <c r="P75" s="44">
        <v>0.0</v>
      </c>
      <c r="Q75" s="44" t="s">
        <v>61</v>
      </c>
      <c r="R75" s="44" t="s">
        <v>780</v>
      </c>
      <c r="S75" s="164"/>
      <c r="T75" s="44">
        <v>0.0</v>
      </c>
      <c r="U75" s="44">
        <v>0.0</v>
      </c>
      <c r="V75" s="44">
        <v>0.0</v>
      </c>
      <c r="W75" s="45"/>
      <c r="X75" s="45"/>
      <c r="Y75" s="45"/>
      <c r="Z75" s="9"/>
    </row>
    <row r="76" ht="14.25" customHeight="1">
      <c r="A76" s="297">
        <v>2.0</v>
      </c>
      <c r="B76" s="283" t="s">
        <v>3053</v>
      </c>
      <c r="C76" s="44">
        <v>72.0</v>
      </c>
      <c r="D76" s="44">
        <v>2.0</v>
      </c>
      <c r="E76" s="287">
        <v>43688.0</v>
      </c>
      <c r="F76" s="162" t="str">
        <f>HYPERLINK("https://www.cnnindonesia.com/internasional/20190810202312-120-420162/cerita-warga-irak-ubah-senjata-serbu-jadi-instrumen-musik ","sumber")</f>
        <v>sumber</v>
      </c>
      <c r="G76" s="269" t="s">
        <v>33</v>
      </c>
      <c r="H76" s="45" t="s">
        <v>3054</v>
      </c>
      <c r="I76" s="44">
        <v>2.0</v>
      </c>
      <c r="J76" s="44">
        <v>4.0</v>
      </c>
      <c r="K76" s="164" t="s">
        <v>3055</v>
      </c>
      <c r="L76" s="44">
        <v>0.0</v>
      </c>
      <c r="M76" s="44">
        <v>0.0</v>
      </c>
      <c r="N76" s="44">
        <v>0.0</v>
      </c>
      <c r="O76" s="44">
        <v>0.0</v>
      </c>
      <c r="P76" s="44">
        <v>0.0</v>
      </c>
      <c r="Q76" s="44">
        <v>2.0</v>
      </c>
      <c r="R76" s="44">
        <v>1.0</v>
      </c>
      <c r="S76" s="164"/>
      <c r="T76" s="44">
        <v>0.0</v>
      </c>
      <c r="U76" s="44">
        <v>0.0</v>
      </c>
      <c r="V76" s="44">
        <v>0.0</v>
      </c>
      <c r="W76" s="45"/>
      <c r="X76" s="45"/>
      <c r="Y76" s="45"/>
      <c r="Z76" s="9"/>
    </row>
    <row r="77" ht="14.25" customHeight="1">
      <c r="A77" s="214">
        <v>2.0</v>
      </c>
      <c r="B77" s="285" t="s">
        <v>3056</v>
      </c>
      <c r="C77" s="47">
        <v>73.0</v>
      </c>
      <c r="D77" s="47">
        <v>1.0</v>
      </c>
      <c r="E77" s="288">
        <v>43701.0</v>
      </c>
      <c r="F77" s="156" t="str">
        <f>HYPERLINK("https://news.detik.com/berita/d-4679587/pekan-konstitusi-2019-dimulai-mahasiswa-bakal-tarung-gagasan ","sumber")</f>
        <v>sumber</v>
      </c>
      <c r="G77" s="274" t="s">
        <v>33</v>
      </c>
      <c r="H77" s="48" t="s">
        <v>3057</v>
      </c>
      <c r="I77" s="48"/>
      <c r="J77" s="48"/>
      <c r="K77" s="165"/>
      <c r="L77" s="48"/>
      <c r="M77" s="48"/>
      <c r="N77" s="48"/>
      <c r="O77" s="48"/>
      <c r="P77" s="48"/>
      <c r="Q77" s="48"/>
      <c r="R77" s="48"/>
      <c r="S77" s="165"/>
      <c r="T77" s="48"/>
      <c r="U77" s="48"/>
      <c r="V77" s="48"/>
      <c r="W77" s="48"/>
      <c r="X77" s="48"/>
      <c r="Y77" s="47"/>
      <c r="Z77" s="43"/>
    </row>
    <row r="78" ht="14.25" customHeight="1">
      <c r="A78" s="214">
        <v>2.0</v>
      </c>
      <c r="B78" s="285" t="s">
        <v>3058</v>
      </c>
      <c r="C78" s="47">
        <v>74.0</v>
      </c>
      <c r="D78" s="47">
        <v>10.0</v>
      </c>
      <c r="E78" s="288">
        <v>43710.0</v>
      </c>
      <c r="F78" s="156" t="str">
        <f>HYPERLINK("https://nasional.tempo.co/read/1242778/kalla-kunjungi-aceh-dan-padang ","sumber")</f>
        <v>sumber</v>
      </c>
      <c r="G78" s="274" t="s">
        <v>33</v>
      </c>
      <c r="H78" s="48" t="s">
        <v>3059</v>
      </c>
      <c r="I78" s="48"/>
      <c r="J78" s="48"/>
      <c r="K78" s="165"/>
      <c r="L78" s="48"/>
      <c r="M78" s="48"/>
      <c r="N78" s="48"/>
      <c r="O78" s="48"/>
      <c r="P78" s="48"/>
      <c r="Q78" s="48"/>
      <c r="R78" s="48"/>
      <c r="S78" s="165"/>
      <c r="T78" s="48"/>
      <c r="U78" s="48"/>
      <c r="V78" s="48"/>
      <c r="W78" s="48"/>
      <c r="X78" s="48"/>
      <c r="Y78" s="47"/>
      <c r="Z78" s="43"/>
    </row>
    <row r="79" ht="14.25" customHeight="1">
      <c r="A79" s="214">
        <v>2.0</v>
      </c>
      <c r="B79" s="285" t="s">
        <v>3060</v>
      </c>
      <c r="C79" s="47">
        <v>75.0</v>
      </c>
      <c r="D79" s="47">
        <v>5.0</v>
      </c>
      <c r="E79" s="288">
        <v>43711.0</v>
      </c>
      <c r="F79" s="156" t="str">
        <f>HYPERLINK("https://tirto.id/ironi-unsyiah-dosen-kritik-seleksi-cpns-malah-dipolisikan-dekan-ehnC ","sumber")</f>
        <v>sumber</v>
      </c>
      <c r="G79" s="274" t="s">
        <v>33</v>
      </c>
      <c r="H79" s="48" t="s">
        <v>3061</v>
      </c>
      <c r="I79" s="48"/>
      <c r="J79" s="48"/>
      <c r="K79" s="165"/>
      <c r="L79" s="48"/>
      <c r="M79" s="48"/>
      <c r="N79" s="48"/>
      <c r="O79" s="48"/>
      <c r="P79" s="48"/>
      <c r="Q79" s="48"/>
      <c r="R79" s="48"/>
      <c r="S79" s="165"/>
      <c r="T79" s="48"/>
      <c r="U79" s="48"/>
      <c r="V79" s="48"/>
      <c r="W79" s="48"/>
      <c r="X79" s="48"/>
      <c r="Y79" s="47"/>
      <c r="Z79" s="43"/>
    </row>
    <row r="80" ht="14.25" customHeight="1">
      <c r="A80" s="214">
        <v>2.0</v>
      </c>
      <c r="B80" s="285" t="s">
        <v>3062</v>
      </c>
      <c r="C80" s="47">
        <v>76.0</v>
      </c>
      <c r="D80" s="47">
        <v>4.0</v>
      </c>
      <c r="E80" s="288">
        <v>43466.0</v>
      </c>
      <c r="F80" s="156" t="str">
        <f>HYPERLINK("https://www.liputan6.com/news/read/3861102/di-pengujung-tahun-asrorun-niam-sabet-youth-achievement-award-2018 ","sumber")</f>
        <v>sumber</v>
      </c>
      <c r="G80" s="274" t="s">
        <v>33</v>
      </c>
      <c r="H80" s="48" t="s">
        <v>2992</v>
      </c>
      <c r="I80" s="48"/>
      <c r="J80" s="48"/>
      <c r="K80" s="165"/>
      <c r="L80" s="48"/>
      <c r="M80" s="48"/>
      <c r="N80" s="48"/>
      <c r="O80" s="48"/>
      <c r="P80" s="48"/>
      <c r="Q80" s="48"/>
      <c r="R80" s="48"/>
      <c r="S80" s="165"/>
      <c r="T80" s="48"/>
      <c r="U80" s="48"/>
      <c r="V80" s="48"/>
      <c r="W80" s="48"/>
      <c r="X80" s="48"/>
      <c r="Y80" s="47"/>
      <c r="Z80" s="43"/>
    </row>
    <row r="81" ht="14.25" customHeight="1">
      <c r="A81" s="214">
        <v>2.0</v>
      </c>
      <c r="B81" s="285" t="s">
        <v>3063</v>
      </c>
      <c r="C81" s="47">
        <v>77.0</v>
      </c>
      <c r="D81" s="47">
        <v>3.0</v>
      </c>
      <c r="E81" s="288">
        <v>43466.0</v>
      </c>
      <c r="F81" s="156" t="str">
        <f>HYPERLINK("https://news.okezone.com/read/2019/01/01/18/1998596/mobil-tabrak-kerumunan-pesta-tahun-baru-di-harajuku-jepang-8-orang-terluka ","sumber")</f>
        <v>sumber</v>
      </c>
      <c r="G81" s="274" t="s">
        <v>33</v>
      </c>
      <c r="H81" s="48" t="s">
        <v>3064</v>
      </c>
      <c r="I81" s="48"/>
      <c r="J81" s="48"/>
      <c r="K81" s="165"/>
      <c r="L81" s="48"/>
      <c r="M81" s="48"/>
      <c r="N81" s="48"/>
      <c r="O81" s="48"/>
      <c r="P81" s="48"/>
      <c r="Q81" s="48"/>
      <c r="R81" s="48"/>
      <c r="S81" s="165"/>
      <c r="T81" s="48"/>
      <c r="U81" s="48"/>
      <c r="V81" s="48"/>
      <c r="W81" s="48"/>
      <c r="X81" s="48"/>
      <c r="Y81" s="47"/>
      <c r="Z81" s="43"/>
    </row>
    <row r="82" ht="14.25" customHeight="1">
      <c r="A82" s="189">
        <v>1.0</v>
      </c>
      <c r="B82" s="77" t="s">
        <v>3065</v>
      </c>
      <c r="C82" s="55">
        <v>78.0</v>
      </c>
      <c r="D82" s="55">
        <v>3.0</v>
      </c>
      <c r="E82" s="298" t="s">
        <v>2503</v>
      </c>
      <c r="F82" s="171" t="str">
        <f>HYPERLINK("https://news.okezone.com/read/2019/01/17/605/2005989/solusi-jokowi-ma-ruf-dan-prabowo-sandi-soal-kaum-disabilitas-kerap-didiskriminasi ","sumber")</f>
        <v>sumber</v>
      </c>
      <c r="G82" s="277" t="s">
        <v>33</v>
      </c>
      <c r="H82" s="55">
        <v>396.0</v>
      </c>
      <c r="I82" s="55">
        <v>4.0</v>
      </c>
      <c r="J82" s="55">
        <v>2.0</v>
      </c>
      <c r="K82" s="172" t="s">
        <v>3066</v>
      </c>
      <c r="L82" s="55">
        <v>0.0</v>
      </c>
      <c r="M82" s="55">
        <v>0.0</v>
      </c>
      <c r="N82" s="55">
        <v>0.0</v>
      </c>
      <c r="O82" s="55">
        <v>0.0</v>
      </c>
      <c r="P82" s="55">
        <v>0.0</v>
      </c>
      <c r="Q82" s="55" t="s">
        <v>53</v>
      </c>
      <c r="R82" s="55" t="s">
        <v>392</v>
      </c>
      <c r="S82" s="172"/>
      <c r="T82" s="55">
        <v>0.0</v>
      </c>
      <c r="U82" s="55">
        <v>0.0</v>
      </c>
      <c r="V82" s="55">
        <v>0.0</v>
      </c>
      <c r="W82" s="46"/>
      <c r="X82" s="46"/>
      <c r="Y82" s="55"/>
      <c r="Z82" s="30"/>
    </row>
    <row r="83" ht="14.25" customHeight="1">
      <c r="A83" s="214">
        <v>2.0</v>
      </c>
      <c r="B83" s="285" t="s">
        <v>3067</v>
      </c>
      <c r="C83" s="47">
        <v>79.0</v>
      </c>
      <c r="D83" s="47">
        <v>5.0</v>
      </c>
      <c r="E83" s="288">
        <v>43470.0</v>
      </c>
      <c r="F83" s="156" t="str">
        <f>HYPERLINK("https://tirto.id/jadwal-sholat-isya-kota-makassar-desember-2018-hari-ini-ddjn ","sumber")</f>
        <v>sumber</v>
      </c>
      <c r="G83" s="274" t="s">
        <v>33</v>
      </c>
      <c r="H83" s="48" t="s">
        <v>3068</v>
      </c>
      <c r="I83" s="48"/>
      <c r="J83" s="48"/>
      <c r="K83" s="165"/>
      <c r="L83" s="48"/>
      <c r="M83" s="48"/>
      <c r="N83" s="48"/>
      <c r="O83" s="48"/>
      <c r="P83" s="48"/>
      <c r="Q83" s="48"/>
      <c r="R83" s="48"/>
      <c r="S83" s="165"/>
      <c r="T83" s="48"/>
      <c r="U83" s="48"/>
      <c r="V83" s="48"/>
      <c r="W83" s="48"/>
      <c r="X83" s="48"/>
      <c r="Y83" s="47"/>
      <c r="Z83" s="43"/>
    </row>
    <row r="84" ht="14.25" customHeight="1">
      <c r="A84" s="189">
        <v>1.0</v>
      </c>
      <c r="B84" s="77" t="s">
        <v>3069</v>
      </c>
      <c r="C84" s="55">
        <v>80.0</v>
      </c>
      <c r="D84" s="55">
        <v>6.0</v>
      </c>
      <c r="E84" s="289">
        <v>43479.0</v>
      </c>
      <c r="F84" s="171" t="str">
        <f>HYPERLINK("https://nasional.kompas.com/read/2019/01/14/14130611/komentar-timses-jokowi-soal-prabowo-akan-mundur-jika-ada-kecurangan-pemilu ","sumber")</f>
        <v>sumber</v>
      </c>
      <c r="G84" s="277" t="s">
        <v>33</v>
      </c>
      <c r="H84" s="55">
        <v>394.0</v>
      </c>
      <c r="I84" s="55">
        <v>2.0</v>
      </c>
      <c r="J84" s="55">
        <v>2.0</v>
      </c>
      <c r="K84" s="172" t="s">
        <v>3070</v>
      </c>
      <c r="L84" s="55">
        <v>0.0</v>
      </c>
      <c r="M84" s="55">
        <v>0.0</v>
      </c>
      <c r="N84" s="55">
        <v>0.0</v>
      </c>
      <c r="O84" s="55">
        <v>0.0</v>
      </c>
      <c r="P84" s="55">
        <v>0.0</v>
      </c>
      <c r="Q84" s="55" t="s">
        <v>61</v>
      </c>
      <c r="R84" s="55" t="s">
        <v>780</v>
      </c>
      <c r="S84" s="172"/>
      <c r="T84" s="55">
        <v>0.0</v>
      </c>
      <c r="U84" s="55">
        <v>0.0</v>
      </c>
      <c r="V84" s="55">
        <v>0.0</v>
      </c>
      <c r="W84" s="46"/>
      <c r="X84" s="46"/>
      <c r="Y84" s="55"/>
      <c r="Z84" s="30"/>
    </row>
    <row r="85" ht="14.25" customHeight="1">
      <c r="A85" s="189">
        <v>1.0</v>
      </c>
      <c r="B85" s="77" t="s">
        <v>3071</v>
      </c>
      <c r="C85" s="55">
        <v>81.0</v>
      </c>
      <c r="D85" s="55">
        <v>3.0</v>
      </c>
      <c r="E85" s="289">
        <v>43481.0</v>
      </c>
      <c r="F85" s="171" t="str">
        <f>HYPERLINK("https://news.detik.com/berita-jawa-timur/d-4386687/karena-sering-ngesot-lutut-dinda-bolak-balik-terluka ","sumber")</f>
        <v>sumber</v>
      </c>
      <c r="G85" s="277" t="s">
        <v>33</v>
      </c>
      <c r="H85" s="55">
        <v>197.0</v>
      </c>
      <c r="I85" s="55">
        <v>2.0</v>
      </c>
      <c r="J85" s="55">
        <v>2.0</v>
      </c>
      <c r="K85" s="172" t="s">
        <v>3072</v>
      </c>
      <c r="L85" s="55">
        <v>0.0</v>
      </c>
      <c r="M85" s="55">
        <v>0.0</v>
      </c>
      <c r="N85" s="55">
        <v>0.0</v>
      </c>
      <c r="O85" s="55">
        <v>0.0</v>
      </c>
      <c r="P85" s="55">
        <v>0.0</v>
      </c>
      <c r="Q85" s="55" t="s">
        <v>119</v>
      </c>
      <c r="R85" s="55" t="s">
        <v>61</v>
      </c>
      <c r="S85" s="172"/>
      <c r="T85" s="55">
        <v>0.0</v>
      </c>
      <c r="U85" s="55">
        <v>0.0</v>
      </c>
      <c r="V85" s="55">
        <v>0.0</v>
      </c>
      <c r="W85" s="46"/>
      <c r="X85" s="46"/>
      <c r="Y85" s="55"/>
      <c r="Z85" s="30"/>
    </row>
    <row r="86" ht="14.25" customHeight="1">
      <c r="A86" s="214">
        <v>2.0</v>
      </c>
      <c r="B86" s="285" t="s">
        <v>3073</v>
      </c>
      <c r="C86" s="47">
        <v>82.0</v>
      </c>
      <c r="D86" s="47">
        <v>5.0</v>
      </c>
      <c r="E86" s="288">
        <v>43479.0</v>
      </c>
      <c r="F86" s="156" t="str">
        <f>HYPERLINK("https://tirto.id/bpn-prabowo-bukan-mundur-tapi-boikot-pilpres-bila-ada-kecurangan-deqH ","sumber")</f>
        <v>sumber</v>
      </c>
      <c r="G86" s="274" t="s">
        <v>33</v>
      </c>
      <c r="H86" s="48" t="s">
        <v>3074</v>
      </c>
      <c r="I86" s="48"/>
      <c r="J86" s="48"/>
      <c r="K86" s="157"/>
      <c r="L86" s="48"/>
      <c r="M86" s="48"/>
      <c r="N86" s="48"/>
      <c r="O86" s="48"/>
      <c r="P86" s="48"/>
      <c r="Q86" s="48"/>
      <c r="R86" s="48"/>
      <c r="S86" s="165"/>
      <c r="T86" s="48"/>
      <c r="U86" s="48"/>
      <c r="V86" s="48"/>
      <c r="W86" s="48"/>
      <c r="X86" s="48"/>
      <c r="Y86" s="47"/>
      <c r="Z86" s="43"/>
    </row>
    <row r="87" ht="14.25" customHeight="1">
      <c r="A87" s="189">
        <v>1.0</v>
      </c>
      <c r="B87" s="77" t="s">
        <v>3075</v>
      </c>
      <c r="C87" s="55">
        <v>83.0</v>
      </c>
      <c r="D87" s="55">
        <v>1.0</v>
      </c>
      <c r="E87" s="289">
        <v>43495.0</v>
      </c>
      <c r="F87" s="171" t="str">
        <f>HYPERLINK("https://news.detik.com/berita-jawa-tengah/d-4407393/sering-mengeluh-rendah-diri-petani-ini-ditemukan-gantung-diri ","sumber")</f>
        <v>sumber</v>
      </c>
      <c r="G87" s="277" t="s">
        <v>33</v>
      </c>
      <c r="H87" s="55">
        <v>210.0</v>
      </c>
      <c r="I87" s="55">
        <v>1.0</v>
      </c>
      <c r="J87" s="55">
        <v>2.0</v>
      </c>
      <c r="K87" s="172" t="s">
        <v>3076</v>
      </c>
      <c r="L87" s="55">
        <v>0.0</v>
      </c>
      <c r="M87" s="55">
        <v>-1.0</v>
      </c>
      <c r="N87" s="55">
        <v>0.0</v>
      </c>
      <c r="O87" s="55">
        <v>0.0</v>
      </c>
      <c r="P87" s="55">
        <v>0.0</v>
      </c>
      <c r="Q87" s="55">
        <v>0.0</v>
      </c>
      <c r="R87" s="55">
        <v>0.0</v>
      </c>
      <c r="S87" s="172"/>
      <c r="T87" s="55">
        <v>0.0</v>
      </c>
      <c r="U87" s="55">
        <v>0.0</v>
      </c>
      <c r="V87" s="55">
        <v>0.0</v>
      </c>
      <c r="W87" s="46"/>
      <c r="X87" s="46"/>
      <c r="Y87" s="55"/>
      <c r="Z87" s="30"/>
    </row>
    <row r="88" ht="14.25" customHeight="1">
      <c r="A88" s="189">
        <v>1.0</v>
      </c>
      <c r="B88" s="77" t="s">
        <v>1220</v>
      </c>
      <c r="C88" s="55">
        <v>84.0</v>
      </c>
      <c r="D88" s="55">
        <v>7.0</v>
      </c>
      <c r="E88" s="289">
        <v>43468.0</v>
      </c>
      <c r="F88" s="171" t="str">
        <f>HYPERLINK("http://www.tribunnews.com/metropolitan/2019/01/03/pria-diduga-mengidap-gangguan-jiwa-aniaya-bayi-2-tahun-hingga-tewas-di-pasar-rebo","sumber")</f>
        <v>sumber</v>
      </c>
      <c r="G88" s="277" t="s">
        <v>33</v>
      </c>
      <c r="H88" s="55">
        <v>307.0</v>
      </c>
      <c r="I88" s="55">
        <v>1.0</v>
      </c>
      <c r="J88" s="55">
        <v>2.0</v>
      </c>
      <c r="K88" s="172" t="s">
        <v>3077</v>
      </c>
      <c r="L88" s="55">
        <v>0.0</v>
      </c>
      <c r="M88" s="188">
        <v>0.0</v>
      </c>
      <c r="N88" s="55">
        <v>-1.0</v>
      </c>
      <c r="O88" s="55">
        <v>0.0</v>
      </c>
      <c r="P88" s="55">
        <v>0.0</v>
      </c>
      <c r="Q88" s="55">
        <v>0.0</v>
      </c>
      <c r="R88" s="55">
        <v>0.0</v>
      </c>
      <c r="S88" s="172"/>
      <c r="T88" s="55">
        <v>0.0</v>
      </c>
      <c r="U88" s="55">
        <v>0.0</v>
      </c>
      <c r="V88" s="55">
        <v>0.0</v>
      </c>
      <c r="W88" s="46"/>
      <c r="X88" s="46"/>
      <c r="Y88" s="55"/>
      <c r="Z88" s="30"/>
    </row>
    <row r="89">
      <c r="A89" s="189">
        <v>1.0</v>
      </c>
      <c r="B89" s="77" t="s">
        <v>2129</v>
      </c>
      <c r="C89" s="55">
        <v>85.0</v>
      </c>
      <c r="D89" s="55">
        <v>6.0</v>
      </c>
      <c r="E89" s="289">
        <v>43505.0</v>
      </c>
      <c r="F89" s="171" t="str">
        <f>HYPERLINK("https://megapolitan.kompas.com/read/2019/02/09/15080101/pemprov-dki-wajibkan-pengembang-sertakan-desain-fasilitas-khusus ","sumber")</f>
        <v>sumber</v>
      </c>
      <c r="G89" s="277" t="s">
        <v>33</v>
      </c>
      <c r="H89" s="55">
        <v>320.0</v>
      </c>
      <c r="I89" s="55">
        <v>4.0</v>
      </c>
      <c r="J89" s="55">
        <v>2.0</v>
      </c>
      <c r="K89" s="172" t="s">
        <v>3078</v>
      </c>
      <c r="L89" s="55">
        <v>0.0</v>
      </c>
      <c r="M89" s="55">
        <v>0.0</v>
      </c>
      <c r="N89" s="55">
        <v>0.0</v>
      </c>
      <c r="O89" s="55">
        <v>0.0</v>
      </c>
      <c r="P89" s="55">
        <v>0.0</v>
      </c>
      <c r="Q89" s="55">
        <v>0.0</v>
      </c>
      <c r="R89" s="55">
        <v>1.0</v>
      </c>
      <c r="S89" s="172"/>
      <c r="T89" s="55">
        <v>0.0</v>
      </c>
      <c r="U89" s="55">
        <v>0.0</v>
      </c>
      <c r="V89" s="55">
        <v>0.0</v>
      </c>
      <c r="W89" s="46"/>
      <c r="X89" s="46"/>
      <c r="Y89" s="55"/>
      <c r="Z89" s="30"/>
    </row>
    <row r="90" ht="14.25" customHeight="1">
      <c r="A90" s="214">
        <v>2.0</v>
      </c>
      <c r="B90" s="285" t="s">
        <v>3079</v>
      </c>
      <c r="C90" s="47">
        <v>86.0</v>
      </c>
      <c r="D90" s="47">
        <v>3.0</v>
      </c>
      <c r="E90" s="288">
        <v>43498.0</v>
      </c>
      <c r="F90" s="156" t="str">
        <f>HYPERLINK("https://news.okezone.com/read/2019/02/02/605/2012943/jokowi-dapat-panggilan-cak-saat-kampanye-di-jawa-timur ","sumber")</f>
        <v>sumber</v>
      </c>
      <c r="G90" s="274" t="s">
        <v>33</v>
      </c>
      <c r="H90" s="48" t="s">
        <v>3080</v>
      </c>
      <c r="I90" s="48"/>
      <c r="J90" s="48"/>
      <c r="K90" s="165"/>
      <c r="L90" s="48"/>
      <c r="M90" s="48"/>
      <c r="N90" s="48"/>
      <c r="O90" s="48"/>
      <c r="P90" s="48"/>
      <c r="Q90" s="48"/>
      <c r="R90" s="48"/>
      <c r="S90" s="165"/>
      <c r="T90" s="48"/>
      <c r="U90" s="48"/>
      <c r="V90" s="48"/>
      <c r="W90" s="48"/>
      <c r="X90" s="48"/>
      <c r="Y90" s="47"/>
      <c r="Z90" s="43"/>
    </row>
    <row r="91" ht="14.25" customHeight="1">
      <c r="A91" s="214">
        <v>2.0</v>
      </c>
      <c r="B91" s="285" t="s">
        <v>3081</v>
      </c>
      <c r="C91" s="47">
        <v>87.0</v>
      </c>
      <c r="D91" s="47">
        <v>5.0</v>
      </c>
      <c r="E91" s="288">
        <v>43508.0</v>
      </c>
      <c r="F91" s="156" t="str">
        <f>HYPERLINK("https://tirto.id/sehat-dan-bahagia-dengan-mencintai-kucing-dgGK ","sumber")</f>
        <v>sumber</v>
      </c>
      <c r="G91" s="274" t="s">
        <v>33</v>
      </c>
      <c r="H91" s="48" t="s">
        <v>3082</v>
      </c>
      <c r="I91" s="48"/>
      <c r="J91" s="48"/>
      <c r="K91" s="157"/>
      <c r="L91" s="48"/>
      <c r="M91" s="48"/>
      <c r="N91" s="48"/>
      <c r="O91" s="48"/>
      <c r="P91" s="48"/>
      <c r="Q91" s="48"/>
      <c r="R91" s="48"/>
      <c r="S91" s="165"/>
      <c r="T91" s="48"/>
      <c r="U91" s="48"/>
      <c r="V91" s="48"/>
      <c r="W91" s="48"/>
      <c r="X91" s="48"/>
      <c r="Y91" s="47"/>
      <c r="Z91" s="43"/>
    </row>
    <row r="92" ht="14.25" customHeight="1">
      <c r="A92" s="214">
        <v>2.0</v>
      </c>
      <c r="B92" s="285" t="s">
        <v>3083</v>
      </c>
      <c r="C92" s="47">
        <v>88.0</v>
      </c>
      <c r="D92" s="47">
        <v>3.0</v>
      </c>
      <c r="E92" s="288">
        <v>43509.0</v>
      </c>
      <c r="F92" s="156" t="str">
        <f>HYPERLINK("https://bola.okezone.com/read/2019/02/13/49/2017557/laga-persib-vs-arema-di-kratingdaeng-piala-indonesia-alami-perubahan ","sumber")</f>
        <v>sumber</v>
      </c>
      <c r="G92" s="274" t="s">
        <v>33</v>
      </c>
      <c r="H92" s="48" t="s">
        <v>3084</v>
      </c>
      <c r="I92" s="48"/>
      <c r="J92" s="48"/>
      <c r="K92" s="157"/>
      <c r="L92" s="48"/>
      <c r="M92" s="48"/>
      <c r="N92" s="48"/>
      <c r="O92" s="48"/>
      <c r="P92" s="48"/>
      <c r="Q92" s="48"/>
      <c r="R92" s="48"/>
      <c r="S92" s="165"/>
      <c r="T92" s="48"/>
      <c r="U92" s="48"/>
      <c r="V92" s="48"/>
      <c r="W92" s="48"/>
      <c r="X92" s="48"/>
      <c r="Y92" s="47"/>
      <c r="Z92" s="43"/>
    </row>
    <row r="93" ht="14.25" customHeight="1">
      <c r="A93" s="189">
        <v>1.0</v>
      </c>
      <c r="B93" s="77" t="s">
        <v>3085</v>
      </c>
      <c r="C93" s="55">
        <v>89.0</v>
      </c>
      <c r="D93" s="55">
        <v>5.0</v>
      </c>
      <c r="E93" s="289">
        <v>43499.0</v>
      </c>
      <c r="F93" s="171" t="str">
        <f>HYPERLINK("https://tirto.id/ppua-caleg-disabilitas-perlu-menyuarakan-hak-yang-belum-terwujud-dfPb ","sumber")</f>
        <v>sumber</v>
      </c>
      <c r="G93" s="277" t="s">
        <v>33</v>
      </c>
      <c r="H93" s="55">
        <v>254.0</v>
      </c>
      <c r="I93" s="55">
        <v>3.0</v>
      </c>
      <c r="J93" s="55">
        <v>2.0</v>
      </c>
      <c r="K93" s="172" t="s">
        <v>3086</v>
      </c>
      <c r="L93" s="55">
        <v>0.0</v>
      </c>
      <c r="M93" s="55">
        <v>0.0</v>
      </c>
      <c r="N93" s="55">
        <v>0.0</v>
      </c>
      <c r="O93" s="55">
        <v>0.0</v>
      </c>
      <c r="P93" s="55">
        <v>0.0</v>
      </c>
      <c r="Q93" s="55">
        <v>1.0</v>
      </c>
      <c r="R93" s="55">
        <v>1.0</v>
      </c>
      <c r="S93" s="172"/>
      <c r="T93" s="55">
        <v>0.0</v>
      </c>
      <c r="U93" s="55">
        <v>0.0</v>
      </c>
      <c r="V93" s="55">
        <v>0.0</v>
      </c>
      <c r="W93" s="46"/>
      <c r="X93" s="46"/>
      <c r="Y93" s="55"/>
      <c r="Z93" s="30"/>
    </row>
    <row r="94" ht="14.25" customHeight="1">
      <c r="A94" s="214">
        <v>2.0</v>
      </c>
      <c r="B94" s="285" t="s">
        <v>3087</v>
      </c>
      <c r="C94" s="47">
        <v>90.0</v>
      </c>
      <c r="D94" s="47">
        <v>3.0</v>
      </c>
      <c r="E94" s="288">
        <v>43514.0</v>
      </c>
      <c r="F94" s="156" t="str">
        <f>HYPERLINK("https://bola.okezone.com/read/2019/02/18/49/2019498/hamka-hamzah-ajak-suporter-persib-dan-arema-penuhi-stadion-si-jalak-harupat ","sumber")</f>
        <v>sumber</v>
      </c>
      <c r="G94" s="274" t="s">
        <v>33</v>
      </c>
      <c r="H94" s="48" t="s">
        <v>3088</v>
      </c>
      <c r="I94" s="48"/>
      <c r="J94" s="48"/>
      <c r="K94" s="165"/>
      <c r="L94" s="48"/>
      <c r="M94" s="48"/>
      <c r="N94" s="48"/>
      <c r="O94" s="48"/>
      <c r="P94" s="48"/>
      <c r="Q94" s="48"/>
      <c r="R94" s="48"/>
      <c r="S94" s="165"/>
      <c r="T94" s="48"/>
      <c r="U94" s="48"/>
      <c r="V94" s="48"/>
      <c r="W94" s="48"/>
      <c r="X94" s="48"/>
      <c r="Y94" s="47"/>
      <c r="Z94" s="43"/>
    </row>
    <row r="95" ht="14.25" customHeight="1">
      <c r="A95" s="214">
        <v>2.0</v>
      </c>
      <c r="B95" s="285" t="s">
        <v>3089</v>
      </c>
      <c r="C95" s="47">
        <v>91.0</v>
      </c>
      <c r="D95" s="47">
        <v>8.0</v>
      </c>
      <c r="E95" s="288">
        <v>43516.0</v>
      </c>
      <c r="F95" s="156" t="str">
        <f>HYPERLINK("https://www.suara.com/news/2019/02/20/144637/bela-slamet-maarif-zulkifli-hasan-kalau-ada-ulama-disakiti-kami-sakit ","sumber")</f>
        <v>sumber</v>
      </c>
      <c r="G95" s="274" t="s">
        <v>33</v>
      </c>
      <c r="H95" s="48" t="s">
        <v>3090</v>
      </c>
      <c r="I95" s="48"/>
      <c r="J95" s="48"/>
      <c r="K95" s="157"/>
      <c r="L95" s="48"/>
      <c r="M95" s="48"/>
      <c r="N95" s="48"/>
      <c r="O95" s="48"/>
      <c r="P95" s="48"/>
      <c r="Q95" s="48"/>
      <c r="R95" s="48"/>
      <c r="S95" s="165"/>
      <c r="T95" s="48"/>
      <c r="U95" s="48"/>
      <c r="V95" s="48"/>
      <c r="W95" s="48"/>
      <c r="X95" s="48"/>
      <c r="Y95" s="47"/>
      <c r="Z95" s="43"/>
    </row>
    <row r="96" ht="14.25" customHeight="1">
      <c r="A96" s="214">
        <v>2.0</v>
      </c>
      <c r="B96" s="285" t="s">
        <v>3091</v>
      </c>
      <c r="C96" s="47">
        <v>92.0</v>
      </c>
      <c r="D96" s="47">
        <v>3.0</v>
      </c>
      <c r="E96" s="288">
        <v>43518.0</v>
      </c>
      <c r="F96" s="156" t="str">
        <f>HYPERLINK("https://index.okezone.com/read/2019/02/22/612/2021575/menjawab-kegalauan-kaum-millenials ","sumber")</f>
        <v>sumber</v>
      </c>
      <c r="G96" s="274" t="s">
        <v>33</v>
      </c>
      <c r="H96" s="48" t="s">
        <v>3092</v>
      </c>
      <c r="I96" s="48"/>
      <c r="J96" s="48"/>
      <c r="K96" s="165"/>
      <c r="L96" s="48"/>
      <c r="M96" s="48"/>
      <c r="N96" s="48"/>
      <c r="O96" s="48"/>
      <c r="P96" s="48"/>
      <c r="Q96" s="48"/>
      <c r="R96" s="48"/>
      <c r="S96" s="165"/>
      <c r="T96" s="48"/>
      <c r="U96" s="48"/>
      <c r="V96" s="48"/>
      <c r="W96" s="48"/>
      <c r="X96" s="48"/>
      <c r="Y96" s="47"/>
      <c r="Z96" s="43"/>
    </row>
    <row r="97" ht="14.25" customHeight="1">
      <c r="A97" s="254">
        <v>1.0</v>
      </c>
      <c r="B97" s="299" t="s">
        <v>2149</v>
      </c>
      <c r="C97" s="55">
        <v>93.0</v>
      </c>
      <c r="D97" s="55">
        <v>10.0</v>
      </c>
      <c r="E97" s="289">
        <v>43505.0</v>
      </c>
      <c r="F97" s="171" t="str">
        <f>HYPERLINK("https://difabel.tempo.co/read/1173806/riset-penyandang-disabilitas-pria-lebih-rentan-bunuh-diri ","sumber")</f>
        <v>sumber</v>
      </c>
      <c r="G97" s="277" t="s">
        <v>33</v>
      </c>
      <c r="H97" s="55">
        <v>325.0</v>
      </c>
      <c r="I97" s="55">
        <v>5.0</v>
      </c>
      <c r="J97" s="55">
        <v>2.0</v>
      </c>
      <c r="K97" s="172" t="s">
        <v>3093</v>
      </c>
      <c r="L97" s="55">
        <v>0.0</v>
      </c>
      <c r="M97" s="55">
        <v>0.0</v>
      </c>
      <c r="N97" s="55">
        <v>0.0</v>
      </c>
      <c r="O97" s="55">
        <v>0.0</v>
      </c>
      <c r="P97" s="55">
        <v>0.0</v>
      </c>
      <c r="Q97" s="55">
        <v>1.0</v>
      </c>
      <c r="R97" s="55">
        <v>1.0</v>
      </c>
      <c r="S97" s="172"/>
      <c r="T97" s="55">
        <v>0.0</v>
      </c>
      <c r="U97" s="55">
        <v>0.0</v>
      </c>
      <c r="V97" s="55">
        <v>0.0</v>
      </c>
      <c r="W97" s="46"/>
      <c r="X97" s="46"/>
      <c r="Y97" s="55"/>
      <c r="Z97" s="30"/>
    </row>
    <row r="98" ht="14.25" customHeight="1">
      <c r="A98" s="282">
        <v>1.0</v>
      </c>
      <c r="B98" s="283" t="s">
        <v>3094</v>
      </c>
      <c r="C98" s="44">
        <v>94.0</v>
      </c>
      <c r="D98" s="44">
        <v>2.0</v>
      </c>
      <c r="E98" s="287">
        <v>43522.0</v>
      </c>
      <c r="F98" s="162" t="str">
        <f>HYPERLINK("https://www.cnnindonesia.com/nasional/20190226140926-12-372720/pemuda-di-oku-sumsel-diduga-bunuh-ibu-kandung ","sumber")</f>
        <v>sumber</v>
      </c>
      <c r="G98" s="269" t="s">
        <v>33</v>
      </c>
      <c r="H98" s="45" t="s">
        <v>3095</v>
      </c>
      <c r="I98" s="44">
        <v>1.0</v>
      </c>
      <c r="J98" s="300">
        <v>43832.0</v>
      </c>
      <c r="K98" s="164" t="s">
        <v>3096</v>
      </c>
      <c r="L98" s="44">
        <v>0.0</v>
      </c>
      <c r="M98" s="44">
        <v>-1.0</v>
      </c>
      <c r="N98" s="44">
        <v>-1.0</v>
      </c>
      <c r="O98" s="44">
        <v>0.0</v>
      </c>
      <c r="P98" s="44">
        <v>0.0</v>
      </c>
      <c r="Q98" s="44">
        <v>0.0</v>
      </c>
      <c r="R98" s="44">
        <v>0.0</v>
      </c>
      <c r="S98" s="164"/>
      <c r="T98" s="44">
        <v>0.0</v>
      </c>
      <c r="U98" s="44">
        <v>0.0</v>
      </c>
      <c r="V98" s="44">
        <v>0.0</v>
      </c>
      <c r="W98" s="45"/>
      <c r="X98" s="45"/>
      <c r="Y98" s="45"/>
      <c r="Z98" s="9"/>
    </row>
    <row r="99" ht="14.25" customHeight="1">
      <c r="A99" s="282">
        <v>1.0</v>
      </c>
      <c r="B99" s="283" t="s">
        <v>1258</v>
      </c>
      <c r="C99" s="44">
        <v>95.0</v>
      </c>
      <c r="D99" s="44">
        <v>10.0</v>
      </c>
      <c r="E99" s="287">
        <v>43529.0</v>
      </c>
      <c r="F99" s="162" t="str">
        <f>HYPERLINK("https://sport.tempo.co/read/1182101/kisah-robert-kubica-pembalap-penyandang-disabilitas-di-formula-1 ","sumber")</f>
        <v>sumber</v>
      </c>
      <c r="G99" s="269" t="s">
        <v>33</v>
      </c>
      <c r="H99" s="45" t="s">
        <v>2967</v>
      </c>
      <c r="I99" s="44">
        <v>2.0</v>
      </c>
      <c r="J99" s="44">
        <v>2.0</v>
      </c>
      <c r="K99" s="164" t="s">
        <v>3097</v>
      </c>
      <c r="L99" s="44">
        <v>0.0</v>
      </c>
      <c r="M99" s="44">
        <v>0.0</v>
      </c>
      <c r="N99" s="44">
        <v>0.0</v>
      </c>
      <c r="O99" s="44">
        <v>0.0</v>
      </c>
      <c r="P99" s="44">
        <v>0.0</v>
      </c>
      <c r="Q99" s="44" t="s">
        <v>80</v>
      </c>
      <c r="R99" s="44" t="s">
        <v>392</v>
      </c>
      <c r="S99" s="164" t="s">
        <v>3098</v>
      </c>
      <c r="T99" s="44">
        <v>1.0</v>
      </c>
      <c r="U99" s="44">
        <v>0.0</v>
      </c>
      <c r="V99" s="44">
        <v>0.0</v>
      </c>
      <c r="W99" s="45"/>
      <c r="X99" s="45"/>
      <c r="Y99" s="45"/>
      <c r="Z99" s="9"/>
    </row>
    <row r="100" ht="14.25" customHeight="1">
      <c r="A100" s="282">
        <v>1.0</v>
      </c>
      <c r="B100" s="283" t="s">
        <v>3099</v>
      </c>
      <c r="C100" s="44">
        <v>96.0</v>
      </c>
      <c r="D100" s="44">
        <v>10.0</v>
      </c>
      <c r="E100" s="287">
        <v>43537.0</v>
      </c>
      <c r="F100" s="162" t="str">
        <f>HYPERLINK("https://metro.tempo.co/read/1184794/penyandang-disabilitas-ingin-menikmati-mrt-simak-tata-caranya ","sumber")</f>
        <v>sumber</v>
      </c>
      <c r="G100" s="269" t="s">
        <v>33</v>
      </c>
      <c r="H100" s="45" t="s">
        <v>2909</v>
      </c>
      <c r="I100" s="44">
        <v>2.0</v>
      </c>
      <c r="J100" s="44">
        <v>2.0</v>
      </c>
      <c r="K100" s="301" t="s">
        <v>3100</v>
      </c>
      <c r="L100" s="44">
        <v>0.0</v>
      </c>
      <c r="M100" s="44">
        <v>0.0</v>
      </c>
      <c r="N100" s="44">
        <v>0.0</v>
      </c>
      <c r="O100" s="44">
        <v>0.0</v>
      </c>
      <c r="P100" s="44">
        <v>0.0</v>
      </c>
      <c r="Q100" s="44" t="s">
        <v>53</v>
      </c>
      <c r="R100" s="44" t="s">
        <v>53</v>
      </c>
      <c r="S100" s="175"/>
      <c r="T100" s="44">
        <v>0.0</v>
      </c>
      <c r="U100" s="44">
        <v>0.0</v>
      </c>
      <c r="V100" s="44">
        <v>0.0</v>
      </c>
      <c r="W100" s="45"/>
      <c r="X100" s="45"/>
      <c r="Y100" s="45"/>
      <c r="Z100" s="52"/>
    </row>
    <row r="101" ht="14.25" customHeight="1">
      <c r="A101" s="214">
        <v>2.0</v>
      </c>
      <c r="B101" s="285" t="s">
        <v>3101</v>
      </c>
      <c r="C101" s="47">
        <v>97.0</v>
      </c>
      <c r="D101" s="47">
        <v>2.0</v>
      </c>
      <c r="E101" s="288">
        <v>43542.0</v>
      </c>
      <c r="F101" s="156" t="str">
        <f>HYPERLINK("https://www.cnnindonesia.com/internasional/20190318121147-113-378286/usai-teror-kabinet-selandia-baru-sepakat-perketat-uu-senjata ","sumber")</f>
        <v>sumber</v>
      </c>
      <c r="G101" s="274" t="s">
        <v>33</v>
      </c>
      <c r="H101" s="48" t="s">
        <v>2989</v>
      </c>
      <c r="I101" s="48"/>
      <c r="J101" s="47">
        <v>2.0</v>
      </c>
      <c r="K101" s="165"/>
      <c r="L101" s="48"/>
      <c r="M101" s="48"/>
      <c r="N101" s="48"/>
      <c r="O101" s="48"/>
      <c r="P101" s="48"/>
      <c r="Q101" s="48"/>
      <c r="R101" s="48"/>
      <c r="S101" s="165"/>
      <c r="T101" s="48"/>
      <c r="U101" s="48"/>
      <c r="V101" s="48"/>
      <c r="W101" s="48"/>
      <c r="X101" s="48"/>
      <c r="Y101" s="47"/>
      <c r="Z101" s="43"/>
    </row>
    <row r="102" ht="14.25" customHeight="1">
      <c r="A102" s="214">
        <v>2.0</v>
      </c>
      <c r="B102" s="285" t="s">
        <v>3102</v>
      </c>
      <c r="C102" s="47">
        <v>98.0</v>
      </c>
      <c r="D102" s="47">
        <v>1.0</v>
      </c>
      <c r="E102" s="288">
        <v>43542.0</v>
      </c>
      <c r="F102" s="156" t="str">
        <f>HYPERLINK("https://news.detik.com/bbc-world/d-4472422/siapa-saja-para-korban-serangan-teror-di-2-masjid-new-zealand ","sumber")</f>
        <v>sumber</v>
      </c>
      <c r="G102" s="274" t="s">
        <v>33</v>
      </c>
      <c r="H102" s="48" t="s">
        <v>3103</v>
      </c>
      <c r="I102" s="48"/>
      <c r="J102" s="47">
        <v>2.0</v>
      </c>
      <c r="K102" s="165"/>
      <c r="L102" s="48"/>
      <c r="M102" s="48"/>
      <c r="N102" s="48"/>
      <c r="O102" s="48"/>
      <c r="P102" s="48"/>
      <c r="Q102" s="48"/>
      <c r="R102" s="48"/>
      <c r="S102" s="165"/>
      <c r="T102" s="48"/>
      <c r="U102" s="48"/>
      <c r="V102" s="48"/>
      <c r="W102" s="48"/>
      <c r="X102" s="48"/>
      <c r="Y102" s="47"/>
      <c r="Z102" s="43"/>
    </row>
    <row r="103" ht="14.25" customHeight="1">
      <c r="A103" s="214">
        <v>2.0</v>
      </c>
      <c r="B103" s="285" t="s">
        <v>3104</v>
      </c>
      <c r="C103" s="47">
        <v>99.0</v>
      </c>
      <c r="D103" s="47">
        <v>9.0</v>
      </c>
      <c r="E103" s="288">
        <v>43542.0</v>
      </c>
      <c r="F103" s="156" t="str">
        <f>HYPERLINK("https://nasional.republika.co.id/berita/nasional/politik/pokc3q384/bawaslu-depok-temukan-1324-surat-suara-rusak ","sumber")</f>
        <v>sumber</v>
      </c>
      <c r="G103" s="274" t="s">
        <v>33</v>
      </c>
      <c r="H103" s="48" t="s">
        <v>3105</v>
      </c>
      <c r="I103" s="48"/>
      <c r="J103" s="47">
        <v>2.0</v>
      </c>
      <c r="K103" s="165"/>
      <c r="L103" s="48"/>
      <c r="M103" s="48"/>
      <c r="N103" s="48"/>
      <c r="O103" s="48"/>
      <c r="P103" s="48"/>
      <c r="Q103" s="48"/>
      <c r="R103" s="48"/>
      <c r="S103" s="165"/>
      <c r="T103" s="48"/>
      <c r="U103" s="48"/>
      <c r="V103" s="48"/>
      <c r="W103" s="48"/>
      <c r="X103" s="48"/>
      <c r="Y103" s="47"/>
      <c r="Z103" s="43"/>
    </row>
    <row r="104" ht="14.25" customHeight="1">
      <c r="A104" s="214">
        <v>2.0</v>
      </c>
      <c r="B104" s="285" t="s">
        <v>3106</v>
      </c>
      <c r="C104" s="47">
        <v>100.0</v>
      </c>
      <c r="D104" s="47">
        <v>2.0</v>
      </c>
      <c r="E104" s="288">
        <v>43545.0</v>
      </c>
      <c r="F104" s="156" t="str">
        <f>HYPERLINK("https://www.cnnindonesia.com/olahraga/20190320161950-142-379129/bernadeschi-gila-jika-uefa-hukum-ronaldo ","sumber")</f>
        <v>sumber</v>
      </c>
      <c r="G104" s="274" t="s">
        <v>33</v>
      </c>
      <c r="H104" s="48" t="s">
        <v>3107</v>
      </c>
      <c r="I104" s="48"/>
      <c r="J104" s="47">
        <v>2.0</v>
      </c>
      <c r="K104" s="165"/>
      <c r="L104" s="48"/>
      <c r="M104" s="48"/>
      <c r="N104" s="48"/>
      <c r="O104" s="48"/>
      <c r="P104" s="48"/>
      <c r="Q104" s="48"/>
      <c r="R104" s="48"/>
      <c r="S104" s="165"/>
      <c r="T104" s="48"/>
      <c r="U104" s="48"/>
      <c r="V104" s="48"/>
      <c r="W104" s="48"/>
      <c r="X104" s="48"/>
      <c r="Y104" s="47"/>
      <c r="Z104" s="43"/>
    </row>
    <row r="105" ht="14.25" customHeight="1">
      <c r="A105" s="282">
        <v>1.0</v>
      </c>
      <c r="B105" s="283" t="s">
        <v>3108</v>
      </c>
      <c r="C105" s="44">
        <v>101.0</v>
      </c>
      <c r="D105" s="44">
        <v>4.0</v>
      </c>
      <c r="E105" s="287">
        <v>43548.0</v>
      </c>
      <c r="F105" s="162" t="str">
        <f>HYPERLINK("https://www.liputan6.com/bola/read/3924802/tim-basket-kursi-roda-putri-indonesia-ikut-turnamen-internasional-di-thailand ","sumber")</f>
        <v>sumber</v>
      </c>
      <c r="G105" s="269" t="s">
        <v>33</v>
      </c>
      <c r="H105" s="45" t="s">
        <v>3109</v>
      </c>
      <c r="I105" s="44">
        <v>3.0</v>
      </c>
      <c r="J105" s="44">
        <v>2.0</v>
      </c>
      <c r="K105" s="164" t="s">
        <v>3110</v>
      </c>
      <c r="L105" s="44">
        <v>0.0</v>
      </c>
      <c r="M105" s="44">
        <v>0.0</v>
      </c>
      <c r="N105" s="44">
        <v>0.0</v>
      </c>
      <c r="O105" s="44">
        <v>0.0</v>
      </c>
      <c r="P105" s="44">
        <v>0.0</v>
      </c>
      <c r="Q105" s="44">
        <v>2.0</v>
      </c>
      <c r="R105" s="44">
        <v>1.0</v>
      </c>
      <c r="S105" s="175"/>
      <c r="T105" s="44">
        <v>0.0</v>
      </c>
      <c r="U105" s="44">
        <v>0.0</v>
      </c>
      <c r="V105" s="44">
        <v>0.0</v>
      </c>
      <c r="W105" s="45"/>
      <c r="X105" s="45"/>
      <c r="Y105" s="45"/>
      <c r="Z105" s="52"/>
    </row>
    <row r="106" ht="14.25" customHeight="1">
      <c r="A106" s="254">
        <v>1.0</v>
      </c>
      <c r="B106" s="68" t="s">
        <v>3111</v>
      </c>
      <c r="C106" s="55">
        <v>102.0</v>
      </c>
      <c r="D106" s="55">
        <v>6.0</v>
      </c>
      <c r="E106" s="289">
        <v>43536.0</v>
      </c>
      <c r="F106" s="171" t="str">
        <f>HYPERLINK("https://regional.kompas.com/read/2019/03/12/13293831/usai-pileg-ruang-rawat-inap-penderita-gangguan-jiwa-di-rsud-kendal-siap ","sumber")</f>
        <v>sumber</v>
      </c>
      <c r="G106" s="277" t="s">
        <v>33</v>
      </c>
      <c r="H106" s="55">
        <v>229.0</v>
      </c>
      <c r="I106" s="55">
        <v>2.0</v>
      </c>
      <c r="J106" s="55">
        <v>2.0</v>
      </c>
      <c r="K106" s="172" t="s">
        <v>3112</v>
      </c>
      <c r="L106" s="55">
        <v>0.0</v>
      </c>
      <c r="M106" s="55">
        <v>0.0</v>
      </c>
      <c r="N106" s="55">
        <v>0.0</v>
      </c>
      <c r="O106" s="55">
        <v>0.0</v>
      </c>
      <c r="P106" s="55">
        <v>0.0</v>
      </c>
      <c r="Q106" s="55" t="s">
        <v>61</v>
      </c>
      <c r="R106" s="55" t="s">
        <v>61</v>
      </c>
      <c r="S106" s="172" t="s">
        <v>3113</v>
      </c>
      <c r="T106" s="55">
        <v>2.0</v>
      </c>
      <c r="U106" s="55">
        <v>0.0</v>
      </c>
      <c r="V106" s="55">
        <v>0.0</v>
      </c>
      <c r="W106" s="46"/>
      <c r="X106" s="46"/>
      <c r="Y106" s="55"/>
      <c r="Z106" s="30"/>
    </row>
    <row r="107" ht="14.25" customHeight="1">
      <c r="A107" s="282">
        <v>1.0</v>
      </c>
      <c r="B107" s="283" t="s">
        <v>3114</v>
      </c>
      <c r="C107" s="44">
        <v>103.0</v>
      </c>
      <c r="D107" s="44">
        <v>3.0</v>
      </c>
      <c r="E107" s="287">
        <v>43550.0</v>
      </c>
      <c r="F107" s="162" t="str">
        <f>HYPERLINK("https://news.okezone.com/read/2019/03/26/337/2035094/mnc-peduli-berikan-kaki-palsu-hingga-kursi-roda-untuk-warga-banten-dan-bali ","sumber")</f>
        <v>sumber</v>
      </c>
      <c r="G107" s="269" t="s">
        <v>33</v>
      </c>
      <c r="H107" s="45" t="s">
        <v>3115</v>
      </c>
      <c r="I107" s="44">
        <v>3.0</v>
      </c>
      <c r="J107" s="44">
        <v>2.0</v>
      </c>
      <c r="K107" s="164" t="s">
        <v>3116</v>
      </c>
      <c r="L107" s="44">
        <v>0.0</v>
      </c>
      <c r="M107" s="44">
        <v>0.0</v>
      </c>
      <c r="N107" s="44">
        <v>0.0</v>
      </c>
      <c r="O107" s="44">
        <v>0.0</v>
      </c>
      <c r="P107" s="44">
        <v>0.0</v>
      </c>
      <c r="Q107" s="44" t="s">
        <v>61</v>
      </c>
      <c r="R107" s="44" t="s">
        <v>192</v>
      </c>
      <c r="S107" s="175"/>
      <c r="T107" s="44">
        <v>0.0</v>
      </c>
      <c r="U107" s="44">
        <v>0.0</v>
      </c>
      <c r="V107" s="44">
        <v>0.0</v>
      </c>
      <c r="W107" s="45"/>
      <c r="X107" s="45"/>
      <c r="Y107" s="45"/>
      <c r="Z107" s="9"/>
    </row>
    <row r="108" ht="14.25" customHeight="1">
      <c r="A108" s="214">
        <v>2.0</v>
      </c>
      <c r="B108" s="285" t="s">
        <v>3117</v>
      </c>
      <c r="C108" s="47">
        <v>104.0</v>
      </c>
      <c r="D108" s="47">
        <v>2.0</v>
      </c>
      <c r="E108" s="288">
        <v>43551.0</v>
      </c>
      <c r="F108" s="156" t="str">
        <f>HYPERLINK("https://www.cnnindonesia.com/teknologi/20190327184539-192-381249/netizen-bikin-petisi-tolak-fatwa-haram-gim-pubg ","sumber")</f>
        <v>sumber</v>
      </c>
      <c r="G108" s="274" t="s">
        <v>33</v>
      </c>
      <c r="H108" s="48" t="s">
        <v>3118</v>
      </c>
      <c r="I108" s="48"/>
      <c r="J108" s="47">
        <v>2.0</v>
      </c>
      <c r="K108" s="165"/>
      <c r="L108" s="48"/>
      <c r="M108" s="48"/>
      <c r="N108" s="48"/>
      <c r="O108" s="48"/>
      <c r="P108" s="48"/>
      <c r="Q108" s="48"/>
      <c r="R108" s="48"/>
      <c r="S108" s="157"/>
      <c r="T108" s="48"/>
      <c r="U108" s="48"/>
      <c r="V108" s="48"/>
      <c r="W108" s="48"/>
      <c r="X108" s="48"/>
      <c r="Y108" s="47"/>
      <c r="Z108" s="43"/>
    </row>
    <row r="109" ht="14.25" customHeight="1">
      <c r="A109" s="282">
        <v>1.0</v>
      </c>
      <c r="B109" s="283" t="s">
        <v>3119</v>
      </c>
      <c r="C109" s="44">
        <v>105.0</v>
      </c>
      <c r="D109" s="44">
        <v>1.0</v>
      </c>
      <c r="E109" s="287">
        <v>43553.0</v>
      </c>
      <c r="F109" s="162" t="str">
        <f>HYPERLINK("https://news.detik.com/berita/d-4489040/polisi-hentikan-kasus-sudirman-pelaku-penusukan-di-halte-transj ","sumber")</f>
        <v>sumber</v>
      </c>
      <c r="G109" s="269" t="s">
        <v>33</v>
      </c>
      <c r="H109" s="45" t="s">
        <v>3120</v>
      </c>
      <c r="I109" s="44">
        <v>1.0</v>
      </c>
      <c r="J109" s="44">
        <v>2.0</v>
      </c>
      <c r="K109" s="164" t="s">
        <v>3121</v>
      </c>
      <c r="L109" s="44">
        <v>0.0</v>
      </c>
      <c r="M109" s="44">
        <v>-1.0</v>
      </c>
      <c r="N109" s="44">
        <v>-1.0</v>
      </c>
      <c r="O109" s="44">
        <v>0.0</v>
      </c>
      <c r="P109" s="44">
        <v>0.0</v>
      </c>
      <c r="Q109" s="44">
        <v>0.0</v>
      </c>
      <c r="R109" s="44">
        <v>0.0</v>
      </c>
      <c r="S109" s="164" t="s">
        <v>3122</v>
      </c>
      <c r="T109" s="44">
        <v>1.0</v>
      </c>
      <c r="U109" s="44">
        <v>0.0</v>
      </c>
      <c r="V109" s="44">
        <v>0.0</v>
      </c>
      <c r="W109" s="45"/>
      <c r="X109" s="45"/>
      <c r="Y109" s="45"/>
      <c r="Z109" s="9"/>
    </row>
    <row r="110" ht="14.25" customHeight="1">
      <c r="A110" s="214">
        <v>2.0</v>
      </c>
      <c r="B110" s="285" t="s">
        <v>3123</v>
      </c>
      <c r="C110" s="47">
        <v>106.0</v>
      </c>
      <c r="D110" s="47">
        <v>9.0</v>
      </c>
      <c r="E110" s="288">
        <v>43555.0</v>
      </c>
      <c r="F110" s="156" t="str">
        <f>HYPERLINK("https://nasional.republika.co.id/berita/nasional/jabodetabek-nasional/pp8a1u366/besok-mrt-berbayar-beroperasi-mulai-pukul-0530-wib ","sumber")</f>
        <v>sumber</v>
      </c>
      <c r="G110" s="274" t="s">
        <v>33</v>
      </c>
      <c r="H110" s="48" t="s">
        <v>3124</v>
      </c>
      <c r="I110" s="48"/>
      <c r="J110" s="47">
        <v>2.0</v>
      </c>
      <c r="K110" s="165"/>
      <c r="L110" s="48"/>
      <c r="M110" s="48"/>
      <c r="N110" s="48"/>
      <c r="O110" s="48"/>
      <c r="P110" s="48"/>
      <c r="Q110" s="48"/>
      <c r="R110" s="48"/>
      <c r="S110" s="157"/>
      <c r="T110" s="48"/>
      <c r="U110" s="48"/>
      <c r="V110" s="48"/>
      <c r="W110" s="48"/>
      <c r="X110" s="48"/>
      <c r="Y110" s="47"/>
      <c r="Z110" s="43"/>
    </row>
    <row r="111" ht="14.25" customHeight="1">
      <c r="A111" s="214">
        <v>2.0</v>
      </c>
      <c r="B111" s="285" t="s">
        <v>3125</v>
      </c>
      <c r="C111" s="47">
        <v>107.0</v>
      </c>
      <c r="D111" s="47">
        <v>4.0</v>
      </c>
      <c r="E111" s="288">
        <v>43558.0</v>
      </c>
      <c r="F111" s="156" t="str">
        <f>HYPERLINK("https://www.liputan6.com/bola/read/3932966/mbappe-diprediksi-berkostum-real-madrid-pada-2020 ","sumber")</f>
        <v>sumber</v>
      </c>
      <c r="G111" s="274" t="s">
        <v>33</v>
      </c>
      <c r="H111" s="48" t="s">
        <v>3126</v>
      </c>
      <c r="I111" s="48"/>
      <c r="J111" s="47">
        <v>2.0</v>
      </c>
      <c r="K111" s="165"/>
      <c r="L111" s="48"/>
      <c r="M111" s="48"/>
      <c r="N111" s="48"/>
      <c r="O111" s="48"/>
      <c r="P111" s="48"/>
      <c r="Q111" s="48"/>
      <c r="R111" s="48"/>
      <c r="S111" s="165"/>
      <c r="T111" s="48"/>
      <c r="U111" s="48"/>
      <c r="V111" s="48"/>
      <c r="W111" s="48"/>
      <c r="X111" s="48"/>
      <c r="Y111" s="47"/>
      <c r="Z111" s="43"/>
    </row>
    <row r="112" ht="14.25" customHeight="1">
      <c r="A112" s="214">
        <v>2.0</v>
      </c>
      <c r="B112" s="285" t="s">
        <v>3127</v>
      </c>
      <c r="C112" s="47">
        <v>108.0</v>
      </c>
      <c r="D112" s="47">
        <v>5.0</v>
      </c>
      <c r="E112" s="288">
        <v>43562.0</v>
      </c>
      <c r="F112" s="156" t="str">
        <f>HYPERLINK("https://tirto.id/respons-pernyataan-prabowo-jokowi-ibu-pertiwi-sedang-berprestasi-dllQ ","sumber")</f>
        <v>sumber</v>
      </c>
      <c r="G112" s="274" t="s">
        <v>33</v>
      </c>
      <c r="H112" s="48" t="s">
        <v>3128</v>
      </c>
      <c r="I112" s="48"/>
      <c r="J112" s="47">
        <v>2.0</v>
      </c>
      <c r="K112" s="165"/>
      <c r="L112" s="48"/>
      <c r="M112" s="48"/>
      <c r="N112" s="48"/>
      <c r="O112" s="48"/>
      <c r="P112" s="48"/>
      <c r="Q112" s="48"/>
      <c r="R112" s="48"/>
      <c r="S112" s="165"/>
      <c r="T112" s="48"/>
      <c r="U112" s="48"/>
      <c r="V112" s="48"/>
      <c r="W112" s="48"/>
      <c r="X112" s="48"/>
      <c r="Y112" s="47"/>
      <c r="Z112" s="43"/>
    </row>
    <row r="113" ht="14.25" customHeight="1">
      <c r="A113" s="282">
        <v>1.0</v>
      </c>
      <c r="B113" s="283" t="s">
        <v>3129</v>
      </c>
      <c r="C113" s="44">
        <v>109.0</v>
      </c>
      <c r="D113" s="44">
        <v>6.0</v>
      </c>
      <c r="E113" s="287">
        <v>43567.0</v>
      </c>
      <c r="F113" s="162" t="str">
        <f>HYPERLINK("https://regional.kompas.com/read/2019/04/12/14321871/sosialisasi-pemilu-kpu-terima-sejumlah-pertanyaan-dari-pasien-rsj-surakarta ","sumber")</f>
        <v>sumber</v>
      </c>
      <c r="G113" s="269" t="s">
        <v>33</v>
      </c>
      <c r="H113" s="45" t="s">
        <v>3130</v>
      </c>
      <c r="I113" s="44">
        <v>2.0</v>
      </c>
      <c r="J113" s="44">
        <v>2.0</v>
      </c>
      <c r="K113" s="164" t="s">
        <v>3131</v>
      </c>
      <c r="L113" s="44">
        <v>0.0</v>
      </c>
      <c r="M113" s="44">
        <v>0.0</v>
      </c>
      <c r="N113" s="44">
        <v>0.0</v>
      </c>
      <c r="O113" s="44">
        <v>0.0</v>
      </c>
      <c r="P113" s="44">
        <v>0.0</v>
      </c>
      <c r="Q113" s="44" t="s">
        <v>3132</v>
      </c>
      <c r="R113" s="44" t="s">
        <v>89</v>
      </c>
      <c r="S113" s="164" t="s">
        <v>3133</v>
      </c>
      <c r="T113" s="44">
        <v>1.0</v>
      </c>
      <c r="U113" s="44">
        <v>0.0</v>
      </c>
      <c r="V113" s="44">
        <v>0.0</v>
      </c>
      <c r="W113" s="45"/>
      <c r="X113" s="45"/>
      <c r="Y113" s="44"/>
      <c r="Z113" s="52"/>
    </row>
    <row r="114" ht="14.25" customHeight="1">
      <c r="A114" s="282">
        <v>1.0</v>
      </c>
      <c r="B114" s="283" t="s">
        <v>3134</v>
      </c>
      <c r="C114" s="44">
        <v>110.0</v>
      </c>
      <c r="D114" s="44">
        <v>6.0</v>
      </c>
      <c r="E114" s="287">
        <v>43576.0</v>
      </c>
      <c r="F114" s="162" t="str">
        <f>HYPERLINK("https://regional.kompas.com/read/2019/04/21/20193941/meninggal-bayi-yang-dikubur-hidup-hidup-oleh-ibunya-di-purwakarta ","sumber")</f>
        <v>sumber</v>
      </c>
      <c r="G114" s="269" t="s">
        <v>33</v>
      </c>
      <c r="H114" s="45" t="s">
        <v>3135</v>
      </c>
      <c r="I114" s="44">
        <v>1.0</v>
      </c>
      <c r="J114" s="44">
        <v>2.0</v>
      </c>
      <c r="K114" s="164" t="s">
        <v>3136</v>
      </c>
      <c r="L114" s="44">
        <v>0.0</v>
      </c>
      <c r="M114" s="44">
        <v>-1.0</v>
      </c>
      <c r="N114" s="44">
        <v>0.0</v>
      </c>
      <c r="O114" s="44">
        <v>0.0</v>
      </c>
      <c r="P114" s="44">
        <v>0.0</v>
      </c>
      <c r="Q114" s="44" t="s">
        <v>61</v>
      </c>
      <c r="R114" s="44" t="s">
        <v>61</v>
      </c>
      <c r="S114" s="164" t="s">
        <v>2250</v>
      </c>
      <c r="T114" s="44">
        <v>1.0</v>
      </c>
      <c r="U114" s="44">
        <v>0.0</v>
      </c>
      <c r="V114" s="44">
        <v>0.0</v>
      </c>
      <c r="W114" s="45"/>
      <c r="X114" s="45"/>
      <c r="Y114" s="45"/>
      <c r="Z114" s="9"/>
    </row>
    <row r="115" ht="14.25" customHeight="1">
      <c r="A115" s="254">
        <v>1.0</v>
      </c>
      <c r="B115" s="68" t="s">
        <v>3137</v>
      </c>
      <c r="C115" s="55">
        <v>111.0</v>
      </c>
      <c r="D115" s="55">
        <v>8.0</v>
      </c>
      <c r="E115" s="296">
        <v>43577.0</v>
      </c>
      <c r="F115" s="171" t="str">
        <f>HYPERLINK("https://www.suara.com/lifestyle/2019/04/22/173000/model-disabilitas-ini-unjuk-gigi-di-panggung-london-fashion-week ","sumber")</f>
        <v>sumber</v>
      </c>
      <c r="G115" s="277" t="s">
        <v>33</v>
      </c>
      <c r="H115" s="55">
        <v>404.0</v>
      </c>
      <c r="I115" s="55">
        <v>3.0</v>
      </c>
      <c r="J115" s="55">
        <v>2.0</v>
      </c>
      <c r="K115" s="172" t="s">
        <v>3138</v>
      </c>
      <c r="L115" s="55">
        <v>0.0</v>
      </c>
      <c r="M115" s="55">
        <v>0.0</v>
      </c>
      <c r="N115" s="55">
        <v>0.0</v>
      </c>
      <c r="O115" s="55">
        <v>0.0</v>
      </c>
      <c r="P115" s="55">
        <v>0.0</v>
      </c>
      <c r="Q115" s="55" t="s">
        <v>119</v>
      </c>
      <c r="R115" s="55" t="s">
        <v>214</v>
      </c>
      <c r="S115" s="172" t="s">
        <v>3139</v>
      </c>
      <c r="T115" s="55">
        <v>2.0</v>
      </c>
      <c r="U115" s="55">
        <v>0.0</v>
      </c>
      <c r="V115" s="55">
        <v>0.0</v>
      </c>
      <c r="W115" s="46"/>
      <c r="X115" s="46"/>
      <c r="Y115" s="55"/>
      <c r="Z115" s="30"/>
    </row>
    <row r="116" ht="14.25" customHeight="1">
      <c r="A116" s="254">
        <v>1.0</v>
      </c>
      <c r="B116" s="68" t="s">
        <v>3140</v>
      </c>
      <c r="C116" s="55">
        <v>112.0</v>
      </c>
      <c r="D116" s="55">
        <v>2.0</v>
      </c>
      <c r="E116" s="289">
        <v>43572.0</v>
      </c>
      <c r="F116" s="171" t="str">
        <f>HYPERLINK("https://www.cnnindonesia.com/nasional/20190417085348-32-387063/pemilih-tunanetra-di-biak-keluhkan-surat-suara-pemilu ","sumber")</f>
        <v>sumber</v>
      </c>
      <c r="G116" s="277" t="s">
        <v>33</v>
      </c>
      <c r="H116" s="55">
        <v>273.0</v>
      </c>
      <c r="I116" s="55">
        <v>2.0</v>
      </c>
      <c r="J116" s="55">
        <v>2.0</v>
      </c>
      <c r="K116" s="172" t="s">
        <v>3141</v>
      </c>
      <c r="L116" s="55">
        <v>0.0</v>
      </c>
      <c r="M116" s="55">
        <v>0.0</v>
      </c>
      <c r="N116" s="55">
        <v>0.0</v>
      </c>
      <c r="O116" s="55">
        <v>0.0</v>
      </c>
      <c r="P116" s="55">
        <v>0.0</v>
      </c>
      <c r="Q116" s="55" t="s">
        <v>191</v>
      </c>
      <c r="R116" s="55" t="s">
        <v>100</v>
      </c>
      <c r="S116" s="172"/>
      <c r="T116" s="55">
        <v>0.0</v>
      </c>
      <c r="U116" s="55">
        <v>0.0</v>
      </c>
      <c r="V116" s="55">
        <v>0.0</v>
      </c>
      <c r="W116" s="46"/>
      <c r="X116" s="46"/>
      <c r="Y116" s="55"/>
      <c r="Z116" s="30"/>
    </row>
    <row r="117" ht="14.25" customHeight="1">
      <c r="A117" s="214">
        <v>2.0</v>
      </c>
      <c r="B117" s="285" t="s">
        <v>3142</v>
      </c>
      <c r="C117" s="47">
        <v>113.0</v>
      </c>
      <c r="D117" s="47">
        <v>8.0</v>
      </c>
      <c r="E117" s="288">
        <v>43585.0</v>
      </c>
      <c r="F117" s="156" t="str">
        <f>HYPERLINK("https://www.suara.com/news/2019/04/30/182110/update-kpu-331-petugas-kpps-meninggal-dunia-jawa-barat-terbanyak ","sumber")</f>
        <v>sumber</v>
      </c>
      <c r="G117" s="274" t="s">
        <v>33</v>
      </c>
      <c r="H117" s="48" t="s">
        <v>3143</v>
      </c>
      <c r="I117" s="48"/>
      <c r="J117" s="47">
        <v>2.0</v>
      </c>
      <c r="K117" s="165"/>
      <c r="L117" s="48"/>
      <c r="M117" s="48"/>
      <c r="N117" s="48"/>
      <c r="O117" s="48"/>
      <c r="P117" s="48"/>
      <c r="Q117" s="48"/>
      <c r="R117" s="48"/>
      <c r="S117" s="165"/>
      <c r="T117" s="48"/>
      <c r="U117" s="48"/>
      <c r="V117" s="48"/>
      <c r="W117" s="48"/>
      <c r="X117" s="48"/>
      <c r="Y117" s="47"/>
      <c r="Z117" s="43"/>
    </row>
    <row r="118" ht="14.25" customHeight="1">
      <c r="A118" s="282">
        <v>1.0</v>
      </c>
      <c r="B118" s="283" t="s">
        <v>3144</v>
      </c>
      <c r="C118" s="44">
        <v>114.0</v>
      </c>
      <c r="D118" s="44">
        <v>7.0</v>
      </c>
      <c r="E118" s="287">
        <v>43587.0</v>
      </c>
      <c r="F118" s="162" t="str">
        <f>HYPERLINK("http://www.tribunnews.com/regional/2019/05/02/warga-siantar-ini-empat-hari-tersesat-di-hutan-pijay ","sumber")</f>
        <v>sumber</v>
      </c>
      <c r="G118" s="269" t="s">
        <v>33</v>
      </c>
      <c r="H118" s="45" t="s">
        <v>3145</v>
      </c>
      <c r="I118" s="44">
        <v>1.0</v>
      </c>
      <c r="J118" s="44">
        <v>2.0</v>
      </c>
      <c r="K118" s="164" t="s">
        <v>3146</v>
      </c>
      <c r="L118" s="44">
        <v>0.0</v>
      </c>
      <c r="M118" s="44">
        <v>-1.0</v>
      </c>
      <c r="N118" s="44">
        <v>-1.0</v>
      </c>
      <c r="O118" s="44">
        <v>0.0</v>
      </c>
      <c r="P118" s="44">
        <v>0.0</v>
      </c>
      <c r="Q118" s="44">
        <v>0.0</v>
      </c>
      <c r="R118" s="44">
        <v>0.0</v>
      </c>
      <c r="S118" s="164" t="s">
        <v>1278</v>
      </c>
      <c r="T118" s="44">
        <v>1.0</v>
      </c>
      <c r="U118" s="44">
        <v>0.0</v>
      </c>
      <c r="V118" s="44">
        <v>0.0</v>
      </c>
      <c r="W118" s="45"/>
      <c r="X118" s="45"/>
      <c r="Y118" s="45"/>
      <c r="Z118" s="9"/>
    </row>
    <row r="119" ht="14.25" customHeight="1">
      <c r="A119" s="214">
        <v>2.0</v>
      </c>
      <c r="B119" s="285" t="s">
        <v>3147</v>
      </c>
      <c r="C119" s="47">
        <v>115.0</v>
      </c>
      <c r="D119" s="47">
        <v>2.0</v>
      </c>
      <c r="E119" s="288">
        <v>43588.0</v>
      </c>
      <c r="F119" s="156" t="str">
        <f>HYPERLINK("https://www.cnnindonesia.com/nasional/20190503175852-32-391780/fadli-zon-sebut-412-petugas-kpps-tewas-bukan-hanya-kelelahan ","sumber")</f>
        <v>sumber</v>
      </c>
      <c r="G119" s="274" t="s">
        <v>33</v>
      </c>
      <c r="H119" s="48" t="s">
        <v>3148</v>
      </c>
      <c r="I119" s="48"/>
      <c r="J119" s="47">
        <v>2.0</v>
      </c>
      <c r="K119" s="165"/>
      <c r="L119" s="48"/>
      <c r="M119" s="48"/>
      <c r="N119" s="48"/>
      <c r="O119" s="48"/>
      <c r="P119" s="48"/>
      <c r="Q119" s="48"/>
      <c r="R119" s="48"/>
      <c r="S119" s="165"/>
      <c r="T119" s="48"/>
      <c r="U119" s="48"/>
      <c r="V119" s="48"/>
      <c r="W119" s="48"/>
      <c r="X119" s="48"/>
      <c r="Y119" s="47"/>
      <c r="Z119" s="43"/>
    </row>
    <row r="120" ht="14.25" customHeight="1">
      <c r="A120" s="214">
        <v>2.0</v>
      </c>
      <c r="B120" s="285" t="s">
        <v>3149</v>
      </c>
      <c r="C120" s="47">
        <v>116.0</v>
      </c>
      <c r="D120" s="47">
        <v>3.0</v>
      </c>
      <c r="E120" s="288">
        <v>43590.0</v>
      </c>
      <c r="F120" s="156" t="str">
        <f>HYPERLINK("https://economy.okezone.com/read/2019/05/03/320/2051106/jangan-minder-ini-keunggulan-fresh-graduate-di-mata-perusahaan ","sumber")</f>
        <v>sumber</v>
      </c>
      <c r="G120" s="274" t="s">
        <v>33</v>
      </c>
      <c r="H120" s="48" t="s">
        <v>2894</v>
      </c>
      <c r="I120" s="48"/>
      <c r="J120" s="47">
        <v>2.0</v>
      </c>
      <c r="K120" s="165"/>
      <c r="L120" s="48"/>
      <c r="M120" s="48"/>
      <c r="N120" s="48"/>
      <c r="O120" s="48"/>
      <c r="P120" s="48"/>
      <c r="Q120" s="48"/>
      <c r="R120" s="48"/>
      <c r="S120" s="165"/>
      <c r="T120" s="48"/>
      <c r="U120" s="48"/>
      <c r="V120" s="48"/>
      <c r="W120" s="48"/>
      <c r="X120" s="48"/>
      <c r="Y120" s="47"/>
      <c r="Z120" s="43"/>
    </row>
    <row r="121" ht="14.25" customHeight="1">
      <c r="A121" s="214">
        <v>2.0</v>
      </c>
      <c r="B121" s="285" t="s">
        <v>3150</v>
      </c>
      <c r="C121" s="47">
        <v>117.0</v>
      </c>
      <c r="D121" s="47">
        <v>9.0</v>
      </c>
      <c r="E121" s="288">
        <v>43590.0</v>
      </c>
      <c r="F121" s="156" t="str">
        <f>HYPERLINK("https://nasional.republika.co.id/berita/nasional/daerah/pr0kfj396/ini-aturan-pemkot-malang-selama-ramadhan ","sumber")</f>
        <v>sumber</v>
      </c>
      <c r="G121" s="274" t="s">
        <v>33</v>
      </c>
      <c r="H121" s="48" t="s">
        <v>3028</v>
      </c>
      <c r="I121" s="48"/>
      <c r="J121" s="47">
        <v>2.0</v>
      </c>
      <c r="K121" s="165"/>
      <c r="L121" s="48"/>
      <c r="M121" s="48"/>
      <c r="N121" s="48"/>
      <c r="O121" s="48"/>
      <c r="P121" s="48"/>
      <c r="Q121" s="48"/>
      <c r="R121" s="48"/>
      <c r="S121" s="165"/>
      <c r="T121" s="48"/>
      <c r="U121" s="48"/>
      <c r="V121" s="48"/>
      <c r="W121" s="48"/>
      <c r="X121" s="48"/>
      <c r="Y121" s="47"/>
      <c r="Z121" s="43"/>
    </row>
    <row r="122" ht="14.25" customHeight="1">
      <c r="A122" s="282">
        <v>1.0</v>
      </c>
      <c r="B122" s="283" t="s">
        <v>3151</v>
      </c>
      <c r="C122" s="44">
        <v>118.0</v>
      </c>
      <c r="D122" s="44">
        <v>6.0</v>
      </c>
      <c r="E122" s="287">
        <v>43591.0</v>
      </c>
      <c r="F122" s="162" t="str">
        <f>HYPERLINK("https://tekno.kompas.com/read/2019/05/06/12340037/2-startup-indonesia-bakal-tampil-di-future-makers-2019-di-singapura ","sumber")</f>
        <v>sumber</v>
      </c>
      <c r="G122" s="269" t="s">
        <v>3152</v>
      </c>
      <c r="H122" s="45" t="s">
        <v>3040</v>
      </c>
      <c r="I122" s="44">
        <v>3.0</v>
      </c>
      <c r="J122" s="44">
        <v>2.0</v>
      </c>
      <c r="K122" s="164" t="s">
        <v>3153</v>
      </c>
      <c r="L122" s="44">
        <v>0.0</v>
      </c>
      <c r="M122" s="44">
        <v>0.0</v>
      </c>
      <c r="N122" s="44">
        <v>0.0</v>
      </c>
      <c r="O122" s="44">
        <v>0.0</v>
      </c>
      <c r="P122" s="44">
        <v>0.0</v>
      </c>
      <c r="Q122" s="44">
        <v>0.0</v>
      </c>
      <c r="R122" s="44">
        <v>0.0</v>
      </c>
      <c r="S122" s="175"/>
      <c r="T122" s="44">
        <v>0.0</v>
      </c>
      <c r="U122" s="44">
        <v>0.0</v>
      </c>
      <c r="V122" s="44">
        <v>0.0</v>
      </c>
      <c r="W122" s="45"/>
      <c r="X122" s="45"/>
      <c r="Y122" s="45"/>
      <c r="Z122" s="9"/>
    </row>
    <row r="123" ht="14.25" customHeight="1">
      <c r="A123" s="214">
        <v>2.0</v>
      </c>
      <c r="B123" s="285" t="s">
        <v>3154</v>
      </c>
      <c r="C123" s="47">
        <v>119.0</v>
      </c>
      <c r="D123" s="47">
        <v>9.0</v>
      </c>
      <c r="E123" s="288">
        <v>43592.0</v>
      </c>
      <c r="F123" s="156" t="str">
        <f>HYPERLINK("https://republika.co.id/berita/retizen/info-warga/pr4acm349/setan-gundul-hingga-romi-jadi-berita-teratas-versi-ltemgtretizenltemgt ","sumber")</f>
        <v>sumber</v>
      </c>
      <c r="G123" s="274" t="s">
        <v>33</v>
      </c>
      <c r="H123" s="48" t="s">
        <v>3155</v>
      </c>
      <c r="I123" s="48"/>
      <c r="J123" s="47">
        <v>2.0</v>
      </c>
      <c r="K123" s="165"/>
      <c r="L123" s="48"/>
      <c r="M123" s="48"/>
      <c r="N123" s="48"/>
      <c r="O123" s="48"/>
      <c r="P123" s="48"/>
      <c r="Q123" s="48"/>
      <c r="R123" s="48"/>
      <c r="S123" s="165"/>
      <c r="T123" s="48"/>
      <c r="U123" s="48"/>
      <c r="V123" s="48"/>
      <c r="W123" s="48"/>
      <c r="X123" s="48"/>
      <c r="Y123" s="47"/>
      <c r="Z123" s="43"/>
    </row>
    <row r="124" ht="14.25" customHeight="1">
      <c r="A124" s="214">
        <v>2.0</v>
      </c>
      <c r="B124" s="285" t="s">
        <v>3156</v>
      </c>
      <c r="C124" s="47">
        <v>120.0</v>
      </c>
      <c r="D124" s="47">
        <v>9.0</v>
      </c>
      <c r="E124" s="288">
        <v>43594.0</v>
      </c>
      <c r="F124" s="156" t="str">
        <f>HYPERLINK("https://internasional.republika.co.id/berita/internasional/amerika/pr7uhy366/sanksi-as-sasar-sektor-logam-industri-iran ","sumber")</f>
        <v>sumber</v>
      </c>
      <c r="G124" s="274" t="s">
        <v>33</v>
      </c>
      <c r="H124" s="48" t="s">
        <v>3157</v>
      </c>
      <c r="I124" s="48"/>
      <c r="J124" s="47">
        <v>2.0</v>
      </c>
      <c r="K124" s="165"/>
      <c r="L124" s="48"/>
      <c r="M124" s="48"/>
      <c r="N124" s="48"/>
      <c r="O124" s="48"/>
      <c r="P124" s="48"/>
      <c r="Q124" s="48"/>
      <c r="R124" s="48"/>
      <c r="S124" s="165"/>
      <c r="T124" s="48"/>
      <c r="U124" s="48"/>
      <c r="V124" s="48"/>
      <c r="W124" s="48"/>
      <c r="X124" s="48"/>
      <c r="Y124" s="47"/>
      <c r="Z124" s="43"/>
    </row>
    <row r="125" ht="14.25" customHeight="1">
      <c r="A125" s="254">
        <v>1.0</v>
      </c>
      <c r="B125" s="68" t="s">
        <v>3158</v>
      </c>
      <c r="C125" s="55">
        <v>121.0</v>
      </c>
      <c r="D125" s="55">
        <v>2.0</v>
      </c>
      <c r="E125" s="289">
        <v>43572.0</v>
      </c>
      <c r="F125" s="194" t="s">
        <v>2198</v>
      </c>
      <c r="G125" s="277" t="s">
        <v>33</v>
      </c>
      <c r="H125" s="55">
        <v>273.0</v>
      </c>
      <c r="I125" s="55">
        <v>2.0</v>
      </c>
      <c r="J125" s="55">
        <v>2.0</v>
      </c>
      <c r="K125" s="172" t="s">
        <v>3159</v>
      </c>
      <c r="L125" s="55">
        <v>0.0</v>
      </c>
      <c r="M125" s="55">
        <v>0.0</v>
      </c>
      <c r="N125" s="55">
        <v>0.0</v>
      </c>
      <c r="O125" s="55">
        <v>0.0</v>
      </c>
      <c r="P125" s="55">
        <v>0.0</v>
      </c>
      <c r="Q125" s="55">
        <v>0.0</v>
      </c>
      <c r="R125" s="55">
        <v>0.0</v>
      </c>
      <c r="S125" s="172"/>
      <c r="T125" s="55">
        <v>0.0</v>
      </c>
      <c r="U125" s="55">
        <v>0.0</v>
      </c>
      <c r="V125" s="55">
        <v>0.0</v>
      </c>
      <c r="W125" s="46"/>
      <c r="X125" s="46"/>
      <c r="Y125" s="55"/>
      <c r="Z125" s="30"/>
    </row>
    <row r="126" ht="14.25" customHeight="1">
      <c r="A126" s="282">
        <v>1.0</v>
      </c>
      <c r="B126" s="283" t="s">
        <v>3160</v>
      </c>
      <c r="C126" s="44">
        <v>122.0</v>
      </c>
      <c r="D126" s="44">
        <v>9.0</v>
      </c>
      <c r="E126" s="287">
        <v>43603.0</v>
      </c>
      <c r="F126" s="162" t="str">
        <f>HYPERLINK("https://nasional.republika.co.id/berita/nasional/politik/prp6r9430/bawaslu-catat-8000-temuan-dan-laporan-pascapemungutan-suara ","sumber")</f>
        <v>sumber</v>
      </c>
      <c r="G126" s="269" t="s">
        <v>33</v>
      </c>
      <c r="H126" s="45" t="s">
        <v>3161</v>
      </c>
      <c r="I126" s="44">
        <v>2.0</v>
      </c>
      <c r="J126" s="44">
        <v>2.0</v>
      </c>
      <c r="K126" s="164" t="s">
        <v>3162</v>
      </c>
      <c r="L126" s="44">
        <v>0.0</v>
      </c>
      <c r="M126" s="44">
        <v>0.0</v>
      </c>
      <c r="N126" s="44">
        <v>0.0</v>
      </c>
      <c r="O126" s="44">
        <v>0.0</v>
      </c>
      <c r="P126" s="44">
        <v>0.0</v>
      </c>
      <c r="Q126" s="44">
        <v>0.0</v>
      </c>
      <c r="R126" s="44">
        <v>0.0</v>
      </c>
      <c r="S126" s="175"/>
      <c r="T126" s="44">
        <v>0.0</v>
      </c>
      <c r="U126" s="44">
        <v>0.0</v>
      </c>
      <c r="V126" s="44">
        <v>0.0</v>
      </c>
      <c r="W126" s="45"/>
      <c r="X126" s="45"/>
      <c r="Y126" s="45"/>
      <c r="Z126" s="9"/>
    </row>
    <row r="127" ht="14.25" customHeight="1">
      <c r="A127" s="282">
        <v>1.0</v>
      </c>
      <c r="B127" s="283" t="s">
        <v>3163</v>
      </c>
      <c r="C127" s="44">
        <v>123.0</v>
      </c>
      <c r="D127" s="44">
        <v>10.0</v>
      </c>
      <c r="E127" s="287">
        <v>43604.0</v>
      </c>
      <c r="F127" s="162" t="str">
        <f>HYPERLINK("https://difabel.tempo.co/read/1206990/tempat-wudu-masjid-el-shifa-ciganjur-ramah-penyandang-disabilitas","sumber")</f>
        <v>sumber</v>
      </c>
      <c r="G127" s="269" t="s">
        <v>33</v>
      </c>
      <c r="H127" s="45" t="s">
        <v>3164</v>
      </c>
      <c r="I127" s="44">
        <v>2.0</v>
      </c>
      <c r="J127" s="44">
        <v>2.0</v>
      </c>
      <c r="K127" s="164" t="s">
        <v>3165</v>
      </c>
      <c r="L127" s="44">
        <v>0.0</v>
      </c>
      <c r="M127" s="44">
        <v>0.0</v>
      </c>
      <c r="N127" s="44">
        <v>0.0</v>
      </c>
      <c r="O127" s="44">
        <v>0.0</v>
      </c>
      <c r="P127" s="44">
        <v>0.0</v>
      </c>
      <c r="Q127" s="44" t="s">
        <v>53</v>
      </c>
      <c r="R127" s="44" t="s">
        <v>138</v>
      </c>
      <c r="S127" s="175"/>
      <c r="T127" s="44">
        <v>0.0</v>
      </c>
      <c r="U127" s="44">
        <v>0.0</v>
      </c>
      <c r="V127" s="44">
        <v>0.0</v>
      </c>
      <c r="W127" s="45"/>
      <c r="X127" s="45"/>
      <c r="Y127" s="45"/>
      <c r="Z127" s="9"/>
    </row>
    <row r="128" ht="14.25" customHeight="1">
      <c r="A128" s="214">
        <v>2.0</v>
      </c>
      <c r="B128" s="285" t="s">
        <v>3166</v>
      </c>
      <c r="C128" s="47">
        <v>124.0</v>
      </c>
      <c r="D128" s="47">
        <v>8.0</v>
      </c>
      <c r="E128" s="288">
        <v>43610.0</v>
      </c>
      <c r="F128" s="156" t="str">
        <f>HYPERLINK("https://www.suara.com/news/2019/05/25/215456/banyak-korban-22-mei-bpn-komnas-ham-makan-gaji-buta-bubarkan-saja ","sumber")</f>
        <v>sumber</v>
      </c>
      <c r="G128" s="274" t="s">
        <v>33</v>
      </c>
      <c r="H128" s="48" t="s">
        <v>3167</v>
      </c>
      <c r="I128" s="47">
        <v>1.0</v>
      </c>
      <c r="J128" s="47">
        <v>2.0</v>
      </c>
      <c r="K128" s="165"/>
      <c r="L128" s="48"/>
      <c r="M128" s="48"/>
      <c r="N128" s="48"/>
      <c r="O128" s="48"/>
      <c r="P128" s="48"/>
      <c r="Q128" s="48"/>
      <c r="R128" s="48"/>
      <c r="S128" s="165"/>
      <c r="T128" s="48"/>
      <c r="U128" s="48"/>
      <c r="V128" s="48"/>
      <c r="W128" s="48"/>
      <c r="X128" s="48"/>
      <c r="Y128" s="47"/>
      <c r="Z128" s="43"/>
    </row>
    <row r="129" ht="14.25" customHeight="1">
      <c r="A129" s="254">
        <v>1.0</v>
      </c>
      <c r="B129" s="68" t="s">
        <v>3168</v>
      </c>
      <c r="C129" s="55">
        <v>125.0</v>
      </c>
      <c r="D129" s="55">
        <v>1.0</v>
      </c>
      <c r="E129" s="289">
        <v>43604.0</v>
      </c>
      <c r="F129" s="171" t="str">
        <f>HYPERLINK("https://news.detik.com/berita-jawa-barat/d-4556080/puluhan-bobotoh-difabel-bandung-barat-bagi-takjil-gratis ","sumber")</f>
        <v>sumber</v>
      </c>
      <c r="G129" s="277" t="s">
        <v>33</v>
      </c>
      <c r="H129" s="55">
        <v>213.0</v>
      </c>
      <c r="I129" s="55">
        <v>2.0</v>
      </c>
      <c r="J129" s="55">
        <v>2.0</v>
      </c>
      <c r="K129" s="172" t="s">
        <v>3169</v>
      </c>
      <c r="L129" s="55">
        <v>0.0</v>
      </c>
      <c r="M129" s="55">
        <v>0.0</v>
      </c>
      <c r="N129" s="55">
        <v>0.0</v>
      </c>
      <c r="O129" s="55">
        <v>0.0</v>
      </c>
      <c r="P129" s="55">
        <v>0.0</v>
      </c>
      <c r="Q129" s="55">
        <v>1.0</v>
      </c>
      <c r="R129" s="55">
        <v>1.0</v>
      </c>
      <c r="S129" s="172"/>
      <c r="T129" s="55">
        <v>0.0</v>
      </c>
      <c r="U129" s="55">
        <v>0.0</v>
      </c>
      <c r="V129" s="55">
        <v>0.0</v>
      </c>
      <c r="W129" s="46"/>
      <c r="X129" s="46"/>
      <c r="Y129" s="55"/>
      <c r="Z129" s="30"/>
    </row>
    <row r="130" ht="14.25" customHeight="1">
      <c r="A130" s="214">
        <v>2.0</v>
      </c>
      <c r="B130" s="285" t="s">
        <v>3170</v>
      </c>
      <c r="C130" s="47">
        <v>126.0</v>
      </c>
      <c r="D130" s="47">
        <v>8.0</v>
      </c>
      <c r="E130" s="288">
        <v>43612.0</v>
      </c>
      <c r="F130" s="156" t="str">
        <f>HYPERLINK("https://www.suara.com/entertainment/2019/05/27/121210/cerita-perjalanan-bisnis-ashanty-dari-ditipu-hingga-pilih-kuliah-lagi ","sumber")</f>
        <v>sumber</v>
      </c>
      <c r="G130" s="274" t="s">
        <v>33</v>
      </c>
      <c r="H130" s="48" t="s">
        <v>3023</v>
      </c>
      <c r="I130" s="47">
        <v>5.0</v>
      </c>
      <c r="J130" s="47">
        <v>2.0</v>
      </c>
      <c r="K130" s="165"/>
      <c r="L130" s="48"/>
      <c r="M130" s="48"/>
      <c r="N130" s="48"/>
      <c r="O130" s="48"/>
      <c r="P130" s="48"/>
      <c r="Q130" s="48"/>
      <c r="R130" s="48"/>
      <c r="S130" s="165"/>
      <c r="T130" s="48"/>
      <c r="U130" s="48"/>
      <c r="V130" s="48"/>
      <c r="W130" s="48"/>
      <c r="X130" s="48"/>
      <c r="Y130" s="47"/>
      <c r="Z130" s="43"/>
    </row>
    <row r="131" ht="14.25" customHeight="1">
      <c r="A131" s="254">
        <v>1.0</v>
      </c>
      <c r="B131" s="68" t="s">
        <v>3171</v>
      </c>
      <c r="C131" s="55">
        <v>127.0</v>
      </c>
      <c r="D131" s="55">
        <v>10.0</v>
      </c>
      <c r="E131" s="296">
        <v>43615.0</v>
      </c>
      <c r="F131" s="171" t="str">
        <f>HYPERLINK("https://difabel.tempo.co/read/1210714/cara-pengguna-kursi-roda-menyetir-mobil ","sumber")</f>
        <v>sumber</v>
      </c>
      <c r="G131" s="277" t="s">
        <v>33</v>
      </c>
      <c r="H131" s="55">
        <v>295.0</v>
      </c>
      <c r="I131" s="55">
        <v>2.0</v>
      </c>
      <c r="J131" s="55">
        <v>2.0</v>
      </c>
      <c r="K131" s="172" t="s">
        <v>3172</v>
      </c>
      <c r="L131" s="55">
        <v>0.0</v>
      </c>
      <c r="M131" s="55">
        <v>0.0</v>
      </c>
      <c r="N131" s="55">
        <v>0.0</v>
      </c>
      <c r="O131" s="55">
        <v>0.0</v>
      </c>
      <c r="P131" s="55">
        <v>0.0</v>
      </c>
      <c r="Q131" s="55" t="s">
        <v>191</v>
      </c>
      <c r="R131" s="55" t="s">
        <v>192</v>
      </c>
      <c r="S131" s="172"/>
      <c r="T131" s="55">
        <v>0.0</v>
      </c>
      <c r="U131" s="55">
        <v>0.0</v>
      </c>
      <c r="V131" s="55">
        <v>0.0</v>
      </c>
      <c r="W131" s="46"/>
      <c r="X131" s="46"/>
      <c r="Y131" s="55"/>
      <c r="Z131" s="30"/>
    </row>
    <row r="132" ht="14.25" customHeight="1">
      <c r="A132" s="214">
        <v>2.0</v>
      </c>
      <c r="B132" s="285" t="s">
        <v>3173</v>
      </c>
      <c r="C132" s="47">
        <v>128.0</v>
      </c>
      <c r="D132" s="47">
        <v>4.0</v>
      </c>
      <c r="E132" s="288">
        <v>43617.0</v>
      </c>
      <c r="F132" s="156" t="str">
        <f>HYPERLINK("https://www.liputan6.com/tekno/read/3981262/ani-yudhoyono-meninggal-dunia-ini-unggahan-terakhirnya-di-instagram ","sumber")</f>
        <v>sumber</v>
      </c>
      <c r="G132" s="274" t="s">
        <v>33</v>
      </c>
      <c r="H132" s="48" t="s">
        <v>3174</v>
      </c>
      <c r="I132" s="47">
        <v>5.0</v>
      </c>
      <c r="J132" s="47">
        <v>2.0</v>
      </c>
      <c r="K132" s="165"/>
      <c r="L132" s="48"/>
      <c r="M132" s="48"/>
      <c r="N132" s="48"/>
      <c r="O132" s="48"/>
      <c r="P132" s="48"/>
      <c r="Q132" s="48"/>
      <c r="R132" s="48"/>
      <c r="S132" s="165"/>
      <c r="T132" s="48"/>
      <c r="U132" s="48"/>
      <c r="V132" s="48"/>
      <c r="W132" s="48"/>
      <c r="X132" s="48"/>
      <c r="Y132" s="47"/>
      <c r="Z132" s="43"/>
    </row>
    <row r="133" ht="14.25" customHeight="1">
      <c r="A133" s="297">
        <v>2.0</v>
      </c>
      <c r="B133" s="283" t="s">
        <v>2223</v>
      </c>
      <c r="C133" s="44">
        <v>129.0</v>
      </c>
      <c r="D133" s="44">
        <v>5.0</v>
      </c>
      <c r="E133" s="287">
        <v>43624.0</v>
      </c>
      <c r="F133" s="162" t="str">
        <f>HYPERLINK("https://tirto.id/104066-wisatawan-kunjungi-gunungkidul-saat-lebaran-2019-d9Al ","sumber")</f>
        <v>sumber</v>
      </c>
      <c r="G133" s="269" t="s">
        <v>33</v>
      </c>
      <c r="H133" s="45" t="s">
        <v>2918</v>
      </c>
      <c r="I133" s="44">
        <v>2.0</v>
      </c>
      <c r="J133" s="44">
        <v>2.0</v>
      </c>
      <c r="K133" s="164" t="s">
        <v>3175</v>
      </c>
      <c r="L133" s="44">
        <v>0.0</v>
      </c>
      <c r="M133" s="44">
        <v>0.0</v>
      </c>
      <c r="N133" s="44">
        <v>0.0</v>
      </c>
      <c r="O133" s="44">
        <v>0.0</v>
      </c>
      <c r="P133" s="44">
        <v>0.0</v>
      </c>
      <c r="Q133" s="44" t="s">
        <v>61</v>
      </c>
      <c r="R133" s="44" t="s">
        <v>61</v>
      </c>
      <c r="S133" s="164"/>
      <c r="T133" s="44">
        <v>0.0</v>
      </c>
      <c r="U133" s="44">
        <v>0.0</v>
      </c>
      <c r="V133" s="44">
        <v>0.0</v>
      </c>
      <c r="W133" s="45"/>
      <c r="X133" s="45"/>
      <c r="Y133" s="45"/>
      <c r="Z133" s="9"/>
    </row>
    <row r="134" ht="14.25" customHeight="1">
      <c r="A134" s="282">
        <v>1.0</v>
      </c>
      <c r="B134" s="283" t="s">
        <v>3176</v>
      </c>
      <c r="C134" s="44">
        <v>130.0</v>
      </c>
      <c r="D134" s="44">
        <v>6.0</v>
      </c>
      <c r="E134" s="287">
        <v>43625.0</v>
      </c>
      <c r="F134" s="162" t="str">
        <f>HYPERLINK("https://entertainment.kompas.com/read/2019/06/09/125736510/melompat-dari-panggung-jungkook-bts-temui-penonton-berkursi-roda ","sumber")</f>
        <v>sumber</v>
      </c>
      <c r="G134" s="269" t="s">
        <v>33</v>
      </c>
      <c r="H134" s="45" t="s">
        <v>3177</v>
      </c>
      <c r="I134" s="44">
        <v>2.0</v>
      </c>
      <c r="J134" s="44">
        <v>2.0</v>
      </c>
      <c r="K134" s="164" t="s">
        <v>3178</v>
      </c>
      <c r="L134" s="44">
        <v>0.0</v>
      </c>
      <c r="M134" s="44">
        <v>0.0</v>
      </c>
      <c r="N134" s="44">
        <v>0.0</v>
      </c>
      <c r="O134" s="44">
        <v>0.0</v>
      </c>
      <c r="P134" s="44">
        <v>0.0</v>
      </c>
      <c r="Q134" s="44" t="s">
        <v>61</v>
      </c>
      <c r="R134" s="44" t="s">
        <v>61</v>
      </c>
      <c r="S134" s="164"/>
      <c r="T134" s="44">
        <v>0.0</v>
      </c>
      <c r="U134" s="44">
        <v>0.0</v>
      </c>
      <c r="V134" s="44">
        <v>0.0</v>
      </c>
      <c r="W134" s="45"/>
      <c r="X134" s="45"/>
      <c r="Y134" s="45"/>
      <c r="Z134" s="9"/>
    </row>
    <row r="135" ht="14.25" customHeight="1">
      <c r="A135" s="214">
        <v>2.0</v>
      </c>
      <c r="B135" s="285" t="s">
        <v>3179</v>
      </c>
      <c r="C135" s="47">
        <v>131.0</v>
      </c>
      <c r="D135" s="47">
        <v>6.0</v>
      </c>
      <c r="E135" s="288">
        <v>43628.0</v>
      </c>
      <c r="F135" s="156" t="str">
        <f>HYPERLINK("https://properti.kompas.com/read/2019/06/12/121943921/sebelum-ibu-kota-direlokasi-belajarlah-dari-london ","sumber")</f>
        <v>sumber</v>
      </c>
      <c r="G135" s="274" t="s">
        <v>33</v>
      </c>
      <c r="H135" s="48" t="s">
        <v>3180</v>
      </c>
      <c r="I135" s="47">
        <v>5.0</v>
      </c>
      <c r="J135" s="47">
        <v>2.0</v>
      </c>
      <c r="K135" s="165"/>
      <c r="L135" s="48"/>
      <c r="M135" s="48"/>
      <c r="N135" s="48"/>
      <c r="O135" s="48"/>
      <c r="P135" s="48"/>
      <c r="Q135" s="48"/>
      <c r="R135" s="48"/>
      <c r="S135" s="165"/>
      <c r="T135" s="48"/>
      <c r="U135" s="48"/>
      <c r="V135" s="48"/>
      <c r="W135" s="48"/>
      <c r="X135" s="48"/>
      <c r="Y135" s="47"/>
      <c r="Z135" s="43"/>
    </row>
    <row r="136" ht="14.25" customHeight="1">
      <c r="A136" s="254">
        <v>1.0</v>
      </c>
      <c r="B136" s="68" t="s">
        <v>3181</v>
      </c>
      <c r="C136" s="55">
        <v>132.0</v>
      </c>
      <c r="D136" s="55">
        <v>4.0</v>
      </c>
      <c r="E136" s="289">
        <v>43621.0</v>
      </c>
      <c r="F136" s="171" t="str">
        <f>HYPERLINK("https://www.liputan6.com/bisnis/read/3983959/open-house-gubernur-bi-sambut-komunitas-penyandang-disabilitas ","sumber")</f>
        <v>sumber</v>
      </c>
      <c r="G136" s="277" t="s">
        <v>33</v>
      </c>
      <c r="H136" s="55">
        <v>543.0</v>
      </c>
      <c r="I136" s="55">
        <v>3.0</v>
      </c>
      <c r="J136" s="55">
        <v>2.0</v>
      </c>
      <c r="K136" s="172" t="s">
        <v>3182</v>
      </c>
      <c r="L136" s="55">
        <v>0.0</v>
      </c>
      <c r="M136" s="55">
        <v>0.0</v>
      </c>
      <c r="N136" s="55">
        <v>0.0</v>
      </c>
      <c r="O136" s="55">
        <v>0.0</v>
      </c>
      <c r="P136" s="55">
        <v>0.0</v>
      </c>
      <c r="Q136" s="55" t="s">
        <v>3183</v>
      </c>
      <c r="R136" s="172" t="s">
        <v>89</v>
      </c>
      <c r="S136" s="172"/>
      <c r="T136" s="55">
        <v>0.0</v>
      </c>
      <c r="U136" s="55">
        <v>0.0</v>
      </c>
      <c r="V136" s="55">
        <v>0.0</v>
      </c>
      <c r="W136" s="46"/>
      <c r="X136" s="46"/>
      <c r="Y136" s="55"/>
      <c r="Z136" s="30"/>
    </row>
    <row r="137" ht="14.25" customHeight="1">
      <c r="A137" s="254">
        <v>1.0</v>
      </c>
      <c r="B137" s="68" t="s">
        <v>1330</v>
      </c>
      <c r="C137" s="55">
        <v>133.0</v>
      </c>
      <c r="D137" s="55">
        <v>9.0</v>
      </c>
      <c r="E137" s="289">
        <v>43635.0</v>
      </c>
      <c r="F137" s="171" t="str">
        <f>HYPERLINK("https://nasional.republika.co.id/berita/nasional/daerah/ptchht396/pertamina-ru-vi-latih-kemandirian-siswa-disabilitas ","sumber")</f>
        <v>sumber</v>
      </c>
      <c r="G137" s="277" t="s">
        <v>33</v>
      </c>
      <c r="H137" s="55">
        <v>282.0</v>
      </c>
      <c r="I137" s="55">
        <v>3.0</v>
      </c>
      <c r="J137" s="55">
        <v>2.0</v>
      </c>
      <c r="K137" s="172" t="s">
        <v>3184</v>
      </c>
      <c r="L137" s="55">
        <v>0.0</v>
      </c>
      <c r="M137" s="55">
        <v>0.0</v>
      </c>
      <c r="N137" s="55">
        <v>0.0</v>
      </c>
      <c r="O137" s="55">
        <v>0.0</v>
      </c>
      <c r="P137" s="55">
        <v>0.0</v>
      </c>
      <c r="Q137" s="55" t="s">
        <v>1689</v>
      </c>
      <c r="R137" s="55" t="s">
        <v>1586</v>
      </c>
      <c r="S137" s="172" t="s">
        <v>3185</v>
      </c>
      <c r="T137" s="55">
        <v>1.0</v>
      </c>
      <c r="U137" s="55">
        <v>0.0</v>
      </c>
      <c r="V137" s="55">
        <v>0.0</v>
      </c>
      <c r="W137" s="46"/>
      <c r="X137" s="46"/>
      <c r="Y137" s="55"/>
      <c r="Z137" s="30"/>
    </row>
    <row r="138" ht="14.25" customHeight="1">
      <c r="A138" s="254">
        <v>1.0</v>
      </c>
      <c r="B138" s="68" t="s">
        <v>1360</v>
      </c>
      <c r="C138" s="55">
        <v>134.0</v>
      </c>
      <c r="D138" s="55">
        <v>10.0</v>
      </c>
      <c r="E138" s="289">
        <v>43672.0</v>
      </c>
      <c r="F138" s="171" t="str">
        <f>HYPERLINK("https://gayahidup.republika.co.id/berita/pv7b71459/sulit-konsentrasi-bisa-jadi-tanda-disabilitas-psikososial ","sumber")</f>
        <v>sumber</v>
      </c>
      <c r="G138" s="277" t="s">
        <v>33</v>
      </c>
      <c r="H138" s="55">
        <v>37.0</v>
      </c>
      <c r="I138" s="55">
        <v>2.0</v>
      </c>
      <c r="J138" s="55">
        <v>2.0</v>
      </c>
      <c r="K138" s="172" t="s">
        <v>1362</v>
      </c>
      <c r="L138" s="55">
        <v>0.0</v>
      </c>
      <c r="M138" s="55">
        <v>0.0</v>
      </c>
      <c r="N138" s="55">
        <v>0.0</v>
      </c>
      <c r="O138" s="55">
        <v>0.0</v>
      </c>
      <c r="P138" s="55">
        <v>0.0</v>
      </c>
      <c r="Q138" s="55" t="s">
        <v>192</v>
      </c>
      <c r="R138" s="55" t="s">
        <v>214</v>
      </c>
      <c r="S138" s="172"/>
      <c r="T138" s="55">
        <v>0.0</v>
      </c>
      <c r="U138" s="55">
        <v>0.0</v>
      </c>
      <c r="V138" s="55">
        <v>0.0</v>
      </c>
      <c r="W138" s="46"/>
      <c r="X138" s="46"/>
      <c r="Y138" s="55"/>
      <c r="Z138" s="30"/>
    </row>
    <row r="139" ht="14.25" customHeight="1">
      <c r="A139" s="254">
        <v>1.0</v>
      </c>
      <c r="B139" s="68" t="s">
        <v>3186</v>
      </c>
      <c r="C139" s="55">
        <v>135.0</v>
      </c>
      <c r="D139" s="55">
        <v>9.0</v>
      </c>
      <c r="E139" s="296">
        <v>43632.0</v>
      </c>
      <c r="F139" s="171" t="str">
        <f>HYPERLINK("https://nasional.republika.co.id/berita/nasional/daerah/pt6w7g409/akui-sensen-sebagai-rasul-warga-garut-diamankan ","sumber")</f>
        <v>sumber</v>
      </c>
      <c r="G139" s="277" t="s">
        <v>33</v>
      </c>
      <c r="H139" s="55">
        <v>234.0</v>
      </c>
      <c r="I139" s="55">
        <v>1.0</v>
      </c>
      <c r="J139" s="55">
        <v>2.0</v>
      </c>
      <c r="K139" s="172" t="s">
        <v>3187</v>
      </c>
      <c r="L139" s="55">
        <v>0.0</v>
      </c>
      <c r="M139" s="55">
        <v>-1.0</v>
      </c>
      <c r="N139" s="55">
        <v>0.0</v>
      </c>
      <c r="O139" s="55">
        <v>0.0</v>
      </c>
      <c r="P139" s="55">
        <v>0.0</v>
      </c>
      <c r="Q139" s="55">
        <v>0.0</v>
      </c>
      <c r="R139" s="55">
        <v>0.0</v>
      </c>
      <c r="S139" s="172"/>
      <c r="T139" s="55">
        <v>0.0</v>
      </c>
      <c r="U139" s="55">
        <v>0.0</v>
      </c>
      <c r="V139" s="55">
        <v>0.0</v>
      </c>
      <c r="W139" s="46"/>
      <c r="X139" s="46"/>
      <c r="Y139" s="55"/>
      <c r="Z139" s="30"/>
    </row>
    <row r="140" ht="14.25" customHeight="1">
      <c r="A140" s="214">
        <v>2.0</v>
      </c>
      <c r="B140" s="285" t="s">
        <v>3188</v>
      </c>
      <c r="C140" s="47">
        <v>136.0</v>
      </c>
      <c r="D140" s="47">
        <v>5.0</v>
      </c>
      <c r="E140" s="288">
        <v>43632.0</v>
      </c>
      <c r="F140" s="156" t="str">
        <f>HYPERLINK("https://tirto.id/kronologi-penyalahgunaan-izin-berobat-setnov-menurut-ditjen-pas-ectk ","sumber")</f>
        <v>sumber</v>
      </c>
      <c r="G140" s="274" t="s">
        <v>33</v>
      </c>
      <c r="H140" s="48" t="s">
        <v>3189</v>
      </c>
      <c r="I140" s="47">
        <v>2.0</v>
      </c>
      <c r="J140" s="47">
        <v>2.0</v>
      </c>
      <c r="K140" s="165"/>
      <c r="L140" s="48"/>
      <c r="M140" s="48"/>
      <c r="N140" s="48"/>
      <c r="O140" s="48"/>
      <c r="P140" s="48"/>
      <c r="Q140" s="48"/>
      <c r="R140" s="48"/>
      <c r="S140" s="165"/>
      <c r="T140" s="48"/>
      <c r="U140" s="48"/>
      <c r="V140" s="48"/>
      <c r="W140" s="48"/>
      <c r="X140" s="48"/>
      <c r="Y140" s="47"/>
      <c r="Z140" s="43"/>
    </row>
    <row r="141" ht="14.25" customHeight="1">
      <c r="A141" s="254">
        <v>1.0</v>
      </c>
      <c r="B141" s="68" t="s">
        <v>3190</v>
      </c>
      <c r="C141" s="55">
        <v>137.0</v>
      </c>
      <c r="D141" s="55">
        <v>7.0</v>
      </c>
      <c r="E141" s="296">
        <v>43632.0</v>
      </c>
      <c r="F141" s="171" t="str">
        <f>HYPERLINK("http://www.tribunnews.com/seleb/2019/06/16/baim-wong-akan-temui-netizen-yang-terima-tamu-orang-gila ","sumber")</f>
        <v>sumber</v>
      </c>
      <c r="G141" s="277" t="s">
        <v>33</v>
      </c>
      <c r="H141" s="55">
        <v>249.0</v>
      </c>
      <c r="I141" s="55">
        <v>2.0</v>
      </c>
      <c r="J141" s="55">
        <v>2.0</v>
      </c>
      <c r="K141" s="172" t="s">
        <v>1336</v>
      </c>
      <c r="L141" s="55">
        <v>0.0</v>
      </c>
      <c r="M141" s="55">
        <v>0.0</v>
      </c>
      <c r="N141" s="55">
        <v>0.0</v>
      </c>
      <c r="O141" s="55">
        <v>0.0</v>
      </c>
      <c r="P141" s="55">
        <v>0.0</v>
      </c>
      <c r="Q141" s="55">
        <v>0.0</v>
      </c>
      <c r="R141" s="55">
        <v>0.0</v>
      </c>
      <c r="S141" s="172" t="s">
        <v>3191</v>
      </c>
      <c r="T141" s="55">
        <v>4.0</v>
      </c>
      <c r="U141" s="55">
        <v>0.0</v>
      </c>
      <c r="V141" s="55">
        <v>0.0</v>
      </c>
      <c r="W141" s="46"/>
      <c r="X141" s="46"/>
      <c r="Y141" s="55"/>
      <c r="Z141" s="30"/>
    </row>
    <row r="142" ht="14.25" customHeight="1">
      <c r="A142" s="282">
        <v>1.0</v>
      </c>
      <c r="B142" s="283" t="s">
        <v>606</v>
      </c>
      <c r="C142" s="44">
        <v>138.0</v>
      </c>
      <c r="D142" s="44">
        <v>8.0</v>
      </c>
      <c r="E142" s="287">
        <v>43635.0</v>
      </c>
      <c r="F142" s="162" t="str">
        <f>HYPERLINK("https://jatim.suara.com/read/2019/06/19/072916/ayah-setahun-hilang-misterius-polisi-temukan-gundukan-aneh-di-rumah-anak","sumber")</f>
        <v>sumber</v>
      </c>
      <c r="G142" s="269" t="s">
        <v>33</v>
      </c>
      <c r="H142" s="45" t="s">
        <v>3192</v>
      </c>
      <c r="I142" s="44">
        <v>1.0</v>
      </c>
      <c r="J142" s="44">
        <v>2.0</v>
      </c>
      <c r="K142" s="164" t="s">
        <v>3193</v>
      </c>
      <c r="L142" s="44">
        <v>0.0</v>
      </c>
      <c r="M142" s="44">
        <v>0.0</v>
      </c>
      <c r="N142" s="44">
        <v>0.0</v>
      </c>
      <c r="O142" s="44">
        <v>0.0</v>
      </c>
      <c r="P142" s="44">
        <v>-1.0</v>
      </c>
      <c r="Q142" s="44">
        <v>0.0</v>
      </c>
      <c r="R142" s="44">
        <v>0.0</v>
      </c>
      <c r="S142" s="164"/>
      <c r="T142" s="44">
        <v>0.0</v>
      </c>
      <c r="U142" s="44">
        <v>0.0</v>
      </c>
      <c r="V142" s="44">
        <v>0.0</v>
      </c>
      <c r="W142" s="45"/>
      <c r="X142" s="45"/>
      <c r="Y142" s="44"/>
      <c r="Z142" s="52"/>
    </row>
    <row r="143" ht="14.25" customHeight="1">
      <c r="A143" s="214">
        <v>2.0</v>
      </c>
      <c r="B143" s="285" t="s">
        <v>3194</v>
      </c>
      <c r="C143" s="47">
        <v>139.0</v>
      </c>
      <c r="D143" s="47">
        <v>1.0</v>
      </c>
      <c r="E143" s="288">
        <v>43636.0</v>
      </c>
      <c r="F143" s="156" t="str">
        <f>HYPERLINK("https://hot.detik.com/celeb/d-4593956/omesh-dan-dian-ayu-lestari-suka-beli-motor-langka-untuk-investasi ","sumber")</f>
        <v>sumber</v>
      </c>
      <c r="G143" s="274" t="s">
        <v>33</v>
      </c>
      <c r="H143" s="48" t="s">
        <v>3195</v>
      </c>
      <c r="I143" s="47">
        <v>2.0</v>
      </c>
      <c r="J143" s="47">
        <v>2.0</v>
      </c>
      <c r="K143" s="165"/>
      <c r="L143" s="48"/>
      <c r="M143" s="48"/>
      <c r="N143" s="48"/>
      <c r="O143" s="48"/>
      <c r="P143" s="48"/>
      <c r="Q143" s="48"/>
      <c r="R143" s="48"/>
      <c r="S143" s="165"/>
      <c r="T143" s="48"/>
      <c r="U143" s="48"/>
      <c r="V143" s="48"/>
      <c r="W143" s="48"/>
      <c r="X143" s="48"/>
      <c r="Y143" s="47"/>
      <c r="Z143" s="43"/>
    </row>
    <row r="144" ht="14.25" customHeight="1">
      <c r="A144" s="214">
        <v>2.0</v>
      </c>
      <c r="B144" s="285" t="s">
        <v>3196</v>
      </c>
      <c r="C144" s="47">
        <v>140.0</v>
      </c>
      <c r="D144" s="47">
        <v>3.0</v>
      </c>
      <c r="E144" s="288">
        <v>43636.0</v>
      </c>
      <c r="F144" s="156" t="str">
        <f>HYPERLINK("https://lifestyle.okezone.com/read/2019/06/20/31/2068596/layaknya-amanda-winarko-6-zodiak-ini-ditakdirkan-jadi-orang-kaya?page=3","sumber")</f>
        <v>sumber</v>
      </c>
      <c r="G144" s="274" t="s">
        <v>33</v>
      </c>
      <c r="H144" s="48" t="s">
        <v>3197</v>
      </c>
      <c r="I144" s="47">
        <v>5.0</v>
      </c>
      <c r="J144" s="47">
        <v>2.0</v>
      </c>
      <c r="K144" s="165"/>
      <c r="L144" s="48"/>
      <c r="M144" s="48"/>
      <c r="N144" s="48"/>
      <c r="O144" s="48"/>
      <c r="P144" s="48"/>
      <c r="Q144" s="48"/>
      <c r="R144" s="48"/>
      <c r="S144" s="165"/>
      <c r="T144" s="48"/>
      <c r="U144" s="48"/>
      <c r="V144" s="48"/>
      <c r="W144" s="48"/>
      <c r="X144" s="48"/>
      <c r="Y144" s="47"/>
      <c r="Z144" s="43"/>
    </row>
    <row r="145" ht="14.25" customHeight="1">
      <c r="A145" s="214">
        <v>2.0</v>
      </c>
      <c r="B145" s="285" t="s">
        <v>3198</v>
      </c>
      <c r="C145" s="47">
        <v>141.0</v>
      </c>
      <c r="D145" s="47">
        <v>4.0</v>
      </c>
      <c r="E145" s="288">
        <v>43637.0</v>
      </c>
      <c r="F145" s="156" t="str">
        <f>HYPERLINK("https://hot.liputan6.com/read/3994985/jarang-disadari-ini-6-jenis-penyakit-keturunan-yang-harus-diwaspadai ","sumber")</f>
        <v>sumber</v>
      </c>
      <c r="G145" s="274" t="s">
        <v>33</v>
      </c>
      <c r="H145" s="48" t="s">
        <v>3199</v>
      </c>
      <c r="I145" s="47">
        <v>2.0</v>
      </c>
      <c r="J145" s="47">
        <v>2.0</v>
      </c>
      <c r="K145" s="157" t="s">
        <v>3200</v>
      </c>
      <c r="L145" s="47">
        <v>0.0</v>
      </c>
      <c r="M145" s="47">
        <v>0.0</v>
      </c>
      <c r="N145" s="47">
        <v>0.0</v>
      </c>
      <c r="O145" s="47">
        <v>0.0</v>
      </c>
      <c r="P145" s="47">
        <v>0.0</v>
      </c>
      <c r="Q145" s="47" t="s">
        <v>138</v>
      </c>
      <c r="R145" s="47" t="s">
        <v>53</v>
      </c>
      <c r="S145" s="157" t="s">
        <v>3201</v>
      </c>
      <c r="T145" s="47">
        <v>1.0</v>
      </c>
      <c r="U145" s="48"/>
      <c r="V145" s="48"/>
      <c r="W145" s="48"/>
      <c r="X145" s="48"/>
      <c r="Y145" s="48"/>
      <c r="Z145" s="51"/>
    </row>
    <row r="146" ht="14.25" customHeight="1">
      <c r="A146" s="214">
        <v>2.0</v>
      </c>
      <c r="B146" s="285" t="s">
        <v>3202</v>
      </c>
      <c r="C146" s="47">
        <v>142.0</v>
      </c>
      <c r="D146" s="47">
        <v>4.0</v>
      </c>
      <c r="E146" s="288">
        <v>43639.0</v>
      </c>
      <c r="F146" s="156" t="str">
        <f>HYPERLINK("https://www.liputan6.com/bola/read/3996248/prediksi-qatar-vs-argentina-jalan-terakhir-ke-perempat-final-copa-america-2019 ","sumber")</f>
        <v>sumber</v>
      </c>
      <c r="G146" s="274" t="s">
        <v>33</v>
      </c>
      <c r="H146" s="48" t="s">
        <v>3203</v>
      </c>
      <c r="I146" s="47">
        <v>5.0</v>
      </c>
      <c r="J146" s="47">
        <v>2.0</v>
      </c>
      <c r="K146" s="165"/>
      <c r="L146" s="48"/>
      <c r="M146" s="48"/>
      <c r="N146" s="48"/>
      <c r="O146" s="48"/>
      <c r="P146" s="48"/>
      <c r="Q146" s="48"/>
      <c r="R146" s="48"/>
      <c r="S146" s="165"/>
      <c r="T146" s="48"/>
      <c r="U146" s="48"/>
      <c r="V146" s="48"/>
      <c r="W146" s="48"/>
      <c r="X146" s="48"/>
      <c r="Y146" s="47"/>
      <c r="Z146" s="43"/>
    </row>
    <row r="147" ht="14.25" customHeight="1">
      <c r="A147" s="282">
        <v>1.0</v>
      </c>
      <c r="B147" s="283" t="s">
        <v>3204</v>
      </c>
      <c r="C147" s="44">
        <v>143.0</v>
      </c>
      <c r="D147" s="44">
        <v>3.0</v>
      </c>
      <c r="E147" s="287">
        <v>43639.0</v>
      </c>
      <c r="F147" s="162" t="str">
        <f>HYPERLINK("https://news.okezone.com/read/2019/06/22/340/2069748/sedang-bersihkan-lingkungan-gereja-pendeta-ini-ditusuk-otk ","sumber")</f>
        <v>sumber</v>
      </c>
      <c r="G147" s="269" t="s">
        <v>33</v>
      </c>
      <c r="H147" s="45" t="s">
        <v>3205</v>
      </c>
      <c r="I147" s="44">
        <v>1.0</v>
      </c>
      <c r="J147" s="44">
        <v>2.0</v>
      </c>
      <c r="K147" s="164" t="s">
        <v>3206</v>
      </c>
      <c r="L147" s="44">
        <v>0.0</v>
      </c>
      <c r="M147" s="44">
        <v>1.0</v>
      </c>
      <c r="N147" s="44">
        <v>0.0</v>
      </c>
      <c r="O147" s="44">
        <v>0.0</v>
      </c>
      <c r="P147" s="44">
        <v>0.0</v>
      </c>
      <c r="Q147" s="228" t="s">
        <v>61</v>
      </c>
      <c r="R147" s="44" t="s">
        <v>61</v>
      </c>
      <c r="S147" s="164" t="s">
        <v>1281</v>
      </c>
      <c r="T147" s="44">
        <v>1.0</v>
      </c>
      <c r="U147" s="44">
        <v>0.0</v>
      </c>
      <c r="V147" s="44">
        <v>0.0</v>
      </c>
      <c r="W147" s="45"/>
      <c r="X147" s="45"/>
      <c r="Y147" s="44"/>
      <c r="Z147" s="52"/>
    </row>
    <row r="148" ht="14.25" customHeight="1">
      <c r="A148" s="282">
        <v>1.0</v>
      </c>
      <c r="B148" s="283" t="s">
        <v>3207</v>
      </c>
      <c r="C148" s="44">
        <v>144.0</v>
      </c>
      <c r="D148" s="44">
        <v>10.0</v>
      </c>
      <c r="E148" s="287">
        <v>43651.0</v>
      </c>
      <c r="F148" s="162" t="str">
        <f>HYPERLINK("https://cantik.tempo.co/read/1221589/gejala-skizofrenia-ada-yang-positif-dan-negatif ","sumber")</f>
        <v>sumber</v>
      </c>
      <c r="G148" s="269" t="s">
        <v>33</v>
      </c>
      <c r="H148" s="45" t="s">
        <v>3208</v>
      </c>
      <c r="I148" s="44">
        <v>2.0</v>
      </c>
      <c r="J148" s="44">
        <v>2.0</v>
      </c>
      <c r="K148" s="164" t="s">
        <v>3209</v>
      </c>
      <c r="L148" s="44">
        <v>0.0</v>
      </c>
      <c r="M148" s="44">
        <v>0.0</v>
      </c>
      <c r="N148" s="44">
        <v>0.0</v>
      </c>
      <c r="O148" s="44">
        <v>0.0</v>
      </c>
      <c r="P148" s="44">
        <v>0.0</v>
      </c>
      <c r="Q148" s="44">
        <v>0.0</v>
      </c>
      <c r="R148" s="44">
        <v>0.0</v>
      </c>
      <c r="S148" s="175"/>
      <c r="T148" s="44">
        <v>0.0</v>
      </c>
      <c r="U148" s="44">
        <v>0.0</v>
      </c>
      <c r="V148" s="44">
        <v>1.0</v>
      </c>
      <c r="W148" s="45"/>
      <c r="X148" s="45"/>
      <c r="Y148" s="44"/>
      <c r="Z148" s="52"/>
    </row>
    <row r="149" ht="14.25" customHeight="1">
      <c r="A149" s="214">
        <v>2.0</v>
      </c>
      <c r="B149" s="285" t="s">
        <v>3210</v>
      </c>
      <c r="C149" s="47">
        <v>145.0</v>
      </c>
      <c r="D149" s="47">
        <v>9.0</v>
      </c>
      <c r="E149" s="288">
        <v>43656.0</v>
      </c>
      <c r="F149" s="156" t="str">
        <f>HYPERLINK("https://khazanah.republika.co.id/berita/pufbh0320/6-rekomendasi-ijtima-ulama-alquran-perlu-tafsir-difabel ","sumber")</f>
        <v>sumber</v>
      </c>
      <c r="G149" s="274" t="s">
        <v>33</v>
      </c>
      <c r="H149" s="48" t="s">
        <v>3211</v>
      </c>
      <c r="I149" s="47">
        <v>2.0</v>
      </c>
      <c r="J149" s="47">
        <v>2.0</v>
      </c>
      <c r="K149" s="165"/>
      <c r="L149" s="48"/>
      <c r="M149" s="48"/>
      <c r="N149" s="48"/>
      <c r="O149" s="48"/>
      <c r="P149" s="48"/>
      <c r="Q149" s="48"/>
      <c r="R149" s="48"/>
      <c r="S149" s="165"/>
      <c r="T149" s="48"/>
      <c r="U149" s="48"/>
      <c r="V149" s="48"/>
      <c r="W149" s="48"/>
      <c r="X149" s="48"/>
      <c r="Y149" s="48"/>
      <c r="Z149" s="51"/>
    </row>
    <row r="150" ht="14.25" customHeight="1">
      <c r="A150" s="254">
        <v>1.0</v>
      </c>
      <c r="B150" s="68" t="s">
        <v>3212</v>
      </c>
      <c r="C150" s="55">
        <v>146.0</v>
      </c>
      <c r="D150" s="55">
        <v>4.0</v>
      </c>
      <c r="E150" s="289">
        <v>43676.0</v>
      </c>
      <c r="F150" s="171" t="str">
        <f>HYPERLINK("https://www.liputan6.com/health/read/4025322/menpora-kunjungi-diklat-paskibraka-nasional-2019 ","sumber")</f>
        <v>sumber</v>
      </c>
      <c r="G150" s="277" t="s">
        <v>33</v>
      </c>
      <c r="H150" s="55">
        <v>310.0</v>
      </c>
      <c r="I150" s="55">
        <v>3.0</v>
      </c>
      <c r="J150" s="55">
        <v>2.0</v>
      </c>
      <c r="K150" s="172" t="s">
        <v>3213</v>
      </c>
      <c r="L150" s="55">
        <v>0.0</v>
      </c>
      <c r="M150" s="55">
        <v>0.0</v>
      </c>
      <c r="N150" s="55">
        <v>0.0</v>
      </c>
      <c r="O150" s="55">
        <v>0.0</v>
      </c>
      <c r="P150" s="55">
        <v>0.0</v>
      </c>
      <c r="Q150" s="55" t="s">
        <v>119</v>
      </c>
      <c r="R150" s="55" t="s">
        <v>214</v>
      </c>
      <c r="S150" s="172"/>
      <c r="T150" s="55">
        <v>0.0</v>
      </c>
      <c r="U150" s="55">
        <v>0.0</v>
      </c>
      <c r="V150" s="55">
        <v>0.0</v>
      </c>
      <c r="W150" s="46"/>
      <c r="X150" s="46"/>
      <c r="Y150" s="55"/>
      <c r="Z150" s="30"/>
    </row>
    <row r="151" ht="14.25" customHeight="1">
      <c r="A151" s="254">
        <v>1.0</v>
      </c>
      <c r="B151" s="68" t="s">
        <v>2248</v>
      </c>
      <c r="C151" s="55">
        <v>147.0</v>
      </c>
      <c r="D151" s="55">
        <v>3.0</v>
      </c>
      <c r="E151" s="289">
        <v>43649.0</v>
      </c>
      <c r="F151" s="171" t="str">
        <f>HYPERLINK("https://news.okezone.com/read/2019/07/03/338/2074243/perempuan-pembawa-anjing-ke-masjid-tak-wajib-di-bap ","sumber")</f>
        <v>sumber</v>
      </c>
      <c r="G151" s="277" t="s">
        <v>33</v>
      </c>
      <c r="H151" s="55">
        <v>177.0</v>
      </c>
      <c r="I151" s="55">
        <v>1.0</v>
      </c>
      <c r="J151" s="55">
        <v>2.0</v>
      </c>
      <c r="K151" s="172" t="s">
        <v>3214</v>
      </c>
      <c r="L151" s="55">
        <v>0.0</v>
      </c>
      <c r="M151" s="55">
        <v>-1.0</v>
      </c>
      <c r="N151" s="55">
        <v>0.0</v>
      </c>
      <c r="O151" s="55">
        <v>0.0</v>
      </c>
      <c r="P151" s="55">
        <v>0.0</v>
      </c>
      <c r="Q151" s="55">
        <v>0.0</v>
      </c>
      <c r="R151" s="55">
        <v>0.0</v>
      </c>
      <c r="S151" s="172"/>
      <c r="T151" s="55">
        <v>0.0</v>
      </c>
      <c r="U151" s="55">
        <v>0.0</v>
      </c>
      <c r="V151" s="55">
        <v>0.0</v>
      </c>
      <c r="W151" s="46"/>
      <c r="X151" s="46"/>
      <c r="Y151" s="55"/>
      <c r="Z151" s="30"/>
    </row>
    <row r="152" ht="14.25" customHeight="1">
      <c r="A152" s="282">
        <v>1.0</v>
      </c>
      <c r="B152" s="283" t="s">
        <v>3215</v>
      </c>
      <c r="C152" s="44">
        <v>148.0</v>
      </c>
      <c r="D152" s="44">
        <v>8.0</v>
      </c>
      <c r="E152" s="287">
        <v>43665.0</v>
      </c>
      <c r="F152" s="162" t="str">
        <f>HYPERLINK("https://jabar.suara.com/read/2019/07/19/212509/kondisi-wawan-game-mulai-membaik-sudah-tak-buang-hajat-sembarangan-lagi ","sumber")</f>
        <v>sumber</v>
      </c>
      <c r="G152" s="269" t="s">
        <v>33</v>
      </c>
      <c r="H152" s="45" t="s">
        <v>3216</v>
      </c>
      <c r="I152" s="44">
        <v>2.0</v>
      </c>
      <c r="J152" s="44">
        <v>2.0</v>
      </c>
      <c r="K152" s="164" t="s">
        <v>3217</v>
      </c>
      <c r="L152" s="44">
        <v>0.0</v>
      </c>
      <c r="M152" s="44">
        <v>0.0</v>
      </c>
      <c r="N152" s="44">
        <v>0.0</v>
      </c>
      <c r="O152" s="44">
        <v>0.0</v>
      </c>
      <c r="P152" s="44">
        <v>0.0</v>
      </c>
      <c r="Q152" s="44" t="s">
        <v>100</v>
      </c>
      <c r="R152" s="44" t="s">
        <v>61</v>
      </c>
      <c r="S152" s="175"/>
      <c r="T152" s="44">
        <v>0.0</v>
      </c>
      <c r="U152" s="44">
        <v>0.0</v>
      </c>
      <c r="V152" s="44">
        <v>0.0</v>
      </c>
      <c r="W152" s="45"/>
      <c r="X152" s="45"/>
      <c r="Y152" s="44"/>
      <c r="Z152" s="52"/>
    </row>
    <row r="153" ht="14.25" customHeight="1">
      <c r="A153" s="214">
        <v>2.0</v>
      </c>
      <c r="B153" s="285" t="s">
        <v>3218</v>
      </c>
      <c r="C153" s="47">
        <v>149.0</v>
      </c>
      <c r="D153" s="47">
        <v>3.0</v>
      </c>
      <c r="E153" s="288">
        <v>43666.0</v>
      </c>
      <c r="F153" s="156" t="str">
        <f>HYPERLINK("https://news.okezone.com/read/2019/07/19/18/2081177/cacat-dan-tidak-bisa-berenang-ikan-mas-koki-ini-dibuatkan-kursi-roda","sumber")</f>
        <v>sumber</v>
      </c>
      <c r="G153" s="274" t="s">
        <v>33</v>
      </c>
      <c r="H153" s="48" t="s">
        <v>3118</v>
      </c>
      <c r="I153" s="47">
        <v>2.0</v>
      </c>
      <c r="J153" s="47">
        <v>2.0</v>
      </c>
      <c r="K153" s="165"/>
      <c r="L153" s="48"/>
      <c r="M153" s="48"/>
      <c r="N153" s="48"/>
      <c r="O153" s="48"/>
      <c r="P153" s="48"/>
      <c r="Q153" s="48"/>
      <c r="R153" s="48"/>
      <c r="S153" s="165"/>
      <c r="T153" s="48"/>
      <c r="U153" s="48"/>
      <c r="V153" s="48"/>
      <c r="W153" s="48"/>
      <c r="X153" s="48"/>
      <c r="Y153" s="47"/>
      <c r="Z153" s="43"/>
    </row>
    <row r="154" ht="14.25" customHeight="1">
      <c r="A154" s="214">
        <v>2.0</v>
      </c>
      <c r="B154" s="285" t="s">
        <v>3219</v>
      </c>
      <c r="C154" s="47">
        <v>150.0</v>
      </c>
      <c r="D154" s="47">
        <v>4.0</v>
      </c>
      <c r="E154" s="288">
        <v>43667.0</v>
      </c>
      <c r="F154" s="156" t="str">
        <f>HYPERLINK("https://www.liputan6.com/showbiz/read/4017768/live-streaming-sctv-sinetron-cinta-buta-episode-minggu-21-juli-2019 ","sumber")</f>
        <v>sumber</v>
      </c>
      <c r="G154" s="274" t="s">
        <v>33</v>
      </c>
      <c r="H154" s="48" t="s">
        <v>3220</v>
      </c>
      <c r="I154" s="47">
        <v>5.0</v>
      </c>
      <c r="J154" s="47">
        <v>2.0</v>
      </c>
      <c r="K154" s="165"/>
      <c r="L154" s="48"/>
      <c r="M154" s="48"/>
      <c r="N154" s="48"/>
      <c r="O154" s="48"/>
      <c r="P154" s="48"/>
      <c r="Q154" s="48"/>
      <c r="R154" s="48"/>
      <c r="S154" s="165"/>
      <c r="T154" s="48"/>
      <c r="U154" s="48"/>
      <c r="V154" s="48"/>
      <c r="W154" s="48"/>
      <c r="X154" s="48"/>
      <c r="Y154" s="47"/>
      <c r="Z154" s="43"/>
    </row>
    <row r="155" ht="14.25" customHeight="1">
      <c r="A155" s="254">
        <v>1.0</v>
      </c>
      <c r="B155" s="68" t="s">
        <v>3221</v>
      </c>
      <c r="C155" s="55">
        <v>151.0</v>
      </c>
      <c r="D155" s="55">
        <v>7.0</v>
      </c>
      <c r="E155" s="296">
        <v>43669.0</v>
      </c>
      <c r="F155" s="171" t="str">
        <f>HYPERLINK("http://www.tribunnews.com/internasional/2019/07/02/guyonan-pm-abe-saat-makan-malam-g20-dikritik-keras-banyak-anggota-masyarakat-jepang ","sumber")</f>
        <v>sumber</v>
      </c>
      <c r="G155" s="277" t="s">
        <v>33</v>
      </c>
      <c r="H155" s="55">
        <v>241.0</v>
      </c>
      <c r="I155" s="55">
        <v>1.0</v>
      </c>
      <c r="J155" s="55">
        <v>2.0</v>
      </c>
      <c r="K155" s="172" t="s">
        <v>3222</v>
      </c>
      <c r="L155" s="55">
        <v>0.0</v>
      </c>
      <c r="M155" s="55">
        <v>1.0</v>
      </c>
      <c r="N155" s="55">
        <v>0.0</v>
      </c>
      <c r="O155" s="55">
        <v>0.0</v>
      </c>
      <c r="P155" s="55">
        <v>0.0</v>
      </c>
      <c r="Q155" s="302" t="s">
        <v>887</v>
      </c>
      <c r="R155" s="302" t="s">
        <v>3223</v>
      </c>
      <c r="S155" s="172"/>
      <c r="T155" s="55">
        <v>0.0</v>
      </c>
      <c r="U155" s="55">
        <v>0.0</v>
      </c>
      <c r="V155" s="55">
        <v>0.0</v>
      </c>
      <c r="W155" s="46"/>
      <c r="X155" s="46"/>
      <c r="Y155" s="55"/>
      <c r="Z155" s="30"/>
    </row>
    <row r="156" ht="14.25" customHeight="1">
      <c r="A156" s="214">
        <v>2.0</v>
      </c>
      <c r="B156" s="285" t="s">
        <v>3224</v>
      </c>
      <c r="C156" s="47">
        <v>152.0</v>
      </c>
      <c r="D156" s="47">
        <v>4.0</v>
      </c>
      <c r="E156" s="288">
        <v>43671.0</v>
      </c>
      <c r="F156" s="156" t="str">
        <f>HYPERLINK("https://www.liputan6.com/showbiz/read/4020857/stuber-komedi-spontan-dengan-pemain-yang-tidak-jaim ","sumber")</f>
        <v>sumber</v>
      </c>
      <c r="G156" s="274" t="s">
        <v>33</v>
      </c>
      <c r="H156" s="48" t="s">
        <v>3225</v>
      </c>
      <c r="I156" s="47">
        <v>5.0</v>
      </c>
      <c r="J156" s="47">
        <v>2.0</v>
      </c>
      <c r="K156" s="165"/>
      <c r="L156" s="48"/>
      <c r="M156" s="48"/>
      <c r="N156" s="48"/>
      <c r="O156" s="48"/>
      <c r="P156" s="48"/>
      <c r="Q156" s="48"/>
      <c r="R156" s="48"/>
      <c r="S156" s="165"/>
      <c r="T156" s="48"/>
      <c r="U156" s="48"/>
      <c r="V156" s="48"/>
      <c r="W156" s="48"/>
      <c r="X156" s="48"/>
      <c r="Y156" s="47"/>
      <c r="Z156" s="43"/>
    </row>
    <row r="157" ht="14.25" customHeight="1">
      <c r="A157" s="282">
        <v>1.0</v>
      </c>
      <c r="B157" s="283" t="s">
        <v>3226</v>
      </c>
      <c r="C157" s="44">
        <v>153.0</v>
      </c>
      <c r="D157" s="44">
        <v>1.0</v>
      </c>
      <c r="E157" s="287">
        <v>43676.0</v>
      </c>
      <c r="F157" s="162" t="str">
        <f>HYPERLINK("https://news.detik.com/berita/d-4645037/pdgi-panggil-dokter-gigi-pengganti-drg-romi-yang-gagal-jadi-pns-di-sumbar ","sumber")</f>
        <v>sumber</v>
      </c>
      <c r="G157" s="269" t="s">
        <v>33</v>
      </c>
      <c r="H157" s="45" t="s">
        <v>3227</v>
      </c>
      <c r="I157" s="44">
        <v>1.0</v>
      </c>
      <c r="J157" s="44">
        <v>2.0</v>
      </c>
      <c r="K157" s="164" t="s">
        <v>3228</v>
      </c>
      <c r="L157" s="44">
        <v>0.0</v>
      </c>
      <c r="M157" s="44">
        <v>1.0</v>
      </c>
      <c r="N157" s="44">
        <v>0.0</v>
      </c>
      <c r="O157" s="44">
        <v>0.0</v>
      </c>
      <c r="P157" s="44">
        <v>0.0</v>
      </c>
      <c r="Q157" s="44">
        <v>0.0</v>
      </c>
      <c r="R157" s="44">
        <v>1.0</v>
      </c>
      <c r="S157" s="175"/>
      <c r="T157" s="44">
        <v>0.0</v>
      </c>
      <c r="U157" s="44">
        <v>0.0</v>
      </c>
      <c r="V157" s="44">
        <v>0.0</v>
      </c>
      <c r="W157" s="45"/>
      <c r="X157" s="45"/>
      <c r="Y157" s="45"/>
      <c r="Z157" s="52"/>
    </row>
    <row r="158" ht="14.25" customHeight="1">
      <c r="A158" s="254">
        <v>1.0</v>
      </c>
      <c r="B158" s="68" t="s">
        <v>3229</v>
      </c>
      <c r="C158" s="55">
        <v>154.0</v>
      </c>
      <c r="D158" s="55">
        <v>4.0</v>
      </c>
      <c r="E158" s="296">
        <v>43677.0</v>
      </c>
      <c r="F158" s="171" t="str">
        <f>HYPERLINK("https://www.liputan6.com/news/read/4026194/mendagri-tjahjo-kumolo-pastikan-dokter-romi-jadi-cpns-tahun-ini ","sumber")</f>
        <v>sumber</v>
      </c>
      <c r="G158" s="277" t="s">
        <v>33</v>
      </c>
      <c r="H158" s="55">
        <v>292.0</v>
      </c>
      <c r="I158" s="55">
        <v>1.0</v>
      </c>
      <c r="J158" s="55">
        <v>2.0</v>
      </c>
      <c r="K158" s="172" t="s">
        <v>3230</v>
      </c>
      <c r="L158" s="55">
        <v>0.0</v>
      </c>
      <c r="M158" s="55">
        <v>1.0</v>
      </c>
      <c r="N158" s="55">
        <v>0.0</v>
      </c>
      <c r="O158" s="55">
        <v>0.0</v>
      </c>
      <c r="P158" s="55">
        <v>0.0</v>
      </c>
      <c r="Q158" s="55" t="s">
        <v>61</v>
      </c>
      <c r="R158" s="55" t="s">
        <v>192</v>
      </c>
      <c r="S158" s="172"/>
      <c r="T158" s="55">
        <v>0.0</v>
      </c>
      <c r="U158" s="55">
        <v>0.0</v>
      </c>
      <c r="V158" s="55">
        <v>0.0</v>
      </c>
      <c r="W158" s="46"/>
      <c r="X158" s="46"/>
      <c r="Y158" s="55"/>
      <c r="Z158" s="30"/>
    </row>
    <row r="159" ht="14.25" customHeight="1">
      <c r="A159" s="254">
        <v>1.0</v>
      </c>
      <c r="B159" s="68" t="s">
        <v>3231</v>
      </c>
      <c r="C159" s="55">
        <v>155.0</v>
      </c>
      <c r="D159" s="55">
        <v>8.0</v>
      </c>
      <c r="E159" s="289">
        <v>43705.0</v>
      </c>
      <c r="F159" s="171" t="str">
        <f>HYPERLINK("https://jateng.suara.com/read/2019/08/28/161035/aiptu-korsin-dibacok-di-markas-polisi-periksa-kejiwaan-pelakunya ","sumber")</f>
        <v>sumber</v>
      </c>
      <c r="G159" s="277" t="s">
        <v>33</v>
      </c>
      <c r="H159" s="55">
        <v>425.0</v>
      </c>
      <c r="I159" s="55">
        <v>1.0</v>
      </c>
      <c r="J159" s="55">
        <v>2.0</v>
      </c>
      <c r="K159" s="172" t="s">
        <v>3232</v>
      </c>
      <c r="L159" s="55">
        <v>0.0</v>
      </c>
      <c r="M159" s="55">
        <v>-1.0</v>
      </c>
      <c r="N159" s="55">
        <v>0.0</v>
      </c>
      <c r="O159" s="55">
        <v>0.0</v>
      </c>
      <c r="P159" s="55">
        <v>0.0</v>
      </c>
      <c r="Q159" s="55" t="s">
        <v>61</v>
      </c>
      <c r="R159" s="55" t="s">
        <v>61</v>
      </c>
      <c r="S159" s="172"/>
      <c r="T159" s="55">
        <v>0.0</v>
      </c>
      <c r="U159" s="55">
        <v>0.0</v>
      </c>
      <c r="V159" s="55">
        <v>0.0</v>
      </c>
      <c r="W159" s="46"/>
      <c r="X159" s="46"/>
      <c r="Y159" s="55"/>
      <c r="Z159" s="30"/>
    </row>
    <row r="160" ht="14.25" customHeight="1">
      <c r="A160" s="282">
        <v>1.0</v>
      </c>
      <c r="B160" s="283" t="s">
        <v>3233</v>
      </c>
      <c r="C160" s="44">
        <v>157.0</v>
      </c>
      <c r="D160" s="44">
        <v>9.0</v>
      </c>
      <c r="E160" s="287">
        <v>43686.0</v>
      </c>
      <c r="F160" s="162" t="str">
        <f>HYPERLINK("https://gayahidup.republika.co.id/berita/pvxi7g284/kendalikan-marah-sebelum-berujung-penyesalan ","sumber")</f>
        <v>sumber</v>
      </c>
      <c r="G160" s="269" t="s">
        <v>33</v>
      </c>
      <c r="H160" s="45" t="s">
        <v>3234</v>
      </c>
      <c r="I160" s="44">
        <v>2.0</v>
      </c>
      <c r="J160" s="44">
        <v>2.0</v>
      </c>
      <c r="K160" s="164" t="s">
        <v>3235</v>
      </c>
      <c r="L160" s="44">
        <v>0.0</v>
      </c>
      <c r="M160" s="44">
        <v>0.0</v>
      </c>
      <c r="N160" s="44">
        <v>0.0</v>
      </c>
      <c r="O160" s="44">
        <v>0.0</v>
      </c>
      <c r="P160" s="44">
        <v>0.0</v>
      </c>
      <c r="Q160" s="44">
        <v>0.0</v>
      </c>
      <c r="R160" s="44">
        <v>0.0</v>
      </c>
      <c r="S160" s="175"/>
      <c r="T160" s="44">
        <v>0.0</v>
      </c>
      <c r="U160" s="44">
        <v>0.0</v>
      </c>
      <c r="V160" s="44">
        <v>0.0</v>
      </c>
      <c r="W160" s="45"/>
      <c r="X160" s="45"/>
      <c r="Y160" s="45"/>
      <c r="Z160" s="9"/>
    </row>
    <row r="161" ht="14.25" customHeight="1">
      <c r="A161" s="214">
        <v>2.0</v>
      </c>
      <c r="B161" s="285" t="s">
        <v>3236</v>
      </c>
      <c r="C161" s="47">
        <v>158.0</v>
      </c>
      <c r="D161" s="47">
        <v>8.0</v>
      </c>
      <c r="E161" s="288">
        <v>43686.0</v>
      </c>
      <c r="F161" s="156" t="str">
        <f>HYPERLINK("https://www.suara.com/lifestyle/2019/08/09/170000/mengenal-desain-japandi-kombinasi-dua-gaya-dalam-satu-desain ","sumber")</f>
        <v>sumber</v>
      </c>
      <c r="G161" s="274" t="s">
        <v>33</v>
      </c>
      <c r="H161" s="48" t="s">
        <v>3237</v>
      </c>
      <c r="I161" s="47">
        <v>2.0</v>
      </c>
      <c r="J161" s="47">
        <v>2.0</v>
      </c>
      <c r="K161" s="165"/>
      <c r="L161" s="48"/>
      <c r="M161" s="48"/>
      <c r="N161" s="48"/>
      <c r="O161" s="48"/>
      <c r="P161" s="48"/>
      <c r="Q161" s="48"/>
      <c r="R161" s="48"/>
      <c r="S161" s="165"/>
      <c r="T161" s="48"/>
      <c r="U161" s="48"/>
      <c r="V161" s="48"/>
      <c r="W161" s="48"/>
      <c r="X161" s="48"/>
      <c r="Y161" s="47"/>
      <c r="Z161" s="43"/>
    </row>
    <row r="162" ht="14.25" customHeight="1">
      <c r="A162" s="254">
        <v>1.0</v>
      </c>
      <c r="B162" s="68" t="s">
        <v>3238</v>
      </c>
      <c r="C162" s="55">
        <v>159.0</v>
      </c>
      <c r="D162" s="55">
        <v>1.0</v>
      </c>
      <c r="E162" s="296">
        <v>43690.0</v>
      </c>
      <c r="F162" s="171" t="str">
        <f>HYPERLINK("https://news.detik.com/berita-jawa-timur/d-4663430/mayat-perempuan-tanpa-identitas-ditemukan-di-ruang-sekolah-di-lamongan ","sumber")</f>
        <v>sumber</v>
      </c>
      <c r="G162" s="277" t="s">
        <v>33</v>
      </c>
      <c r="H162" s="55">
        <v>280.0</v>
      </c>
      <c r="I162" s="55">
        <v>1.0</v>
      </c>
      <c r="J162" s="55">
        <v>2.0</v>
      </c>
      <c r="K162" s="172" t="s">
        <v>3239</v>
      </c>
      <c r="L162" s="55">
        <v>0.0</v>
      </c>
      <c r="M162" s="55">
        <v>-1.0</v>
      </c>
      <c r="N162" s="55">
        <v>0.0</v>
      </c>
      <c r="O162" s="55">
        <v>0.0</v>
      </c>
      <c r="P162" s="55">
        <v>0.0</v>
      </c>
      <c r="Q162" s="55" t="s">
        <v>61</v>
      </c>
      <c r="R162" s="55" t="s">
        <v>61</v>
      </c>
      <c r="S162" s="172"/>
      <c r="T162" s="55">
        <v>0.0</v>
      </c>
      <c r="U162" s="55">
        <v>0.0</v>
      </c>
      <c r="V162" s="55">
        <v>0.0</v>
      </c>
      <c r="W162" s="46"/>
      <c r="X162" s="46"/>
      <c r="Y162" s="55"/>
      <c r="Z162" s="30"/>
    </row>
    <row r="163" ht="14.25" customHeight="1">
      <c r="A163" s="254">
        <v>1.0</v>
      </c>
      <c r="B163" s="68" t="s">
        <v>3240</v>
      </c>
      <c r="C163" s="55">
        <v>160.0</v>
      </c>
      <c r="D163" s="55">
        <v>3.0</v>
      </c>
      <c r="E163" s="296">
        <v>43691.0</v>
      </c>
      <c r="F163" s="171" t="str">
        <f>HYPERLINK("https://news.okezone.com/read/2019/08/14/512/2091973/mnc-peduli-kembali-gelar-operasi-gratis-bibir-sumbing-bertajuk-senyum-indonesia ","sumber")</f>
        <v>sumber</v>
      </c>
      <c r="G163" s="277" t="s">
        <v>33</v>
      </c>
      <c r="H163" s="55">
        <v>374.0</v>
      </c>
      <c r="I163" s="55">
        <v>3.0</v>
      </c>
      <c r="J163" s="55">
        <v>2.0</v>
      </c>
      <c r="K163" s="172" t="s">
        <v>3241</v>
      </c>
      <c r="L163" s="55">
        <v>0.0</v>
      </c>
      <c r="M163" s="55">
        <v>0.0</v>
      </c>
      <c r="N163" s="55">
        <v>0.0</v>
      </c>
      <c r="O163" s="55">
        <v>0.0</v>
      </c>
      <c r="P163" s="55">
        <v>0.0</v>
      </c>
      <c r="Q163" s="55">
        <v>0.0</v>
      </c>
      <c r="R163" s="55">
        <v>0.0</v>
      </c>
      <c r="S163" s="172"/>
      <c r="T163" s="55">
        <v>0.0</v>
      </c>
      <c r="U163" s="55">
        <v>0.0</v>
      </c>
      <c r="V163" s="55">
        <v>0.0</v>
      </c>
      <c r="W163" s="46"/>
      <c r="X163" s="46"/>
      <c r="Y163" s="55"/>
      <c r="Z163" s="30"/>
    </row>
    <row r="164" ht="14.25" customHeight="1">
      <c r="A164" s="214">
        <v>2.0</v>
      </c>
      <c r="B164" s="70" t="s">
        <v>3242</v>
      </c>
      <c r="C164" s="47">
        <v>161.0</v>
      </c>
      <c r="D164" s="47">
        <v>2.0</v>
      </c>
      <c r="E164" s="288">
        <v>43692.0</v>
      </c>
      <c r="F164" s="156" t="str">
        <f>HYPERLINK("https://www.cnnindonesia.com/olahraga/20190814172516-142-421339/neymar-bukan-bintang-besar-barcelona ","sumber")</f>
        <v>sumber</v>
      </c>
      <c r="G164" s="274" t="s">
        <v>33</v>
      </c>
      <c r="H164" s="48" t="s">
        <v>3243</v>
      </c>
      <c r="I164" s="47">
        <v>2.0</v>
      </c>
      <c r="J164" s="47">
        <v>2.0</v>
      </c>
      <c r="K164" s="165"/>
      <c r="L164" s="48"/>
      <c r="M164" s="48"/>
      <c r="N164" s="48"/>
      <c r="O164" s="48"/>
      <c r="P164" s="48"/>
      <c r="Q164" s="48"/>
      <c r="R164" s="48"/>
      <c r="S164" s="165"/>
      <c r="T164" s="48"/>
      <c r="U164" s="48"/>
      <c r="V164" s="48"/>
      <c r="W164" s="48"/>
      <c r="X164" s="48"/>
      <c r="Y164" s="47"/>
      <c r="Z164" s="43"/>
    </row>
    <row r="165" ht="14.25" customHeight="1">
      <c r="A165" s="189">
        <v>1.0</v>
      </c>
      <c r="B165" s="77" t="s">
        <v>3244</v>
      </c>
      <c r="C165" s="55">
        <v>162.0</v>
      </c>
      <c r="D165" s="55">
        <v>7.0</v>
      </c>
      <c r="E165" s="289">
        <v>43685.0</v>
      </c>
      <c r="F165" s="171" t="str">
        <f>HYPERLINK("https://www.tribunnews.com/regional/2019/08/08/sebelum-ditemukan-tewas-gantung-diri-ilham-disebut-pernah-jadi-pasien-di-rsj-sambang-lihum ","sumber")</f>
        <v>sumber</v>
      </c>
      <c r="G165" s="277" t="s">
        <v>33</v>
      </c>
      <c r="H165" s="55">
        <v>183.0</v>
      </c>
      <c r="I165" s="55">
        <v>1.0</v>
      </c>
      <c r="J165" s="55">
        <v>2.0</v>
      </c>
      <c r="K165" s="172" t="s">
        <v>3245</v>
      </c>
      <c r="L165" s="55">
        <v>0.0</v>
      </c>
      <c r="M165" s="55">
        <v>-1.0</v>
      </c>
      <c r="N165" s="55">
        <v>0.0</v>
      </c>
      <c r="O165" s="55">
        <v>0.0</v>
      </c>
      <c r="P165" s="55">
        <v>0.0</v>
      </c>
      <c r="Q165" s="55" t="s">
        <v>61</v>
      </c>
      <c r="R165" s="55" t="s">
        <v>61</v>
      </c>
      <c r="S165" s="172"/>
      <c r="T165" s="55">
        <v>0.0</v>
      </c>
      <c r="U165" s="55">
        <v>-1.0</v>
      </c>
      <c r="V165" s="55">
        <v>0.0</v>
      </c>
      <c r="W165" s="46"/>
      <c r="X165" s="46"/>
      <c r="Y165" s="55"/>
      <c r="Z165" s="30"/>
    </row>
    <row r="166" ht="14.25" customHeight="1">
      <c r="A166" s="214">
        <v>2.0</v>
      </c>
      <c r="B166" s="285" t="s">
        <v>3246</v>
      </c>
      <c r="C166" s="47">
        <v>163.0</v>
      </c>
      <c r="D166" s="47">
        <v>5.0</v>
      </c>
      <c r="E166" s="288">
        <v>43695.0</v>
      </c>
      <c r="F166" s="156" t="str">
        <f>HYPERLINK("https://tirto.id/goo-hye-sun-dan-daftar-drama-korea-yang-pernah-dibintanginya-egvk","sumber")</f>
        <v>sumber</v>
      </c>
      <c r="G166" s="274" t="s">
        <v>33</v>
      </c>
      <c r="H166" s="48" t="s">
        <v>3247</v>
      </c>
      <c r="I166" s="47">
        <v>2.0</v>
      </c>
      <c r="J166" s="47">
        <v>2.0</v>
      </c>
      <c r="K166" s="165"/>
      <c r="L166" s="48"/>
      <c r="M166" s="48"/>
      <c r="N166" s="48"/>
      <c r="O166" s="48"/>
      <c r="P166" s="48"/>
      <c r="Q166" s="48"/>
      <c r="R166" s="48"/>
      <c r="S166" s="165"/>
      <c r="T166" s="48"/>
      <c r="U166" s="48"/>
      <c r="V166" s="48"/>
      <c r="W166" s="48"/>
      <c r="X166" s="48"/>
      <c r="Y166" s="47"/>
      <c r="Z166" s="43"/>
    </row>
    <row r="167" ht="14.25" customHeight="1">
      <c r="A167" s="214">
        <v>2.0</v>
      </c>
      <c r="B167" s="285" t="s">
        <v>3248</v>
      </c>
      <c r="C167" s="47">
        <v>164.0</v>
      </c>
      <c r="D167" s="47">
        <v>8.0</v>
      </c>
      <c r="E167" s="288">
        <v>43697.0</v>
      </c>
      <c r="F167" s="156" t="str">
        <f>HYPERLINK("https://www.suara.com/sport/2019/08/20/122829/andai-mcgregor-kembali-ke-ring-ufc-nate-diaz-siap-rematch ","sumber")</f>
        <v>sumber</v>
      </c>
      <c r="G167" s="274" t="s">
        <v>33</v>
      </c>
      <c r="H167" s="48" t="s">
        <v>3249</v>
      </c>
      <c r="I167" s="47">
        <v>2.0</v>
      </c>
      <c r="J167" s="47">
        <v>2.0</v>
      </c>
      <c r="K167" s="165"/>
      <c r="L167" s="48"/>
      <c r="M167" s="48"/>
      <c r="N167" s="48"/>
      <c r="O167" s="48"/>
      <c r="P167" s="48"/>
      <c r="Q167" s="48"/>
      <c r="R167" s="48"/>
      <c r="S167" s="165"/>
      <c r="T167" s="48"/>
      <c r="U167" s="48"/>
      <c r="V167" s="48"/>
      <c r="W167" s="48"/>
      <c r="X167" s="48"/>
      <c r="Y167" s="47"/>
      <c r="Z167" s="43"/>
    </row>
    <row r="168" ht="14.25" customHeight="1">
      <c r="A168" s="254">
        <v>1.0</v>
      </c>
      <c r="B168" s="68" t="s">
        <v>3250</v>
      </c>
      <c r="C168" s="55">
        <v>165.0</v>
      </c>
      <c r="D168" s="55">
        <v>3.0</v>
      </c>
      <c r="E168" s="296">
        <v>43701.0</v>
      </c>
      <c r="F168" s="171" t="str">
        <f>HYPERLINK("https://news.okezone.com/read/2019/08/24/525/2096070/ini-alasan-bapak-perkosa-anak-tirinya-yang-keterbelakangan-mental ","sumber")</f>
        <v>sumber</v>
      </c>
      <c r="G168" s="277" t="s">
        <v>33</v>
      </c>
      <c r="H168" s="55">
        <v>207.0</v>
      </c>
      <c r="I168" s="55">
        <v>1.0</v>
      </c>
      <c r="J168" s="55">
        <v>2.0</v>
      </c>
      <c r="K168" s="172" t="s">
        <v>3251</v>
      </c>
      <c r="L168" s="55">
        <v>0.0</v>
      </c>
      <c r="M168" s="55">
        <v>-1.0</v>
      </c>
      <c r="N168" s="55">
        <v>0.0</v>
      </c>
      <c r="O168" s="55">
        <v>-1.0</v>
      </c>
      <c r="P168" s="55">
        <v>0.0</v>
      </c>
      <c r="Q168" s="55">
        <v>0.0</v>
      </c>
      <c r="R168" s="55">
        <v>-1.0</v>
      </c>
      <c r="S168" s="172" t="s">
        <v>3252</v>
      </c>
      <c r="T168" s="55">
        <v>3.0</v>
      </c>
      <c r="U168" s="55">
        <v>-1.0</v>
      </c>
      <c r="V168" s="55">
        <v>0.0</v>
      </c>
      <c r="W168" s="46"/>
      <c r="X168" s="46"/>
      <c r="Y168" s="55"/>
      <c r="Z168" s="30"/>
    </row>
    <row r="169" ht="14.25" customHeight="1">
      <c r="A169" s="254">
        <v>1.0</v>
      </c>
      <c r="B169" s="68" t="s">
        <v>3253</v>
      </c>
      <c r="C169" s="55">
        <v>166.0</v>
      </c>
      <c r="D169" s="55">
        <v>10.0</v>
      </c>
      <c r="E169" s="289">
        <v>43694.0</v>
      </c>
      <c r="F169" s="171" t="str">
        <f>HYPERLINK("https://difabel.tempo.co/read/1237102/seperti-apa-upacara-bendera-hut-ri-17-agustus-ala-tunanetra ","sumber")</f>
        <v>sumber</v>
      </c>
      <c r="G169" s="277" t="s">
        <v>33</v>
      </c>
      <c r="H169" s="55">
        <v>273.0</v>
      </c>
      <c r="I169" s="55">
        <v>2.0</v>
      </c>
      <c r="J169" s="55">
        <v>2.0</v>
      </c>
      <c r="K169" s="172" t="s">
        <v>3254</v>
      </c>
      <c r="L169" s="55">
        <v>0.0</v>
      </c>
      <c r="M169" s="55">
        <v>0.0</v>
      </c>
      <c r="N169" s="55">
        <v>0.0</v>
      </c>
      <c r="O169" s="55">
        <v>0.0</v>
      </c>
      <c r="P169" s="55">
        <v>0.0</v>
      </c>
      <c r="Q169" s="55" t="s">
        <v>191</v>
      </c>
      <c r="R169" s="55" t="s">
        <v>61</v>
      </c>
      <c r="S169" s="172"/>
      <c r="T169" s="55">
        <v>0.0</v>
      </c>
      <c r="U169" s="55">
        <v>0.0</v>
      </c>
      <c r="V169" s="55">
        <v>0.0</v>
      </c>
      <c r="W169" s="46"/>
      <c r="X169" s="46"/>
      <c r="Y169" s="55"/>
      <c r="Z169" s="30"/>
    </row>
    <row r="170" ht="14.25" customHeight="1">
      <c r="A170" s="282">
        <v>1.0</v>
      </c>
      <c r="B170" s="283" t="s">
        <v>3255</v>
      </c>
      <c r="C170" s="44">
        <v>167.0</v>
      </c>
      <c r="D170" s="44">
        <v>7.0</v>
      </c>
      <c r="E170" s="287">
        <v>43702.0</v>
      </c>
      <c r="F170" s="162" t="str">
        <f>HYPERLINK("https://www.tribunnews.com/seleb/2019/08/25/dian-sastrowardoyo-ceritakan-soal-anaknya-yang-meraung-raung-di-sekolah-sekuriti-ikut-turun-tangan ","sumber")</f>
        <v>sumber</v>
      </c>
      <c r="G170" s="269" t="s">
        <v>33</v>
      </c>
      <c r="H170" s="45" t="s">
        <v>3064</v>
      </c>
      <c r="I170" s="44">
        <v>2.0</v>
      </c>
      <c r="J170" s="44">
        <v>2.0</v>
      </c>
      <c r="K170" s="164" t="s">
        <v>3256</v>
      </c>
      <c r="L170" s="44">
        <v>0.0</v>
      </c>
      <c r="M170" s="44">
        <v>0.0</v>
      </c>
      <c r="N170" s="44">
        <v>0.0</v>
      </c>
      <c r="O170" s="44">
        <v>0.0</v>
      </c>
      <c r="P170" s="44">
        <v>0.0</v>
      </c>
      <c r="Q170" s="44">
        <v>0.0</v>
      </c>
      <c r="R170" s="44">
        <v>0.0</v>
      </c>
      <c r="S170" s="164" t="s">
        <v>3257</v>
      </c>
      <c r="T170" s="44">
        <v>1.0</v>
      </c>
      <c r="U170" s="44">
        <v>0.0</v>
      </c>
      <c r="V170" s="44">
        <v>0.0</v>
      </c>
      <c r="W170" s="45"/>
      <c r="X170" s="45"/>
      <c r="Y170" s="45"/>
      <c r="Z170" s="9"/>
    </row>
    <row r="171" ht="14.25" customHeight="1">
      <c r="A171" s="282">
        <v>1.0</v>
      </c>
      <c r="B171" s="283" t="s">
        <v>3258</v>
      </c>
      <c r="C171" s="44">
        <v>168.0</v>
      </c>
      <c r="D171" s="44">
        <v>6.0</v>
      </c>
      <c r="E171" s="287">
        <v>43703.0</v>
      </c>
      <c r="F171" s="162" t="str">
        <f>HYPERLINK("https://regional.kompas.com/read/2019/08/26/08354341/kisah-haru-penyandang-disabilitas-kibarkan-sang-merah-putih-di-dalam-laut ","sumber")</f>
        <v>sumber</v>
      </c>
      <c r="G171" s="269" t="s">
        <v>33</v>
      </c>
      <c r="H171" s="45" t="s">
        <v>3259</v>
      </c>
      <c r="I171" s="44">
        <v>3.0</v>
      </c>
      <c r="J171" s="44">
        <v>2.0</v>
      </c>
      <c r="K171" s="164" t="s">
        <v>3260</v>
      </c>
      <c r="L171" s="44">
        <v>0.0</v>
      </c>
      <c r="M171" s="44">
        <v>0.0</v>
      </c>
      <c r="N171" s="44">
        <v>0.0</v>
      </c>
      <c r="O171" s="44">
        <v>0.0</v>
      </c>
      <c r="P171" s="44">
        <v>0.0</v>
      </c>
      <c r="Q171" s="44" t="s">
        <v>3261</v>
      </c>
      <c r="R171" s="44" t="s">
        <v>700</v>
      </c>
      <c r="S171" s="175"/>
      <c r="T171" s="44">
        <v>0.0</v>
      </c>
      <c r="U171" s="44">
        <v>0.0</v>
      </c>
      <c r="V171" s="44">
        <v>0.0</v>
      </c>
      <c r="W171" s="45"/>
      <c r="X171" s="45"/>
      <c r="Y171" s="45"/>
      <c r="Z171" s="9"/>
    </row>
    <row r="172" ht="14.25" customHeight="1">
      <c r="A172" s="297">
        <v>2.0</v>
      </c>
      <c r="B172" s="283" t="s">
        <v>1389</v>
      </c>
      <c r="C172" s="44">
        <v>169.0</v>
      </c>
      <c r="D172" s="44">
        <v>1.0</v>
      </c>
      <c r="E172" s="287">
        <v>43705.0</v>
      </c>
      <c r="F172" s="162" t="str">
        <f>HYPERLINK("https://news.detik.com/berita/d-4684591/bpjs-tk-sebut-57-kematian-pekerja-terjadi-akibat-kecelakaan-lalin ","sumber")</f>
        <v>sumber</v>
      </c>
      <c r="G172" s="269" t="s">
        <v>33</v>
      </c>
      <c r="H172" s="45" t="s">
        <v>3262</v>
      </c>
      <c r="I172" s="44">
        <v>3.0</v>
      </c>
      <c r="J172" s="44">
        <v>2.0</v>
      </c>
      <c r="K172" s="164" t="s">
        <v>3263</v>
      </c>
      <c r="L172" s="44">
        <v>0.0</v>
      </c>
      <c r="M172" s="44">
        <v>0.0</v>
      </c>
      <c r="N172" s="44">
        <v>0.0</v>
      </c>
      <c r="O172" s="44">
        <v>0.0</v>
      </c>
      <c r="P172" s="44">
        <v>0.0</v>
      </c>
      <c r="Q172" s="44" t="s">
        <v>53</v>
      </c>
      <c r="R172" s="44" t="s">
        <v>53</v>
      </c>
      <c r="S172" s="164" t="s">
        <v>1212</v>
      </c>
      <c r="T172" s="44">
        <v>1.0</v>
      </c>
      <c r="U172" s="45"/>
      <c r="V172" s="45"/>
      <c r="W172" s="45"/>
      <c r="X172" s="45"/>
      <c r="Y172" s="45"/>
      <c r="Z172" s="9"/>
    </row>
    <row r="173" ht="14.25" customHeight="1">
      <c r="A173" s="214">
        <v>2.0</v>
      </c>
      <c r="B173" s="285" t="s">
        <v>3264</v>
      </c>
      <c r="C173" s="47">
        <v>170.0</v>
      </c>
      <c r="D173" s="47">
        <v>4.0</v>
      </c>
      <c r="E173" s="288">
        <v>43705.0</v>
      </c>
      <c r="F173" s="156" t="str">
        <f>HYPERLINK("https://www.liputan6.com/lifestyle/read/4048222/kisah-perempuan-inggris-yang-memakai-gaun-pengantin-sepanjang-tahun","sumber")</f>
        <v>sumber</v>
      </c>
      <c r="G173" s="274" t="s">
        <v>33</v>
      </c>
      <c r="H173" s="48" t="s">
        <v>2961</v>
      </c>
      <c r="I173" s="47">
        <v>2.0</v>
      </c>
      <c r="J173" s="47">
        <v>2.0</v>
      </c>
      <c r="K173" s="157"/>
      <c r="L173" s="48"/>
      <c r="M173" s="48"/>
      <c r="N173" s="48"/>
      <c r="O173" s="48"/>
      <c r="P173" s="48"/>
      <c r="Q173" s="48"/>
      <c r="R173" s="48"/>
      <c r="S173" s="165"/>
      <c r="T173" s="48"/>
      <c r="U173" s="48"/>
      <c r="V173" s="48"/>
      <c r="W173" s="48"/>
      <c r="X173" s="48"/>
      <c r="Y173" s="48"/>
      <c r="Z173" s="51"/>
    </row>
    <row r="174" ht="14.25" customHeight="1">
      <c r="A174" s="214">
        <v>2.0</v>
      </c>
      <c r="B174" s="285" t="s">
        <v>3265</v>
      </c>
      <c r="C174" s="47">
        <v>171.0</v>
      </c>
      <c r="D174" s="47">
        <v>9.0</v>
      </c>
      <c r="E174" s="288">
        <v>43706.0</v>
      </c>
      <c r="F174" s="156" t="str">
        <f>HYPERLINK("https://republika.co.id/berita/pwz3ic0/mewah-nan-mahal-4-bos-teknologi-ini-punya-rumah-harga-triliunan ","sumber")</f>
        <v>sumber</v>
      </c>
      <c r="G174" s="274" t="s">
        <v>33</v>
      </c>
      <c r="H174" s="48" t="s">
        <v>3266</v>
      </c>
      <c r="I174" s="47">
        <v>2.0</v>
      </c>
      <c r="J174" s="47">
        <v>2.0</v>
      </c>
      <c r="K174" s="165"/>
      <c r="L174" s="48"/>
      <c r="M174" s="48"/>
      <c r="N174" s="48"/>
      <c r="O174" s="48"/>
      <c r="P174" s="48"/>
      <c r="Q174" s="48"/>
      <c r="R174" s="48"/>
      <c r="S174" s="165"/>
      <c r="T174" s="48"/>
      <c r="U174" s="48"/>
      <c r="V174" s="48"/>
      <c r="W174" s="48"/>
      <c r="X174" s="48"/>
      <c r="Y174" s="47"/>
      <c r="Z174" s="43"/>
    </row>
    <row r="175" ht="14.25" customHeight="1">
      <c r="A175" s="189">
        <v>1.0</v>
      </c>
      <c r="B175" s="68" t="s">
        <v>2287</v>
      </c>
      <c r="C175" s="55">
        <v>172.0</v>
      </c>
      <c r="D175" s="55">
        <v>5.0</v>
      </c>
      <c r="E175" s="289">
        <v>43701.0</v>
      </c>
      <c r="F175" s="171" t="str">
        <f>HYPERLINK("https://tirto.id/alasan-lion-soal-penumpang-difabel-diturunkan-dari-pesawat-wings-egWG ","sumber")</f>
        <v>sumber</v>
      </c>
      <c r="G175" s="277" t="s">
        <v>33</v>
      </c>
      <c r="H175" s="46" t="s">
        <v>3267</v>
      </c>
      <c r="I175" s="55">
        <v>1.0</v>
      </c>
      <c r="J175" s="55">
        <v>2.0</v>
      </c>
      <c r="K175" s="55" t="s">
        <v>3268</v>
      </c>
      <c r="L175" s="55">
        <v>0.0</v>
      </c>
      <c r="M175" s="55">
        <v>-1.0</v>
      </c>
      <c r="N175" s="55">
        <v>0.0</v>
      </c>
      <c r="O175" s="55">
        <v>0.0</v>
      </c>
      <c r="P175" s="55">
        <v>0.0</v>
      </c>
      <c r="Q175" s="55">
        <v>0.0</v>
      </c>
      <c r="R175" s="55">
        <v>0.0</v>
      </c>
      <c r="S175" s="172"/>
      <c r="T175" s="55">
        <v>0.0</v>
      </c>
      <c r="U175" s="55">
        <v>0.0</v>
      </c>
      <c r="V175" s="55">
        <v>0.0</v>
      </c>
      <c r="W175" s="46"/>
      <c r="X175" s="46"/>
      <c r="Y175" s="55"/>
      <c r="Z175" s="30"/>
    </row>
    <row r="176" ht="14.25" customHeight="1">
      <c r="A176" s="214">
        <v>2.0</v>
      </c>
      <c r="B176" s="285" t="s">
        <v>3269</v>
      </c>
      <c r="C176" s="47">
        <v>173.0</v>
      </c>
      <c r="D176" s="47">
        <v>5.0</v>
      </c>
      <c r="E176" s="288">
        <v>43709.0</v>
      </c>
      <c r="F176" s="156" t="str">
        <f>HYPERLINK("https://tirto.id/live-streaming-indosiar-psm-vs-persela-1-september-2019-ehlV ","sumber")</f>
        <v>sumber</v>
      </c>
      <c r="G176" s="274" t="s">
        <v>33</v>
      </c>
      <c r="H176" s="48" t="s">
        <v>3270</v>
      </c>
      <c r="I176" s="47">
        <v>2.0</v>
      </c>
      <c r="J176" s="47">
        <v>2.0</v>
      </c>
      <c r="K176" s="165"/>
      <c r="L176" s="48"/>
      <c r="M176" s="48"/>
      <c r="N176" s="48"/>
      <c r="O176" s="48"/>
      <c r="P176" s="48"/>
      <c r="Q176" s="48"/>
      <c r="R176" s="48"/>
      <c r="S176" s="165"/>
      <c r="T176" s="48"/>
      <c r="U176" s="48"/>
      <c r="V176" s="48"/>
      <c r="W176" s="48"/>
      <c r="X176" s="48"/>
      <c r="Y176" s="47"/>
      <c r="Z176" s="43"/>
    </row>
    <row r="177" ht="14.25" customHeight="1">
      <c r="A177" s="214">
        <v>2.0</v>
      </c>
      <c r="B177" s="285" t="s">
        <v>3271</v>
      </c>
      <c r="C177" s="47">
        <v>174.0</v>
      </c>
      <c r="D177" s="47">
        <v>2.0</v>
      </c>
      <c r="E177" s="288">
        <v>43710.0</v>
      </c>
      <c r="F177" s="156" t="str">
        <f>HYPERLINK("https://www.cnnindonesia.com/nasional/20190902125503-12-426794/gagal-jadi-cpns-261-lulusan-skd-gugat-menpan-rp39-m ","sumber")</f>
        <v>sumber</v>
      </c>
      <c r="G177" s="274" t="s">
        <v>33</v>
      </c>
      <c r="H177" s="48" t="s">
        <v>3208</v>
      </c>
      <c r="I177" s="47">
        <v>1.0</v>
      </c>
      <c r="J177" s="47">
        <v>2.0</v>
      </c>
      <c r="K177" s="165"/>
      <c r="L177" s="48"/>
      <c r="M177" s="48"/>
      <c r="N177" s="48"/>
      <c r="O177" s="48"/>
      <c r="P177" s="48"/>
      <c r="Q177" s="48"/>
      <c r="R177" s="48"/>
      <c r="S177" s="165"/>
      <c r="T177" s="48"/>
      <c r="U177" s="48"/>
      <c r="V177" s="48"/>
      <c r="W177" s="48"/>
      <c r="X177" s="48"/>
      <c r="Y177" s="47"/>
      <c r="Z177" s="43"/>
    </row>
    <row r="178" ht="14.25" customHeight="1">
      <c r="A178" s="214">
        <v>2.0</v>
      </c>
      <c r="B178" s="285" t="s">
        <v>3272</v>
      </c>
      <c r="C178" s="47">
        <v>175.0</v>
      </c>
      <c r="D178" s="47">
        <v>3.0</v>
      </c>
      <c r="E178" s="288">
        <v>43710.0</v>
      </c>
      <c r="F178" s="156" t="str">
        <f>HYPERLINK("https://nasional.okezone.com/read/2019/09/02/337/2099607/masinton-pasaribu-kpk-ke-depan-harus-sehat-pansel-sudah-bekerja-dengan-baik ","sumber")</f>
        <v>sumber</v>
      </c>
      <c r="G178" s="274" t="s">
        <v>33</v>
      </c>
      <c r="H178" s="48" t="s">
        <v>2890</v>
      </c>
      <c r="I178" s="47">
        <v>2.0</v>
      </c>
      <c r="J178" s="47">
        <v>2.0</v>
      </c>
      <c r="K178" s="165"/>
      <c r="L178" s="48"/>
      <c r="M178" s="48"/>
      <c r="N178" s="48"/>
      <c r="O178" s="48"/>
      <c r="P178" s="48"/>
      <c r="Q178" s="48"/>
      <c r="R178" s="48"/>
      <c r="S178" s="165"/>
      <c r="T178" s="48"/>
      <c r="U178" s="48"/>
      <c r="V178" s="48"/>
      <c r="W178" s="48"/>
      <c r="X178" s="48"/>
      <c r="Y178" s="47"/>
      <c r="Z178" s="43"/>
    </row>
    <row r="179" ht="14.25" customHeight="1">
      <c r="A179" s="282">
        <v>1.0</v>
      </c>
      <c r="B179" s="283" t="s">
        <v>3273</v>
      </c>
      <c r="C179" s="44">
        <v>176.0</v>
      </c>
      <c r="D179" s="44">
        <v>4.0</v>
      </c>
      <c r="E179" s="287">
        <v>43711.0</v>
      </c>
      <c r="F179" s="162" t="str">
        <f>HYPERLINK("https://www.liputan6.com/news/read/4053631/anies-baswedan-akui-kalau-jakarta-dibilang-kurang-ini-itu","sumber")</f>
        <v>sumber</v>
      </c>
      <c r="G179" s="269" t="s">
        <v>33</v>
      </c>
      <c r="H179" s="45" t="s">
        <v>3274</v>
      </c>
      <c r="I179" s="44">
        <v>3.0</v>
      </c>
      <c r="J179" s="44">
        <v>2.0</v>
      </c>
      <c r="K179" s="164" t="s">
        <v>3275</v>
      </c>
      <c r="L179" s="44">
        <v>0.0</v>
      </c>
      <c r="M179" s="44">
        <v>0.0</v>
      </c>
      <c r="N179" s="44">
        <v>0.0</v>
      </c>
      <c r="O179" s="44">
        <v>0.0</v>
      </c>
      <c r="P179" s="44">
        <v>0.0</v>
      </c>
      <c r="Q179" s="44">
        <v>0.0</v>
      </c>
      <c r="R179" s="44">
        <v>1.0</v>
      </c>
      <c r="S179" s="175"/>
      <c r="T179" s="44">
        <v>0.0</v>
      </c>
      <c r="U179" s="44">
        <v>0.0</v>
      </c>
      <c r="V179" s="44">
        <v>0.0</v>
      </c>
      <c r="W179" s="45"/>
      <c r="X179" s="45"/>
      <c r="Y179" s="45"/>
      <c r="Z179" s="9"/>
    </row>
    <row r="180" ht="14.25" customHeight="1">
      <c r="A180" s="214">
        <v>2.0</v>
      </c>
      <c r="B180" s="285" t="s">
        <v>3276</v>
      </c>
      <c r="C180" s="47">
        <v>177.0</v>
      </c>
      <c r="D180" s="47">
        <v>5.0</v>
      </c>
      <c r="E180" s="288">
        <v>43711.0</v>
      </c>
      <c r="F180" s="156" t="str">
        <f>HYPERLINK("https://tirto.id/fadli-zon-sebut-pemindahan-ibukota-ideal-berlangsung-10-15-tahun-ehr4","sumber")</f>
        <v>sumber</v>
      </c>
      <c r="G180" s="274" t="s">
        <v>33</v>
      </c>
      <c r="H180" s="48" t="s">
        <v>3277</v>
      </c>
      <c r="I180" s="47">
        <v>4.0</v>
      </c>
      <c r="J180" s="47">
        <v>2.0</v>
      </c>
      <c r="K180" s="165"/>
      <c r="L180" s="48"/>
      <c r="M180" s="48"/>
      <c r="N180" s="48"/>
      <c r="O180" s="48"/>
      <c r="P180" s="48"/>
      <c r="Q180" s="48"/>
      <c r="R180" s="48"/>
      <c r="S180" s="165"/>
      <c r="T180" s="48"/>
      <c r="U180" s="48"/>
      <c r="V180" s="48"/>
      <c r="W180" s="48"/>
      <c r="X180" s="48"/>
      <c r="Y180" s="47"/>
      <c r="Z180" s="43"/>
    </row>
    <row r="181" ht="14.25" customHeight="1">
      <c r="A181" s="254">
        <v>1.0</v>
      </c>
      <c r="B181" s="68" t="s">
        <v>675</v>
      </c>
      <c r="C181" s="55">
        <v>178.0</v>
      </c>
      <c r="D181" s="55">
        <v>6.0</v>
      </c>
      <c r="E181" s="296">
        <v>43712.0</v>
      </c>
      <c r="F181" s="171" t="str">
        <f>HYPERLINK("https://sains.kompas.com/read/2019/09/04/061100223/memahami-gifted-dan-berkebutuhan-khusus-lewat-maria-clara-yubilea ","sumber")</f>
        <v>sumber</v>
      </c>
      <c r="G181" s="277" t="s">
        <v>33</v>
      </c>
      <c r="H181" s="55">
        <v>238.0</v>
      </c>
      <c r="I181" s="55">
        <v>2.0</v>
      </c>
      <c r="J181" s="55">
        <v>2.0</v>
      </c>
      <c r="K181" s="172" t="s">
        <v>3278</v>
      </c>
      <c r="L181" s="55">
        <v>0.0</v>
      </c>
      <c r="M181" s="55">
        <v>1.0</v>
      </c>
      <c r="N181" s="55">
        <v>0.0</v>
      </c>
      <c r="O181" s="55">
        <v>0.0</v>
      </c>
      <c r="P181" s="55">
        <v>0.0</v>
      </c>
      <c r="Q181" s="172" t="s">
        <v>3279</v>
      </c>
      <c r="R181" s="172" t="s">
        <v>3280</v>
      </c>
      <c r="S181" s="172"/>
      <c r="T181" s="55">
        <v>0.0</v>
      </c>
      <c r="U181" s="55">
        <v>0.0</v>
      </c>
      <c r="V181" s="55">
        <v>0.0</v>
      </c>
      <c r="W181" s="46"/>
      <c r="X181" s="46"/>
      <c r="Y181" s="55"/>
      <c r="Z181" s="30"/>
    </row>
    <row r="182" ht="14.25" customHeight="1">
      <c r="A182" s="282">
        <v>1.0</v>
      </c>
      <c r="B182" s="283" t="s">
        <v>3281</v>
      </c>
      <c r="C182" s="44">
        <v>179.0</v>
      </c>
      <c r="D182" s="44">
        <v>8.0</v>
      </c>
      <c r="E182" s="287">
        <v>43731.0</v>
      </c>
      <c r="F182" s="162" t="str">
        <f>HYPERLINK("https://www.suara.com/lifestyle/2019/09/23/184031/haru-ini-isi-surat-dari-pramugari-untuk-penumpang-tuna-rungu ","sumber")</f>
        <v>sumber</v>
      </c>
      <c r="G182" s="269" t="s">
        <v>33</v>
      </c>
      <c r="H182" s="45" t="s">
        <v>3282</v>
      </c>
      <c r="I182" s="44">
        <v>2.0</v>
      </c>
      <c r="J182" s="44">
        <v>2.0</v>
      </c>
      <c r="K182" s="164" t="s">
        <v>3283</v>
      </c>
      <c r="L182" s="44">
        <v>0.0</v>
      </c>
      <c r="M182" s="44">
        <v>0.0</v>
      </c>
      <c r="N182" s="44">
        <v>0.0</v>
      </c>
      <c r="O182" s="44">
        <v>0.0</v>
      </c>
      <c r="P182" s="44">
        <v>0.0</v>
      </c>
      <c r="Q182" s="44" t="s">
        <v>119</v>
      </c>
      <c r="R182" s="44" t="s">
        <v>192</v>
      </c>
      <c r="S182" s="175"/>
      <c r="T182" s="44">
        <v>0.0</v>
      </c>
      <c r="U182" s="44">
        <v>0.0</v>
      </c>
      <c r="V182" s="44">
        <v>0.0</v>
      </c>
      <c r="W182" s="45"/>
      <c r="X182" s="45"/>
      <c r="Y182" s="45"/>
      <c r="Z182" s="9"/>
    </row>
    <row r="183" ht="14.25" customHeight="1">
      <c r="A183" s="297">
        <v>2.0</v>
      </c>
      <c r="B183" s="283" t="s">
        <v>679</v>
      </c>
      <c r="C183" s="44">
        <v>180.0</v>
      </c>
      <c r="D183" s="44">
        <v>7.0</v>
      </c>
      <c r="E183" s="287">
        <v>43734.0</v>
      </c>
      <c r="F183" s="162" t="str">
        <f>HYPERLINK("https://www.tribunnews.com/nasional/2019/09/26/update-cpns-2019-dibuka-197111-formasi-pendaftaran-mulai-oktober-tes-skb-bulan-desember","sumber")</f>
        <v>sumber</v>
      </c>
      <c r="G183" s="269" t="s">
        <v>33</v>
      </c>
      <c r="H183" s="45" t="s">
        <v>3284</v>
      </c>
      <c r="I183" s="44">
        <v>2.0</v>
      </c>
      <c r="J183" s="44">
        <v>2.0</v>
      </c>
      <c r="K183" s="164" t="s">
        <v>3285</v>
      </c>
      <c r="L183" s="44">
        <v>0.0</v>
      </c>
      <c r="M183" s="44">
        <v>0.0</v>
      </c>
      <c r="N183" s="44">
        <v>0.0</v>
      </c>
      <c r="O183" s="44">
        <v>0.0</v>
      </c>
      <c r="P183" s="44">
        <v>0.0</v>
      </c>
      <c r="Q183" s="44" t="s">
        <v>61</v>
      </c>
      <c r="R183" s="44" t="s">
        <v>100</v>
      </c>
      <c r="S183" s="175"/>
      <c r="T183" s="44">
        <v>0.0</v>
      </c>
      <c r="U183" s="45"/>
      <c r="V183" s="45"/>
      <c r="W183" s="45"/>
      <c r="X183" s="45"/>
      <c r="Y183" s="45"/>
      <c r="Z183" s="9"/>
    </row>
    <row r="184" ht="14.25" customHeight="1">
      <c r="A184" s="214">
        <v>2.0</v>
      </c>
      <c r="B184" s="285" t="s">
        <v>3286</v>
      </c>
      <c r="C184" s="47">
        <v>181.0</v>
      </c>
      <c r="D184" s="47">
        <v>2.0</v>
      </c>
      <c r="E184" s="288">
        <v>43736.0</v>
      </c>
      <c r="F184" s="156" t="str">
        <f>HYPERLINK("https://www.cnnindonesia.com/gaya-hidup/20190927081212-255-434511/canberra-jadi-kota-pertama-australia-yang-legalkan-ganja ","sumber")</f>
        <v>sumber</v>
      </c>
      <c r="G184" s="274" t="s">
        <v>33</v>
      </c>
      <c r="H184" s="48" t="s">
        <v>3287</v>
      </c>
      <c r="I184" s="47">
        <v>2.0</v>
      </c>
      <c r="J184" s="47">
        <v>2.0</v>
      </c>
      <c r="K184" s="165"/>
      <c r="L184" s="48"/>
      <c r="M184" s="48"/>
      <c r="N184" s="48"/>
      <c r="O184" s="48"/>
      <c r="P184" s="48"/>
      <c r="Q184" s="48"/>
      <c r="R184" s="48"/>
      <c r="S184" s="165"/>
      <c r="T184" s="48"/>
      <c r="U184" s="48"/>
      <c r="V184" s="48"/>
      <c r="W184" s="48"/>
      <c r="X184" s="48"/>
      <c r="Y184" s="47"/>
      <c r="Z184" s="43"/>
    </row>
    <row r="185" ht="14.25" customHeight="1">
      <c r="A185" s="282">
        <v>1.0</v>
      </c>
      <c r="B185" s="283" t="s">
        <v>3288</v>
      </c>
      <c r="C185" s="44">
        <v>182.0</v>
      </c>
      <c r="D185" s="44">
        <v>1.0</v>
      </c>
      <c r="E185" s="287">
        <v>43736.0</v>
      </c>
      <c r="F185" s="162" t="str">
        <f>HYPERLINK("https://health.detik.com/berita-detikhealth/d-4725313/fenomena-kena-santet-padahal-alami-gangguan-kejiwaan","sumber")</f>
        <v>sumber</v>
      </c>
      <c r="G185" s="269" t="s">
        <v>33</v>
      </c>
      <c r="H185" s="45" t="s">
        <v>3289</v>
      </c>
      <c r="I185" s="44">
        <v>2.0</v>
      </c>
      <c r="J185" s="44">
        <v>2.0</v>
      </c>
      <c r="K185" s="44" t="s">
        <v>3290</v>
      </c>
      <c r="L185" s="44">
        <v>0.0</v>
      </c>
      <c r="M185" s="44">
        <v>0.0</v>
      </c>
      <c r="N185" s="44">
        <v>0.0</v>
      </c>
      <c r="O185" s="44">
        <v>0.0</v>
      </c>
      <c r="P185" s="44">
        <v>0.0</v>
      </c>
      <c r="Q185" s="44">
        <v>0.0</v>
      </c>
      <c r="R185" s="44">
        <v>1.0</v>
      </c>
      <c r="S185" s="175"/>
      <c r="T185" s="44">
        <v>0.0</v>
      </c>
      <c r="U185" s="44">
        <v>0.0</v>
      </c>
      <c r="V185" s="44">
        <v>0.0</v>
      </c>
      <c r="W185" s="45"/>
      <c r="X185" s="45"/>
      <c r="Y185" s="45"/>
      <c r="Z185" s="9"/>
    </row>
    <row r="186" ht="14.25" customHeight="1">
      <c r="A186" s="214">
        <v>2.0</v>
      </c>
      <c r="B186" s="285" t="s">
        <v>3291</v>
      </c>
      <c r="C186" s="47">
        <v>183.0</v>
      </c>
      <c r="D186" s="47">
        <v>7.0</v>
      </c>
      <c r="E186" s="288">
        <v>43736.0</v>
      </c>
      <c r="F186" s="156" t="str">
        <f>HYPERLINK("https://www.tribunnews.com/seleb/2019/09/28/5-film-indonesia-siap-tayang-oktober-2019-dari-cinta-itu-buta-hingga-ajari-aku-islam ","sumber")</f>
        <v>sumber</v>
      </c>
      <c r="G186" s="274" t="s">
        <v>33</v>
      </c>
      <c r="H186" s="48" t="s">
        <v>3292</v>
      </c>
      <c r="I186" s="47">
        <v>5.0</v>
      </c>
      <c r="J186" s="47">
        <v>2.0</v>
      </c>
      <c r="K186" s="157"/>
      <c r="L186" s="48"/>
      <c r="M186" s="48"/>
      <c r="N186" s="48"/>
      <c r="O186" s="48"/>
      <c r="P186" s="48"/>
      <c r="Q186" s="48"/>
      <c r="R186" s="48"/>
      <c r="S186" s="165"/>
      <c r="T186" s="48"/>
      <c r="U186" s="48"/>
      <c r="V186" s="48"/>
      <c r="W186" s="48"/>
      <c r="X186" s="48"/>
      <c r="Y186" s="47"/>
      <c r="Z186" s="43"/>
    </row>
    <row r="187" ht="14.25" customHeight="1">
      <c r="A187" s="214">
        <v>2.0</v>
      </c>
      <c r="B187" s="285" t="s">
        <v>3293</v>
      </c>
      <c r="C187" s="47">
        <v>184.0</v>
      </c>
      <c r="D187" s="47">
        <v>1.0</v>
      </c>
      <c r="E187" s="288">
        <v>43737.0</v>
      </c>
      <c r="F187" s="156" t="str">
        <f>HYPERLINK("https://sport.detik.com/f1/d-4726056/hamilton-ferrari-punya-mode-jet ","sumber")</f>
        <v>sumber</v>
      </c>
      <c r="G187" s="274" t="s">
        <v>33</v>
      </c>
      <c r="H187" s="48" t="s">
        <v>3120</v>
      </c>
      <c r="I187" s="47">
        <v>5.0</v>
      </c>
      <c r="J187" s="47">
        <v>2.0</v>
      </c>
      <c r="K187" s="157"/>
      <c r="L187" s="48"/>
      <c r="M187" s="48"/>
      <c r="N187" s="48"/>
      <c r="O187" s="48"/>
      <c r="P187" s="48"/>
      <c r="Q187" s="48"/>
      <c r="R187" s="48"/>
      <c r="S187" s="165"/>
      <c r="T187" s="48"/>
      <c r="U187" s="48"/>
      <c r="V187" s="48"/>
      <c r="W187" s="48"/>
      <c r="X187" s="48"/>
      <c r="Y187" s="47"/>
      <c r="Z187" s="43"/>
    </row>
    <row r="188" ht="14.25" customHeight="1">
      <c r="A188" s="254">
        <v>1.0</v>
      </c>
      <c r="B188" s="68" t="s">
        <v>3294</v>
      </c>
      <c r="C188" s="55">
        <v>185.0</v>
      </c>
      <c r="D188" s="55">
        <v>10.0</v>
      </c>
      <c r="E188" s="289">
        <v>43487.0</v>
      </c>
      <c r="F188" s="171" t="str">
        <f>HYPERLINK("https://dunia.tempo.co/read/1167582/presenter-tv-mesir-divonis-kerja-paksa-usai-wawancara-homoseksual ","sumber")</f>
        <v>sumber</v>
      </c>
      <c r="G188" s="277" t="s">
        <v>33</v>
      </c>
      <c r="H188" s="55">
        <v>275.0</v>
      </c>
      <c r="I188" s="55">
        <v>1.0</v>
      </c>
      <c r="J188" s="55">
        <v>3.0</v>
      </c>
      <c r="K188" s="172" t="s">
        <v>3295</v>
      </c>
      <c r="L188" s="55">
        <v>0.0</v>
      </c>
      <c r="M188" s="188">
        <v>0.0</v>
      </c>
      <c r="N188" s="55">
        <v>0.0</v>
      </c>
      <c r="O188" s="55">
        <v>0.0</v>
      </c>
      <c r="P188" s="55">
        <v>0.0</v>
      </c>
      <c r="Q188" s="55">
        <v>0.0</v>
      </c>
      <c r="R188" s="55">
        <v>-1.0</v>
      </c>
      <c r="S188" s="172"/>
      <c r="T188" s="55">
        <v>0.0</v>
      </c>
      <c r="U188" s="55">
        <v>0.0</v>
      </c>
      <c r="V188" s="55">
        <v>0.0</v>
      </c>
      <c r="W188" s="46"/>
      <c r="X188" s="46"/>
      <c r="Y188" s="55"/>
      <c r="Z188" s="30"/>
    </row>
    <row r="189" ht="14.25" customHeight="1">
      <c r="A189" s="254">
        <v>1.0</v>
      </c>
      <c r="B189" s="68" t="s">
        <v>2773</v>
      </c>
      <c r="C189" s="55">
        <v>186.0</v>
      </c>
      <c r="D189" s="55">
        <v>2.0</v>
      </c>
      <c r="E189" s="296">
        <v>43470.0</v>
      </c>
      <c r="F189" s="171" t="str">
        <f>HYPERLINK("https://www.cnnindonesia.com/nasional/20190112002154-32-360314/debat-capres-kontras-minta-calon-sampaikan-sikap-terkait-pki ","sumber")</f>
        <v>sumber</v>
      </c>
      <c r="G189" s="277" t="s">
        <v>33</v>
      </c>
      <c r="H189" s="55">
        <v>386.0</v>
      </c>
      <c r="I189" s="55">
        <v>4.0</v>
      </c>
      <c r="J189" s="55">
        <v>3.0</v>
      </c>
      <c r="K189" s="172" t="s">
        <v>1095</v>
      </c>
      <c r="L189" s="55">
        <v>0.0</v>
      </c>
      <c r="M189" s="55">
        <v>0.0</v>
      </c>
      <c r="N189" s="55">
        <v>0.0</v>
      </c>
      <c r="O189" s="55">
        <v>0.0</v>
      </c>
      <c r="P189" s="55">
        <v>0.0</v>
      </c>
      <c r="Q189" s="55">
        <v>1.0</v>
      </c>
      <c r="R189" s="55">
        <v>1.0</v>
      </c>
      <c r="S189" s="172"/>
      <c r="T189" s="55">
        <v>0.0</v>
      </c>
      <c r="U189" s="55">
        <v>0.0</v>
      </c>
      <c r="V189" s="55">
        <v>0.0</v>
      </c>
      <c r="W189" s="46"/>
      <c r="X189" s="46"/>
      <c r="Y189" s="55"/>
      <c r="Z189" s="30"/>
    </row>
    <row r="190" ht="14.25" customHeight="1">
      <c r="A190" s="282">
        <v>1.0</v>
      </c>
      <c r="B190" s="283" t="s">
        <v>3296</v>
      </c>
      <c r="C190" s="44">
        <v>187.0</v>
      </c>
      <c r="D190" s="44">
        <v>2.0</v>
      </c>
      <c r="E190" s="287">
        <v>43471.0</v>
      </c>
      <c r="F190" s="162" t="str">
        <f>HYPERLINK("https://www.cnnindonesia.com/nasional/20190106143036-12-358787/wali-kota-depok-minta-warga-laporkan-kegiatan-lgbt","sumber")</f>
        <v>sumber</v>
      </c>
      <c r="G190" s="269" t="s">
        <v>33</v>
      </c>
      <c r="H190" s="45" t="s">
        <v>3297</v>
      </c>
      <c r="I190" s="44">
        <v>1.0</v>
      </c>
      <c r="J190" s="44">
        <v>3.0</v>
      </c>
      <c r="K190" s="164" t="s">
        <v>1496</v>
      </c>
      <c r="L190" s="44">
        <v>0.0</v>
      </c>
      <c r="M190" s="44">
        <v>-1.0</v>
      </c>
      <c r="N190" s="44">
        <v>0.0</v>
      </c>
      <c r="O190" s="44">
        <v>0.0</v>
      </c>
      <c r="P190" s="44">
        <v>0.0</v>
      </c>
      <c r="Q190" s="44">
        <v>0.0</v>
      </c>
      <c r="R190" s="44">
        <v>-1.0</v>
      </c>
      <c r="S190" s="175"/>
      <c r="T190" s="44">
        <v>0.0</v>
      </c>
      <c r="U190" s="44">
        <v>0.0</v>
      </c>
      <c r="V190" s="44">
        <v>0.0</v>
      </c>
      <c r="W190" s="45"/>
      <c r="X190" s="45"/>
      <c r="Y190" s="45"/>
      <c r="Z190" s="9"/>
    </row>
    <row r="191" ht="14.25" customHeight="1">
      <c r="A191" s="214">
        <v>2.0</v>
      </c>
      <c r="B191" s="285" t="s">
        <v>3298</v>
      </c>
      <c r="C191" s="47">
        <v>188.0</v>
      </c>
      <c r="D191" s="47">
        <v>3.0</v>
      </c>
      <c r="E191" s="288">
        <v>43471.0</v>
      </c>
      <c r="F191" s="156" t="str">
        <f>HYPERLINK("https://news.okezone.com/read/2019/01/06/18/2000581/kenapa-desa-desa-di-india-banyak-mengganti-nama ","sumber")</f>
        <v>sumber</v>
      </c>
      <c r="G191" s="274" t="s">
        <v>33</v>
      </c>
      <c r="H191" s="48" t="s">
        <v>3299</v>
      </c>
      <c r="I191" s="47">
        <v>2.0</v>
      </c>
      <c r="J191" s="47">
        <v>5.0</v>
      </c>
      <c r="K191" s="165"/>
      <c r="L191" s="48"/>
      <c r="M191" s="48"/>
      <c r="N191" s="48"/>
      <c r="O191" s="48"/>
      <c r="P191" s="48"/>
      <c r="Q191" s="48"/>
      <c r="R191" s="48"/>
      <c r="S191" s="165"/>
      <c r="T191" s="48"/>
      <c r="U191" s="48"/>
      <c r="V191" s="48"/>
      <c r="W191" s="48"/>
      <c r="X191" s="48"/>
      <c r="Y191" s="47"/>
      <c r="Z191" s="43"/>
    </row>
    <row r="192" ht="14.25" customHeight="1">
      <c r="A192" s="254">
        <v>1.0</v>
      </c>
      <c r="B192" s="303" t="s">
        <v>3300</v>
      </c>
      <c r="C192" s="55">
        <v>189.0</v>
      </c>
      <c r="D192" s="55">
        <v>5.0</v>
      </c>
      <c r="E192" s="296">
        <v>43474.0</v>
      </c>
      <c r="F192" s="171" t="str">
        <f>HYPERLINK("https://tirto.id/praktik-sewa-rahim-dan-dampak-psikologisnya-untuk-anak-ddNa ","sumber")</f>
        <v>sumber</v>
      </c>
      <c r="G192" s="277" t="s">
        <v>33</v>
      </c>
      <c r="H192" s="46" t="s">
        <v>3301</v>
      </c>
      <c r="I192" s="55">
        <v>2.0</v>
      </c>
      <c r="J192" s="55">
        <v>3.0</v>
      </c>
      <c r="K192" s="172" t="s">
        <v>3302</v>
      </c>
      <c r="L192" s="55">
        <v>0.0</v>
      </c>
      <c r="M192" s="55">
        <v>0.0</v>
      </c>
      <c r="N192" s="55">
        <v>0.0</v>
      </c>
      <c r="O192" s="55">
        <v>0.0</v>
      </c>
      <c r="P192" s="55">
        <v>0.0</v>
      </c>
      <c r="Q192" s="55" t="s">
        <v>61</v>
      </c>
      <c r="R192" s="55" t="s">
        <v>61</v>
      </c>
      <c r="S192" s="174"/>
      <c r="T192" s="55">
        <v>0.0</v>
      </c>
      <c r="U192" s="55">
        <v>0.0</v>
      </c>
      <c r="V192" s="55">
        <v>0.0</v>
      </c>
      <c r="W192" s="46"/>
      <c r="X192" s="46"/>
      <c r="Y192" s="46"/>
      <c r="Z192" s="31"/>
    </row>
    <row r="193" ht="14.25" customHeight="1">
      <c r="A193" s="282">
        <v>1.0</v>
      </c>
      <c r="B193" s="283" t="s">
        <v>3303</v>
      </c>
      <c r="C193" s="44">
        <v>190.0</v>
      </c>
      <c r="D193" s="44">
        <v>7.0</v>
      </c>
      <c r="E193" s="287">
        <v>43481.0</v>
      </c>
      <c r="F193" s="162" t="str">
        <f>HYPERLINK("https://www.tribunnews.com/internasional/2019/01/16/belasan-lgbt-di-chechnya-ditahan-dua-di-antaranya-tewas","sumber")</f>
        <v>sumber</v>
      </c>
      <c r="G193" s="269" t="s">
        <v>33</v>
      </c>
      <c r="H193" s="45" t="s">
        <v>3304</v>
      </c>
      <c r="I193" s="44">
        <v>1.0</v>
      </c>
      <c r="J193" s="44">
        <v>3.0</v>
      </c>
      <c r="K193" s="164" t="s">
        <v>3305</v>
      </c>
      <c r="L193" s="44">
        <v>0.0</v>
      </c>
      <c r="M193" s="44">
        <v>1.0</v>
      </c>
      <c r="N193" s="44">
        <v>0.0</v>
      </c>
      <c r="O193" s="44">
        <v>0.0</v>
      </c>
      <c r="P193" s="44">
        <v>0.0</v>
      </c>
      <c r="Q193" s="44" t="s">
        <v>3306</v>
      </c>
      <c r="R193" s="286" t="s">
        <v>3307</v>
      </c>
      <c r="S193" s="164" t="s">
        <v>3308</v>
      </c>
      <c r="T193" s="44">
        <v>5.0</v>
      </c>
      <c r="U193" s="44">
        <v>0.0</v>
      </c>
      <c r="V193" s="44">
        <v>1.0</v>
      </c>
      <c r="W193" s="45"/>
      <c r="X193" s="45"/>
      <c r="Y193" s="45"/>
      <c r="Z193" s="9"/>
    </row>
    <row r="194" ht="14.25" customHeight="1">
      <c r="A194" s="214">
        <v>2.0</v>
      </c>
      <c r="B194" s="285" t="s">
        <v>3309</v>
      </c>
      <c r="C194" s="47">
        <v>191.0</v>
      </c>
      <c r="D194" s="47">
        <v>4.0</v>
      </c>
      <c r="E194" s="288">
        <v>43483.0</v>
      </c>
      <c r="F194" s="156" t="str">
        <f>HYPERLINK("https://www.liputan6.com/bisnis/read/3874089/viral-beredar-foto-bill-gates-lagi-antre-saat-pesan-burger","sumber")</f>
        <v>sumber</v>
      </c>
      <c r="G194" s="274" t="s">
        <v>33</v>
      </c>
      <c r="H194" s="48" t="s">
        <v>3310</v>
      </c>
      <c r="I194" s="47">
        <v>2.0</v>
      </c>
      <c r="J194" s="47">
        <v>5.0</v>
      </c>
      <c r="K194" s="165"/>
      <c r="L194" s="48"/>
      <c r="M194" s="48"/>
      <c r="N194" s="48"/>
      <c r="O194" s="48"/>
      <c r="P194" s="48"/>
      <c r="Q194" s="48"/>
      <c r="R194" s="48"/>
      <c r="S194" s="165"/>
      <c r="T194" s="48"/>
      <c r="U194" s="48"/>
      <c r="V194" s="48"/>
      <c r="W194" s="48"/>
      <c r="X194" s="48"/>
      <c r="Y194" s="47"/>
      <c r="Z194" s="43"/>
    </row>
    <row r="195" ht="14.25" customHeight="1">
      <c r="A195" s="282">
        <v>1.0</v>
      </c>
      <c r="B195" s="283" t="s">
        <v>3311</v>
      </c>
      <c r="C195" s="44">
        <v>192.0</v>
      </c>
      <c r="D195" s="44">
        <v>6.0</v>
      </c>
      <c r="E195" s="287">
        <v>43495.0</v>
      </c>
      <c r="F195" s="162" t="str">
        <f>HYPERLINK("https://nasional.kompas.com/read/2019/01/30/11442851/ketua-dpr-waktu-itu-kami-didesak-segera-selesaikan-ruu-pks-belakangan","sumber")</f>
        <v>sumber</v>
      </c>
      <c r="G195" s="269" t="s">
        <v>33</v>
      </c>
      <c r="H195" s="45" t="s">
        <v>3034</v>
      </c>
      <c r="I195" s="44">
        <v>4.0</v>
      </c>
      <c r="J195" s="44">
        <v>3.0</v>
      </c>
      <c r="K195" s="164" t="s">
        <v>3312</v>
      </c>
      <c r="L195" s="44">
        <v>0.0</v>
      </c>
      <c r="M195" s="44">
        <v>0.0</v>
      </c>
      <c r="N195" s="44">
        <v>0.0</v>
      </c>
      <c r="O195" s="44">
        <v>0.0</v>
      </c>
      <c r="P195" s="44">
        <v>0.0</v>
      </c>
      <c r="Q195" s="44">
        <v>0.0</v>
      </c>
      <c r="R195" s="44">
        <v>-1.0</v>
      </c>
      <c r="S195" s="175"/>
      <c r="T195" s="44">
        <v>0.0</v>
      </c>
      <c r="U195" s="44">
        <v>0.0</v>
      </c>
      <c r="V195" s="44">
        <v>0.0</v>
      </c>
      <c r="W195" s="45"/>
      <c r="X195" s="45"/>
      <c r="Y195" s="45"/>
      <c r="Z195" s="9"/>
    </row>
    <row r="196" ht="14.25" customHeight="1">
      <c r="A196" s="282">
        <v>1.0</v>
      </c>
      <c r="B196" s="283" t="s">
        <v>3313</v>
      </c>
      <c r="C196" s="44">
        <v>193.0</v>
      </c>
      <c r="D196" s="44">
        <v>10.0</v>
      </c>
      <c r="E196" s="287">
        <v>43497.0</v>
      </c>
      <c r="F196" s="162" t="str">
        <f>HYPERLINK("https://metro.tempo.co/read/1171060/bawaslu-dki-belum-resmi-terima-laporan-psi-soal-spanduk-lgbt ","sumber")</f>
        <v>sumber</v>
      </c>
      <c r="G196" s="269" t="s">
        <v>33</v>
      </c>
      <c r="H196" s="45" t="s">
        <v>3314</v>
      </c>
      <c r="I196" s="44">
        <v>1.0</v>
      </c>
      <c r="J196" s="44">
        <v>3.0</v>
      </c>
      <c r="K196" s="164" t="s">
        <v>3315</v>
      </c>
      <c r="L196" s="44">
        <v>0.0</v>
      </c>
      <c r="M196" s="44">
        <v>-1.0</v>
      </c>
      <c r="N196" s="44">
        <v>0.0</v>
      </c>
      <c r="O196" s="44">
        <v>0.0</v>
      </c>
      <c r="P196" s="44">
        <v>0.0</v>
      </c>
      <c r="Q196" s="44">
        <v>0.0</v>
      </c>
      <c r="R196" s="44">
        <v>0.0</v>
      </c>
      <c r="S196" s="175"/>
      <c r="T196" s="44">
        <v>0.0</v>
      </c>
      <c r="U196" s="44">
        <v>0.0</v>
      </c>
      <c r="V196" s="44">
        <v>0.0</v>
      </c>
      <c r="W196" s="45"/>
      <c r="X196" s="45"/>
      <c r="Y196" s="45"/>
      <c r="Z196" s="9"/>
    </row>
    <row r="197" ht="14.25" customHeight="1">
      <c r="A197" s="282">
        <v>1.0</v>
      </c>
      <c r="B197" s="283" t="s">
        <v>2318</v>
      </c>
      <c r="C197" s="44">
        <v>194.0</v>
      </c>
      <c r="D197" s="44">
        <v>5.0</v>
      </c>
      <c r="E197" s="287">
        <v>43497.0</v>
      </c>
      <c r="F197" s="162" t="str">
        <f>HYPERLINK("https://tirto.id/maimon-tolak-ruu-pks-dan-mereka-yang-enggan-menjadi-feminis-dfFJ ","sumber")</f>
        <v>sumber</v>
      </c>
      <c r="G197" s="269" t="s">
        <v>33</v>
      </c>
      <c r="H197" s="45" t="s">
        <v>3316</v>
      </c>
      <c r="I197" s="44">
        <v>1.0</v>
      </c>
      <c r="J197" s="44">
        <v>3.0</v>
      </c>
      <c r="K197" s="164" t="s">
        <v>3317</v>
      </c>
      <c r="L197" s="44">
        <v>0.0</v>
      </c>
      <c r="M197" s="44">
        <v>1.0</v>
      </c>
      <c r="N197" s="44">
        <v>0.0</v>
      </c>
      <c r="O197" s="44">
        <v>0.0</v>
      </c>
      <c r="P197" s="44">
        <v>0.0</v>
      </c>
      <c r="Q197" s="44" t="s">
        <v>887</v>
      </c>
      <c r="R197" s="44" t="s">
        <v>3318</v>
      </c>
      <c r="S197" s="175"/>
      <c r="T197" s="44">
        <v>0.0</v>
      </c>
      <c r="U197" s="44">
        <v>0.0</v>
      </c>
      <c r="V197" s="44">
        <v>1.0</v>
      </c>
      <c r="W197" s="45"/>
      <c r="X197" s="45"/>
      <c r="Y197" s="45"/>
      <c r="Z197" s="9"/>
    </row>
    <row r="198" ht="14.25" customHeight="1">
      <c r="A198" s="282">
        <v>1.0</v>
      </c>
      <c r="B198" s="283" t="s">
        <v>3319</v>
      </c>
      <c r="C198" s="44">
        <v>195.0</v>
      </c>
      <c r="D198" s="44">
        <v>3.0</v>
      </c>
      <c r="E198" s="287">
        <v>43498.0</v>
      </c>
      <c r="F198" s="162" t="str">
        <f>HYPERLINK("https://news.okezone.com/read/2019/02/02/337/2012836/dpr-tegaskan-ruu-penghapusan-kekerasan-seksual-belum-dibahas ","sumber")</f>
        <v>sumber</v>
      </c>
      <c r="G198" s="269" t="s">
        <v>33</v>
      </c>
      <c r="H198" s="45" t="s">
        <v>3282</v>
      </c>
      <c r="I198" s="44">
        <v>4.0</v>
      </c>
      <c r="J198" s="44">
        <v>3.0</v>
      </c>
      <c r="K198" s="164" t="s">
        <v>3320</v>
      </c>
      <c r="L198" s="44">
        <v>0.0</v>
      </c>
      <c r="M198" s="44">
        <v>0.0</v>
      </c>
      <c r="N198" s="44">
        <v>0.0</v>
      </c>
      <c r="O198" s="44">
        <v>0.0</v>
      </c>
      <c r="P198" s="44">
        <v>0.0</v>
      </c>
      <c r="Q198" s="44">
        <v>0.0</v>
      </c>
      <c r="R198" s="44">
        <v>0.0</v>
      </c>
      <c r="S198" s="175"/>
      <c r="T198" s="44">
        <v>0.0</v>
      </c>
      <c r="U198" s="44">
        <v>0.0</v>
      </c>
      <c r="V198" s="44">
        <v>0.0</v>
      </c>
      <c r="W198" s="45"/>
      <c r="X198" s="45"/>
      <c r="Y198" s="45"/>
      <c r="Z198" s="9"/>
    </row>
    <row r="199" ht="14.25" customHeight="1">
      <c r="A199" s="214">
        <v>2.0</v>
      </c>
      <c r="B199" s="285" t="s">
        <v>2320</v>
      </c>
      <c r="C199" s="47">
        <v>196.0</v>
      </c>
      <c r="D199" s="47">
        <v>2.0</v>
      </c>
      <c r="E199" s="288">
        <v>43499.0</v>
      </c>
      <c r="F199" s="156" t="str">
        <f>HYPERLINK("https://www.cnnindonesia.com/hiburan/20190202182458-227-365999/rela-habiskan-jutaan-demi-senang-ala-fan-k-pop ","sumber")</f>
        <v>sumber</v>
      </c>
      <c r="G199" s="274" t="s">
        <v>33</v>
      </c>
      <c r="H199" s="48" t="s">
        <v>3321</v>
      </c>
      <c r="I199" s="47">
        <v>2.0</v>
      </c>
      <c r="J199" s="47">
        <v>3.0</v>
      </c>
      <c r="K199" s="157"/>
      <c r="L199" s="48"/>
      <c r="M199" s="48"/>
      <c r="N199" s="48"/>
      <c r="O199" s="48"/>
      <c r="P199" s="48"/>
      <c r="Q199" s="48"/>
      <c r="R199" s="48"/>
      <c r="S199" s="165"/>
      <c r="T199" s="48"/>
      <c r="U199" s="48"/>
      <c r="V199" s="48"/>
      <c r="W199" s="48"/>
      <c r="X199" s="48"/>
      <c r="Y199" s="47"/>
      <c r="Z199" s="43"/>
    </row>
    <row r="200" ht="14.25" customHeight="1">
      <c r="A200" s="282">
        <v>1.0</v>
      </c>
      <c r="B200" s="283" t="s">
        <v>3322</v>
      </c>
      <c r="C200" s="44">
        <v>197.0</v>
      </c>
      <c r="D200" s="44">
        <v>10.0</v>
      </c>
      <c r="E200" s="287">
        <v>43503.0</v>
      </c>
      <c r="F200" s="162" t="str">
        <f>HYPERLINK("https://nasional.tempo.co/read/1173116/pks-tolak-ruu-penghapusan-kekerasan-seksual ","sumber")</f>
        <v>sumber</v>
      </c>
      <c r="G200" s="269" t="s">
        <v>33</v>
      </c>
      <c r="H200" s="45" t="s">
        <v>2908</v>
      </c>
      <c r="I200" s="44">
        <v>4.0</v>
      </c>
      <c r="J200" s="44">
        <v>3.0</v>
      </c>
      <c r="K200" s="164" t="s">
        <v>3323</v>
      </c>
      <c r="L200" s="44">
        <v>0.0</v>
      </c>
      <c r="M200" s="44">
        <v>0.0</v>
      </c>
      <c r="N200" s="44">
        <v>0.0</v>
      </c>
      <c r="O200" s="44">
        <v>0.0</v>
      </c>
      <c r="P200" s="44">
        <v>0.0</v>
      </c>
      <c r="Q200" s="44" t="s">
        <v>214</v>
      </c>
      <c r="R200" s="44" t="s">
        <v>173</v>
      </c>
      <c r="S200" s="175"/>
      <c r="T200" s="44">
        <v>0.0</v>
      </c>
      <c r="U200" s="44">
        <v>0.0</v>
      </c>
      <c r="V200" s="44">
        <v>0.0</v>
      </c>
      <c r="W200" s="45"/>
      <c r="X200" s="45"/>
      <c r="Y200" s="45"/>
      <c r="Z200" s="9"/>
    </row>
    <row r="201" ht="14.25" customHeight="1">
      <c r="A201" s="282">
        <v>1.0</v>
      </c>
      <c r="B201" s="283" t="s">
        <v>3324</v>
      </c>
      <c r="C201" s="44">
        <v>198.0</v>
      </c>
      <c r="D201" s="44">
        <v>3.0</v>
      </c>
      <c r="E201" s="287">
        <v>43504.0</v>
      </c>
      <c r="F201" s="162" t="str">
        <f>HYPERLINK("https://lifestyle.okezone.com/read/2019/02/08/194/2015281/terjerat-narkoba-intip-4-penampilan-reva-alexa-selebgram-yang-dulunya-pria ","sumber")</f>
        <v>sumber</v>
      </c>
      <c r="G201" s="269" t="s">
        <v>33</v>
      </c>
      <c r="H201" s="45" t="s">
        <v>3325</v>
      </c>
      <c r="I201" s="44">
        <v>2.0</v>
      </c>
      <c r="J201" s="44">
        <v>3.0</v>
      </c>
      <c r="K201" s="164"/>
      <c r="L201" s="44">
        <v>-1.0</v>
      </c>
      <c r="M201" s="44">
        <v>0.0</v>
      </c>
      <c r="N201" s="44">
        <v>0.0</v>
      </c>
      <c r="O201" s="44">
        <v>0.0</v>
      </c>
      <c r="P201" s="44">
        <v>0.0</v>
      </c>
      <c r="Q201" s="45"/>
      <c r="R201" s="45"/>
      <c r="S201" s="164" t="s">
        <v>3326</v>
      </c>
      <c r="T201" s="44">
        <v>1.0</v>
      </c>
      <c r="U201" s="44">
        <v>-1.0</v>
      </c>
      <c r="V201" s="44">
        <v>0.0</v>
      </c>
      <c r="W201" s="45"/>
      <c r="X201" s="45"/>
      <c r="Y201" s="45"/>
      <c r="Z201" s="9"/>
    </row>
    <row r="202" ht="14.25" customHeight="1">
      <c r="A202" s="214">
        <v>2.0</v>
      </c>
      <c r="B202" s="285" t="s">
        <v>3327</v>
      </c>
      <c r="C202" s="47">
        <v>199.0</v>
      </c>
      <c r="D202" s="47">
        <v>6.0</v>
      </c>
      <c r="E202" s="288">
        <v>43506.0</v>
      </c>
      <c r="F202" s="156" t="str">
        <f>HYPERLINK("https://regional.kompas.com/read/2019/02/10/13474221/pelanggaran-perda-syariat-islam-didominasi-remaja-dan-ibu-muda ","sumber")</f>
        <v>sumber</v>
      </c>
      <c r="G202" s="274" t="s">
        <v>33</v>
      </c>
      <c r="H202" s="48" t="s">
        <v>3328</v>
      </c>
      <c r="I202" s="47">
        <v>2.0</v>
      </c>
      <c r="J202" s="47">
        <v>3.0</v>
      </c>
      <c r="K202" s="165"/>
      <c r="L202" s="48"/>
      <c r="M202" s="48"/>
      <c r="N202" s="48"/>
      <c r="O202" s="48"/>
      <c r="P202" s="48"/>
      <c r="Q202" s="48"/>
      <c r="R202" s="48"/>
      <c r="S202" s="165"/>
      <c r="T202" s="48"/>
      <c r="U202" s="48"/>
      <c r="V202" s="48"/>
      <c r="W202" s="48"/>
      <c r="X202" s="48"/>
      <c r="Y202" s="47"/>
      <c r="Z202" s="43"/>
    </row>
    <row r="203" ht="14.25" customHeight="1">
      <c r="A203" s="282">
        <v>1.0</v>
      </c>
      <c r="B203" s="283" t="s">
        <v>3329</v>
      </c>
      <c r="C203" s="44">
        <v>200.0</v>
      </c>
      <c r="D203" s="44">
        <v>4.0</v>
      </c>
      <c r="E203" s="287">
        <v>43506.0</v>
      </c>
      <c r="F203" s="162" t="str">
        <f>HYPERLINK("https://www.liputan6.com/global/read/3891328/ditekan-arab-saudi-2-muslimah-anggota-kongres-as-semakin-garang ","sumber")</f>
        <v>sumber</v>
      </c>
      <c r="G203" s="269" t="s">
        <v>33</v>
      </c>
      <c r="H203" s="45" t="s">
        <v>2974</v>
      </c>
      <c r="I203" s="44">
        <v>1.0</v>
      </c>
      <c r="J203" s="44">
        <v>1.0</v>
      </c>
      <c r="K203" s="164" t="s">
        <v>3330</v>
      </c>
      <c r="L203" s="44">
        <v>0.0</v>
      </c>
      <c r="M203" s="44">
        <v>1.0</v>
      </c>
      <c r="N203" s="44">
        <v>0.0</v>
      </c>
      <c r="O203" s="44">
        <v>0.0</v>
      </c>
      <c r="P203" s="44">
        <v>0.0</v>
      </c>
      <c r="Q203" s="44" t="s">
        <v>89</v>
      </c>
      <c r="R203" s="44" t="s">
        <v>3331</v>
      </c>
      <c r="S203" s="175"/>
      <c r="T203" s="44">
        <v>0.0</v>
      </c>
      <c r="U203" s="44">
        <v>0.0</v>
      </c>
      <c r="V203" s="44">
        <v>0.0</v>
      </c>
      <c r="W203" s="45"/>
      <c r="X203" s="45"/>
      <c r="Y203" s="45"/>
      <c r="Z203" s="9"/>
    </row>
    <row r="204" ht="14.25" customHeight="1">
      <c r="A204" s="254">
        <v>1.0</v>
      </c>
      <c r="B204" s="68" t="s">
        <v>3332</v>
      </c>
      <c r="C204" s="246">
        <v>201.0</v>
      </c>
      <c r="D204" s="55">
        <v>1.0</v>
      </c>
      <c r="E204" s="296">
        <v>43508.0</v>
      </c>
      <c r="F204" s="171" t="str">
        <f>HYPERLINK("https://news.detik.com/berita/d-4425266/ketum-ppp-tegaskan-partainya-tolak-lgbt ","sumber")</f>
        <v>sumber</v>
      </c>
      <c r="G204" s="277" t="s">
        <v>33</v>
      </c>
      <c r="H204" s="55">
        <v>277.0</v>
      </c>
      <c r="I204" s="55">
        <v>1.0</v>
      </c>
      <c r="J204" s="55">
        <v>3.0</v>
      </c>
      <c r="K204" s="172" t="s">
        <v>3333</v>
      </c>
      <c r="L204" s="55">
        <v>0.0</v>
      </c>
      <c r="M204" s="55">
        <v>-1.0</v>
      </c>
      <c r="N204" s="55">
        <v>0.0</v>
      </c>
      <c r="O204" s="55">
        <v>0.0</v>
      </c>
      <c r="P204" s="55">
        <v>0.0</v>
      </c>
      <c r="Q204" s="55">
        <v>0.0</v>
      </c>
      <c r="R204" s="55">
        <v>-1.0</v>
      </c>
      <c r="S204" s="172"/>
      <c r="T204" s="55">
        <v>0.0</v>
      </c>
      <c r="U204" s="55">
        <v>0.0</v>
      </c>
      <c r="V204" s="55">
        <v>0.0</v>
      </c>
      <c r="W204" s="46"/>
      <c r="X204" s="46"/>
      <c r="Y204" s="55"/>
      <c r="Z204" s="30"/>
    </row>
    <row r="205" ht="14.25" customHeight="1">
      <c r="A205" s="254">
        <v>1.0</v>
      </c>
      <c r="B205" s="68" t="s">
        <v>3334</v>
      </c>
      <c r="C205" s="55">
        <v>202.0</v>
      </c>
      <c r="D205" s="55">
        <v>2.0</v>
      </c>
      <c r="E205" s="296">
        <v>43509.0</v>
      </c>
      <c r="F205" s="171" t="str">
        <f>HYPERLINK("https://www.cnnindonesia.com/teknologi/20190213093029-185-368770/kominfo-tutup-akun-instagram-komik-muslim-gay ","sumber")</f>
        <v>sumber</v>
      </c>
      <c r="G205" s="277" t="s">
        <v>33</v>
      </c>
      <c r="H205" s="55">
        <v>139.0</v>
      </c>
      <c r="I205" s="55">
        <v>1.0</v>
      </c>
      <c r="J205" s="55">
        <v>3.0</v>
      </c>
      <c r="K205" s="172" t="s">
        <v>3335</v>
      </c>
      <c r="L205" s="55">
        <v>0.0</v>
      </c>
      <c r="M205" s="55">
        <v>-1.0</v>
      </c>
      <c r="N205" s="55">
        <v>0.0</v>
      </c>
      <c r="O205" s="55">
        <v>0.0</v>
      </c>
      <c r="P205" s="55">
        <v>0.0</v>
      </c>
      <c r="Q205" s="55">
        <v>0.0</v>
      </c>
      <c r="R205" s="55">
        <v>0.0</v>
      </c>
      <c r="S205" s="172"/>
      <c r="T205" s="55">
        <v>0.0</v>
      </c>
      <c r="U205" s="55">
        <v>0.0</v>
      </c>
      <c r="V205" s="55">
        <v>0.0</v>
      </c>
      <c r="W205" s="46"/>
      <c r="X205" s="46"/>
      <c r="Y205" s="55"/>
      <c r="Z205" s="30"/>
    </row>
    <row r="206" ht="14.25" customHeight="1">
      <c r="A206" s="282">
        <v>1.0</v>
      </c>
      <c r="B206" s="283" t="s">
        <v>3336</v>
      </c>
      <c r="C206" s="44">
        <v>203.0</v>
      </c>
      <c r="D206" s="44">
        <v>3.0</v>
      </c>
      <c r="E206" s="287">
        <v>43510.0</v>
      </c>
      <c r="F206" s="162" t="str">
        <f>HYPERLINK("https://celebrity.okezone.com/read/2019/02/14/33/2018032/kontroversi-jupiter-fortissimo-pengakuan-gay-hingga-narkoba ","sumber")</f>
        <v>sumber</v>
      </c>
      <c r="G206" s="269" t="s">
        <v>33</v>
      </c>
      <c r="H206" s="45" t="s">
        <v>3337</v>
      </c>
      <c r="I206" s="44">
        <v>2.0</v>
      </c>
      <c r="J206" s="44">
        <v>3.0</v>
      </c>
      <c r="K206" s="164" t="s">
        <v>3338</v>
      </c>
      <c r="L206" s="44">
        <v>0.0</v>
      </c>
      <c r="M206" s="44">
        <v>0.0</v>
      </c>
      <c r="N206" s="44">
        <v>0.0</v>
      </c>
      <c r="O206" s="44">
        <v>0.0</v>
      </c>
      <c r="P206" s="44">
        <v>0.0</v>
      </c>
      <c r="Q206" s="44" t="s">
        <v>3183</v>
      </c>
      <c r="R206" s="44" t="s">
        <v>278</v>
      </c>
      <c r="S206" s="164" t="s">
        <v>3339</v>
      </c>
      <c r="T206" s="44">
        <v>2.0</v>
      </c>
      <c r="U206" s="44">
        <v>-1.0</v>
      </c>
      <c r="V206" s="44">
        <v>0.0</v>
      </c>
      <c r="W206" s="45"/>
      <c r="X206" s="45"/>
      <c r="Y206" s="45"/>
      <c r="Z206" s="9"/>
    </row>
    <row r="207" ht="14.25" customHeight="1">
      <c r="A207" s="189">
        <v>1.0</v>
      </c>
      <c r="B207" s="77" t="s">
        <v>3340</v>
      </c>
      <c r="C207" s="246">
        <v>204.0</v>
      </c>
      <c r="D207" s="55">
        <v>1.0</v>
      </c>
      <c r="E207" s="289">
        <v>43504.0</v>
      </c>
      <c r="F207" s="171" t="str">
        <f>HYPERLINK("https://news.detik.com/berita/d-4418975/reva-alexa-mengaku-transgender-polisi-belum-dapat-dokumen-pengesahan-pengadilan ","sumber")</f>
        <v>sumber</v>
      </c>
      <c r="G207" s="277" t="s">
        <v>33</v>
      </c>
      <c r="H207" s="55">
        <v>218.0</v>
      </c>
      <c r="I207" s="55">
        <v>1.0</v>
      </c>
      <c r="J207" s="55">
        <v>3.0</v>
      </c>
      <c r="K207" s="172" t="s">
        <v>3341</v>
      </c>
      <c r="L207" s="55">
        <v>0.0</v>
      </c>
      <c r="M207" s="55">
        <v>-1.0</v>
      </c>
      <c r="N207" s="55">
        <v>0.0</v>
      </c>
      <c r="O207" s="55">
        <v>0.0</v>
      </c>
      <c r="P207" s="55">
        <v>0.0</v>
      </c>
      <c r="Q207" s="55">
        <v>0.0</v>
      </c>
      <c r="R207" s="55">
        <v>0.0</v>
      </c>
      <c r="S207" s="172"/>
      <c r="T207" s="55">
        <v>0.0</v>
      </c>
      <c r="U207" s="55">
        <v>-1.0</v>
      </c>
      <c r="V207" s="55">
        <v>0.0</v>
      </c>
      <c r="W207" s="46"/>
      <c r="X207" s="46"/>
      <c r="Y207" s="55"/>
      <c r="Z207" s="30"/>
    </row>
    <row r="208" ht="14.25" customHeight="1">
      <c r="A208" s="254">
        <v>1.0</v>
      </c>
      <c r="B208" s="68" t="s">
        <v>3342</v>
      </c>
      <c r="C208" s="55">
        <v>205.0</v>
      </c>
      <c r="D208" s="55">
        <v>10.0</v>
      </c>
      <c r="E208" s="289">
        <v>43522.0</v>
      </c>
      <c r="F208" s="171" t="str">
        <f>HYPERLINK("https://dunia.tempo.co/read/1179402/operasi-plastik-gagal-transgender-ini-malu-keluar-rumah ","sumber")</f>
        <v>sumber</v>
      </c>
      <c r="G208" s="277" t="s">
        <v>33</v>
      </c>
      <c r="H208" s="55">
        <v>384.0</v>
      </c>
      <c r="I208" s="55">
        <v>2.0</v>
      </c>
      <c r="J208" s="55">
        <v>3.0</v>
      </c>
      <c r="K208" s="172" t="s">
        <v>3343</v>
      </c>
      <c r="L208" s="55">
        <v>0.0</v>
      </c>
      <c r="M208" s="55">
        <v>0.0</v>
      </c>
      <c r="N208" s="55">
        <v>0.0</v>
      </c>
      <c r="O208" s="55">
        <v>0.0</v>
      </c>
      <c r="P208" s="55">
        <v>0.0</v>
      </c>
      <c r="Q208" s="55">
        <v>2.0</v>
      </c>
      <c r="R208" s="55">
        <v>0.0</v>
      </c>
      <c r="S208" s="172" t="s">
        <v>3344</v>
      </c>
      <c r="T208" s="55">
        <v>1.0</v>
      </c>
      <c r="U208" s="55">
        <v>0.0</v>
      </c>
      <c r="V208" s="55">
        <v>0.0</v>
      </c>
      <c r="W208" s="46"/>
      <c r="X208" s="46"/>
      <c r="Y208" s="55"/>
      <c r="Z208" s="30"/>
    </row>
    <row r="209" ht="14.25" customHeight="1">
      <c r="A209" s="214">
        <v>2.0</v>
      </c>
      <c r="B209" s="285" t="s">
        <v>3345</v>
      </c>
      <c r="C209" s="47">
        <v>206.0</v>
      </c>
      <c r="D209" s="47">
        <v>1.0</v>
      </c>
      <c r="E209" s="288">
        <v>43517.0</v>
      </c>
      <c r="F209" s="156" t="str">
        <f>HYPERLINK("https://news.detik.com/berita/d-4438785/di-munajat-212-ketum-fpi-bicara-soal-kasus-habib-bahar-hingga-ahmad-dhani ","sumber")</f>
        <v>sumber</v>
      </c>
      <c r="G209" s="274" t="s">
        <v>33</v>
      </c>
      <c r="H209" s="48" t="s">
        <v>3346</v>
      </c>
      <c r="I209" s="47">
        <v>1.0</v>
      </c>
      <c r="J209" s="47">
        <v>3.0</v>
      </c>
      <c r="K209" s="165"/>
      <c r="L209" s="48"/>
      <c r="M209" s="48"/>
      <c r="N209" s="48"/>
      <c r="O209" s="48"/>
      <c r="P209" s="48"/>
      <c r="Q209" s="48"/>
      <c r="R209" s="48"/>
      <c r="S209" s="165"/>
      <c r="T209" s="48"/>
      <c r="U209" s="48"/>
      <c r="V209" s="48"/>
      <c r="W209" s="48"/>
      <c r="X209" s="48"/>
      <c r="Y209" s="47"/>
      <c r="Z209" s="43"/>
    </row>
    <row r="210" ht="14.25" customHeight="1">
      <c r="A210" s="282">
        <v>1.0</v>
      </c>
      <c r="B210" s="283" t="s">
        <v>3347</v>
      </c>
      <c r="C210" s="228">
        <v>207.0</v>
      </c>
      <c r="D210" s="44">
        <v>4.0</v>
      </c>
      <c r="E210" s="287">
        <v>43518.0</v>
      </c>
      <c r="F210" s="162" t="str">
        <f>HYPERLINK("https://www.liputan6.com/showbiz/read/3901162/senyum-semringah-millendaru-makan-malam-bareng-dipo-latief ","sumber")</f>
        <v>sumber</v>
      </c>
      <c r="G210" s="269" t="s">
        <v>33</v>
      </c>
      <c r="H210" s="45" t="s">
        <v>3034</v>
      </c>
      <c r="I210" s="44">
        <v>2.0</v>
      </c>
      <c r="J210" s="44">
        <v>3.0</v>
      </c>
      <c r="K210" s="164"/>
      <c r="L210" s="44">
        <v>0.0</v>
      </c>
      <c r="M210" s="44">
        <v>0.0</v>
      </c>
      <c r="N210" s="44">
        <v>0.0</v>
      </c>
      <c r="O210" s="44">
        <v>0.0</v>
      </c>
      <c r="P210" s="44">
        <v>0.0</v>
      </c>
      <c r="Q210" s="45"/>
      <c r="R210" s="45"/>
      <c r="S210" s="164" t="s">
        <v>3348</v>
      </c>
      <c r="T210" s="44">
        <v>1.0</v>
      </c>
      <c r="U210" s="44">
        <v>-1.0</v>
      </c>
      <c r="V210" s="44">
        <v>0.0</v>
      </c>
      <c r="W210" s="45"/>
      <c r="X210" s="45"/>
      <c r="Y210" s="45"/>
      <c r="Z210" s="9"/>
    </row>
    <row r="211" ht="14.25" customHeight="1">
      <c r="A211" s="214">
        <v>2.0</v>
      </c>
      <c r="B211" s="285" t="s">
        <v>3349</v>
      </c>
      <c r="C211" s="47">
        <v>208.0</v>
      </c>
      <c r="D211" s="47">
        <v>7.0</v>
      </c>
      <c r="E211" s="288">
        <v>43518.0</v>
      </c>
      <c r="F211" s="156" t="str">
        <f>HYPERLINK("http://www.tribunnews.com/superskor/2019/02/22/lima-ketengilan-cristiano-ronaldo-bicara-homo-hingga-pegang-alat-vital ","sumber")</f>
        <v>sumber</v>
      </c>
      <c r="G211" s="274" t="s">
        <v>33</v>
      </c>
      <c r="H211" s="48" t="s">
        <v>3350</v>
      </c>
      <c r="I211" s="47">
        <v>2.0</v>
      </c>
      <c r="J211" s="47">
        <v>3.0</v>
      </c>
      <c r="K211" s="157" t="s">
        <v>3351</v>
      </c>
      <c r="L211" s="47">
        <v>0.0</v>
      </c>
      <c r="M211" s="47">
        <v>0.0</v>
      </c>
      <c r="N211" s="47">
        <v>0.0</v>
      </c>
      <c r="O211" s="47">
        <v>0.0</v>
      </c>
      <c r="P211" s="47">
        <v>0.0</v>
      </c>
      <c r="Q211" s="47" t="s">
        <v>61</v>
      </c>
      <c r="R211" s="47" t="s">
        <v>62</v>
      </c>
      <c r="S211" s="165"/>
      <c r="T211" s="47">
        <v>0.0</v>
      </c>
      <c r="U211" s="48"/>
      <c r="V211" s="48"/>
      <c r="W211" s="48"/>
      <c r="X211" s="48"/>
      <c r="Y211" s="48"/>
      <c r="Z211" s="51"/>
    </row>
    <row r="212" ht="14.25" customHeight="1">
      <c r="A212" s="282">
        <v>1.0</v>
      </c>
      <c r="B212" s="283" t="s">
        <v>3352</v>
      </c>
      <c r="C212" s="44">
        <v>209.0</v>
      </c>
      <c r="D212" s="44">
        <v>2.0</v>
      </c>
      <c r="E212" s="287">
        <v>43519.0</v>
      </c>
      <c r="F212" s="162" t="str">
        <f>HYPERLINK("https://www.cnnindonesia.com/nasional/20190222200631-20-371945/pemerintah-targetkan-ruu-pks-disahkan-agustus-2019 ","sumber")</f>
        <v>sumber</v>
      </c>
      <c r="G212" s="269" t="s">
        <v>33</v>
      </c>
      <c r="H212" s="45" t="s">
        <v>3155</v>
      </c>
      <c r="I212" s="44">
        <v>4.0</v>
      </c>
      <c r="J212" s="44">
        <v>5.0</v>
      </c>
      <c r="K212" s="164" t="s">
        <v>3353</v>
      </c>
      <c r="L212" s="44">
        <v>0.0</v>
      </c>
      <c r="M212" s="44">
        <v>0.0</v>
      </c>
      <c r="N212" s="44">
        <v>0.0</v>
      </c>
      <c r="O212" s="44">
        <v>0.0</v>
      </c>
      <c r="P212" s="44">
        <v>0.0</v>
      </c>
      <c r="Q212" s="44">
        <v>0.0</v>
      </c>
      <c r="R212" s="44">
        <v>1.0</v>
      </c>
      <c r="S212" s="175"/>
      <c r="T212" s="44">
        <v>0.0</v>
      </c>
      <c r="U212" s="44">
        <v>0.0</v>
      </c>
      <c r="V212" s="44">
        <v>1.0</v>
      </c>
      <c r="W212" s="45"/>
      <c r="X212" s="45"/>
      <c r="Y212" s="45"/>
      <c r="Z212" s="9"/>
    </row>
    <row r="213" ht="14.25" customHeight="1">
      <c r="A213" s="282">
        <v>1.0</v>
      </c>
      <c r="B213" s="283" t="s">
        <v>3354</v>
      </c>
      <c r="C213" s="228">
        <v>210.0</v>
      </c>
      <c r="D213" s="44">
        <v>4.0</v>
      </c>
      <c r="E213" s="287">
        <v>43522.0</v>
      </c>
      <c r="F213" s="162" t="str">
        <f>HYPERLINK("https://www.liputan6.com/regional/read/3903735/miris-homoseksual-mengerek-angka-penderita-hivaids-di-serambi-makkah","sumber")</f>
        <v>sumber</v>
      </c>
      <c r="G213" s="269" t="s">
        <v>33</v>
      </c>
      <c r="H213" s="45" t="s">
        <v>3355</v>
      </c>
      <c r="I213" s="44">
        <v>2.0</v>
      </c>
      <c r="J213" s="44">
        <v>3.0</v>
      </c>
      <c r="K213" s="164" t="s">
        <v>3356</v>
      </c>
      <c r="L213" s="44">
        <v>0.0</v>
      </c>
      <c r="M213" s="44">
        <v>0.0</v>
      </c>
      <c r="N213" s="44">
        <v>0.0</v>
      </c>
      <c r="O213" s="44">
        <v>0.0</v>
      </c>
      <c r="P213" s="44">
        <v>-1.0</v>
      </c>
      <c r="Q213" s="44">
        <v>0.0</v>
      </c>
      <c r="R213" s="44">
        <v>-1.0</v>
      </c>
      <c r="S213" s="164" t="s">
        <v>3357</v>
      </c>
      <c r="T213" s="44">
        <v>2.0</v>
      </c>
      <c r="U213" s="44">
        <v>0.0</v>
      </c>
      <c r="V213" s="44">
        <v>0.0</v>
      </c>
      <c r="W213" s="45"/>
      <c r="X213" s="45"/>
      <c r="Y213" s="45"/>
      <c r="Z213" s="9"/>
    </row>
    <row r="214" ht="14.25" customHeight="1">
      <c r="A214" s="282">
        <v>1.0</v>
      </c>
      <c r="B214" s="283" t="s">
        <v>3358</v>
      </c>
      <c r="C214" s="44">
        <v>211.0</v>
      </c>
      <c r="D214" s="44">
        <v>4.0</v>
      </c>
      <c r="E214" s="287">
        <v>43523.0</v>
      </c>
      <c r="F214" s="162" t="str">
        <f>HYPERLINK("https://www.liputan6.com/health/read/3904928/kenali-penyebab-dan-cara-mengatasi-depresi-jangan-sepelekan","sumber")</f>
        <v>sumber</v>
      </c>
      <c r="G214" s="269" t="s">
        <v>33</v>
      </c>
      <c r="H214" s="45" t="s">
        <v>3195</v>
      </c>
      <c r="I214" s="44">
        <v>2.0</v>
      </c>
      <c r="J214" s="44">
        <v>5.0</v>
      </c>
      <c r="K214" s="164" t="s">
        <v>3359</v>
      </c>
      <c r="L214" s="44">
        <v>0.0</v>
      </c>
      <c r="M214" s="44">
        <v>0.0</v>
      </c>
      <c r="N214" s="44">
        <v>0.0</v>
      </c>
      <c r="O214" s="44">
        <v>0.0</v>
      </c>
      <c r="P214" s="44">
        <v>0.0</v>
      </c>
      <c r="Q214" s="44">
        <v>0.0</v>
      </c>
      <c r="R214" s="44">
        <v>0.0</v>
      </c>
      <c r="S214" s="175"/>
      <c r="T214" s="44">
        <v>0.0</v>
      </c>
      <c r="U214" s="44">
        <v>0.0</v>
      </c>
      <c r="V214" s="44">
        <v>0.0</v>
      </c>
      <c r="W214" s="45"/>
      <c r="X214" s="45"/>
      <c r="Y214" s="45"/>
      <c r="Z214" s="9"/>
    </row>
    <row r="215" ht="14.25" customHeight="1">
      <c r="A215" s="282">
        <v>1.0</v>
      </c>
      <c r="B215" s="283" t="s">
        <v>1448</v>
      </c>
      <c r="C215" s="44">
        <v>212.0</v>
      </c>
      <c r="D215" s="44">
        <v>5.0</v>
      </c>
      <c r="E215" s="287">
        <v>43526.0</v>
      </c>
      <c r="F215" s="162" t="str">
        <f>HYPERLINK("https://tirto.id/masalah-kekerasan-seksual-adalah-problem-kita-semua-dieG ","sumber")</f>
        <v>sumber</v>
      </c>
      <c r="G215" s="269" t="s">
        <v>33</v>
      </c>
      <c r="H215" s="45" t="s">
        <v>3360</v>
      </c>
      <c r="I215" s="44">
        <v>4.0</v>
      </c>
      <c r="J215" s="44">
        <v>3.0</v>
      </c>
      <c r="K215" s="164" t="s">
        <v>3361</v>
      </c>
      <c r="L215" s="44">
        <v>0.0</v>
      </c>
      <c r="M215" s="44">
        <v>0.0</v>
      </c>
      <c r="N215" s="44">
        <v>0.0</v>
      </c>
      <c r="O215" s="44">
        <v>0.0</v>
      </c>
      <c r="P215" s="44">
        <v>0.0</v>
      </c>
      <c r="Q215" s="44" t="s">
        <v>138</v>
      </c>
      <c r="R215" s="44" t="s">
        <v>392</v>
      </c>
      <c r="S215" s="175"/>
      <c r="T215" s="44">
        <v>0.0</v>
      </c>
      <c r="U215" s="44">
        <v>0.0</v>
      </c>
      <c r="V215" s="44">
        <v>1.0</v>
      </c>
      <c r="W215" s="45"/>
      <c r="X215" s="45"/>
      <c r="Y215" s="45"/>
      <c r="Z215" s="9"/>
    </row>
    <row r="216" ht="14.25" customHeight="1">
      <c r="A216" s="282">
        <v>1.0</v>
      </c>
      <c r="B216" s="283" t="s">
        <v>3362</v>
      </c>
      <c r="C216" s="44">
        <v>213.0</v>
      </c>
      <c r="D216" s="44">
        <v>2.0</v>
      </c>
      <c r="E216" s="287">
        <v>43538.0</v>
      </c>
      <c r="F216" s="162" t="str">
        <f>HYPERLINK("https://www.cnnindonesia.com/internasional/20190314150551-134-377265/ri-sebut-isu-pelanggaran-ham-papua-di-dewan-ham-pbb-tak-laku ","sumber")</f>
        <v>sumber</v>
      </c>
      <c r="G216" s="269" t="s">
        <v>33</v>
      </c>
      <c r="H216" s="45" t="s">
        <v>3277</v>
      </c>
      <c r="I216" s="44">
        <v>1.0</v>
      </c>
      <c r="J216" s="44">
        <v>3.0</v>
      </c>
      <c r="K216" s="164" t="s">
        <v>3363</v>
      </c>
      <c r="L216" s="44">
        <v>0.0</v>
      </c>
      <c r="M216" s="44">
        <v>1.0</v>
      </c>
      <c r="N216" s="44">
        <v>0.0</v>
      </c>
      <c r="O216" s="44">
        <v>0.0</v>
      </c>
      <c r="P216" s="44">
        <v>0.0</v>
      </c>
      <c r="Q216" s="44">
        <v>0.0</v>
      </c>
      <c r="R216" s="44">
        <v>0.0</v>
      </c>
      <c r="S216" s="175"/>
      <c r="T216" s="44">
        <v>0.0</v>
      </c>
      <c r="U216" s="44">
        <v>0.0</v>
      </c>
      <c r="V216" s="44">
        <v>0.0</v>
      </c>
      <c r="W216" s="45"/>
      <c r="X216" s="45"/>
      <c r="Y216" s="45"/>
      <c r="Z216" s="9"/>
    </row>
    <row r="217" ht="14.25" customHeight="1">
      <c r="A217" s="282">
        <v>1.0</v>
      </c>
      <c r="B217" s="283" t="s">
        <v>3364</v>
      </c>
      <c r="C217" s="44">
        <v>214.0</v>
      </c>
      <c r="D217" s="44">
        <v>3.0</v>
      </c>
      <c r="E217" s="287">
        <v>43538.0</v>
      </c>
      <c r="F217" s="162" t="str">
        <f>HYPERLINK("https://celebrity.okezone.com/read/2019/03/14/33/2029806/lucinta-luna-pamer-pacar-baru-netizen-mirip-nicholas-saputra ","sumber")</f>
        <v>sumber</v>
      </c>
      <c r="G217" s="269" t="s">
        <v>33</v>
      </c>
      <c r="H217" s="45" t="s">
        <v>3124</v>
      </c>
      <c r="I217" s="44">
        <v>2.0</v>
      </c>
      <c r="J217" s="44">
        <v>3.0</v>
      </c>
      <c r="K217" s="164" t="s">
        <v>3365</v>
      </c>
      <c r="L217" s="44">
        <v>0.0</v>
      </c>
      <c r="M217" s="44">
        <v>0.0</v>
      </c>
      <c r="N217" s="44">
        <v>0.0</v>
      </c>
      <c r="O217" s="44">
        <v>0.0</v>
      </c>
      <c r="P217" s="44">
        <v>-1.0</v>
      </c>
      <c r="Q217" s="44" t="s">
        <v>80</v>
      </c>
      <c r="R217" s="44" t="s">
        <v>53</v>
      </c>
      <c r="S217" s="175"/>
      <c r="T217" s="44">
        <v>0.0</v>
      </c>
      <c r="U217" s="44">
        <v>-1.0</v>
      </c>
      <c r="V217" s="44">
        <v>0.0</v>
      </c>
      <c r="W217" s="45"/>
      <c r="X217" s="45"/>
      <c r="Y217" s="45"/>
      <c r="Z217" s="9"/>
    </row>
    <row r="218" ht="14.25" customHeight="1">
      <c r="A218" s="282">
        <v>1.0</v>
      </c>
      <c r="B218" s="283" t="s">
        <v>3366</v>
      </c>
      <c r="C218" s="44">
        <v>215.0</v>
      </c>
      <c r="D218" s="44">
        <v>7.0</v>
      </c>
      <c r="E218" s="287">
        <v>43538.0</v>
      </c>
      <c r="F218" s="162" t="str">
        <f>HYPERLINK("https://www.tribunnews.com/nasional/2019/03/14/cak-imin-luncurkan-gerakan-nusantara-bertauhid","sumber")</f>
        <v>sumber</v>
      </c>
      <c r="G218" s="269" t="s">
        <v>33</v>
      </c>
      <c r="H218" s="45" t="s">
        <v>3367</v>
      </c>
      <c r="I218" s="44">
        <v>1.0</v>
      </c>
      <c r="J218" s="44">
        <v>3.0</v>
      </c>
      <c r="K218" s="164" t="s">
        <v>3368</v>
      </c>
      <c r="L218" s="44">
        <v>0.0</v>
      </c>
      <c r="M218" s="44">
        <v>-1.0</v>
      </c>
      <c r="N218" s="44">
        <v>0.0</v>
      </c>
      <c r="O218" s="44">
        <v>0.0</v>
      </c>
      <c r="P218" s="44">
        <v>0.0</v>
      </c>
      <c r="Q218" s="44" t="s">
        <v>61</v>
      </c>
      <c r="R218" s="44" t="s">
        <v>685</v>
      </c>
      <c r="S218" s="175"/>
      <c r="T218" s="44">
        <v>0.0</v>
      </c>
      <c r="U218" s="44">
        <v>0.0</v>
      </c>
      <c r="V218" s="44">
        <v>0.0</v>
      </c>
      <c r="W218" s="45"/>
      <c r="X218" s="45"/>
      <c r="Y218" s="45"/>
      <c r="Z218" s="9"/>
    </row>
    <row r="219" ht="14.25" customHeight="1">
      <c r="A219" s="282">
        <v>1.0</v>
      </c>
      <c r="B219" s="283" t="s">
        <v>3369</v>
      </c>
      <c r="C219" s="44">
        <v>216.0</v>
      </c>
      <c r="D219" s="44">
        <v>5.0</v>
      </c>
      <c r="E219" s="287">
        <v>43548.0</v>
      </c>
      <c r="F219" s="162" t="str">
        <f>HYPERLINK("https://tirto.id/kampanye-perdana-di-serang-jokowi-mustahil-melarang-azan-dkbe ","sumber")</f>
        <v>sumber</v>
      </c>
      <c r="G219" s="269" t="s">
        <v>33</v>
      </c>
      <c r="H219" s="45" t="s">
        <v>3262</v>
      </c>
      <c r="I219" s="44">
        <v>1.0</v>
      </c>
      <c r="J219" s="44">
        <v>3.0</v>
      </c>
      <c r="K219" s="164" t="s">
        <v>3370</v>
      </c>
      <c r="L219" s="44">
        <v>0.0</v>
      </c>
      <c r="M219" s="44">
        <v>-1.0</v>
      </c>
      <c r="N219" s="44">
        <v>0.0</v>
      </c>
      <c r="O219" s="44">
        <v>0.0</v>
      </c>
      <c r="P219" s="44">
        <v>0.0</v>
      </c>
      <c r="Q219" s="44">
        <v>0.0</v>
      </c>
      <c r="R219" s="44">
        <v>-1.0</v>
      </c>
      <c r="S219" s="175"/>
      <c r="T219" s="44">
        <v>0.0</v>
      </c>
      <c r="U219" s="44">
        <v>0.0</v>
      </c>
      <c r="V219" s="44">
        <v>0.0</v>
      </c>
      <c r="W219" s="45"/>
      <c r="X219" s="45"/>
      <c r="Y219" s="45"/>
      <c r="Z219" s="9"/>
    </row>
    <row r="220" ht="14.25" customHeight="1">
      <c r="A220" s="282">
        <v>1.0</v>
      </c>
      <c r="B220" s="283" t="s">
        <v>3371</v>
      </c>
      <c r="C220" s="44">
        <v>217.0</v>
      </c>
      <c r="D220" s="44">
        <v>2.0</v>
      </c>
      <c r="E220" s="287">
        <v>43549.0</v>
      </c>
      <c r="F220" s="162" t="str">
        <f>HYPERLINK("https://www.cnnindonesia.com/nasional/20190325163900-20-380502/mui-kaji-ruu-pks-agar-bisa-cegah-pernikahan-sejenis ","sumber")</f>
        <v>sumber</v>
      </c>
      <c r="G220" s="269" t="s">
        <v>33</v>
      </c>
      <c r="H220" s="45" t="s">
        <v>3372</v>
      </c>
      <c r="I220" s="44">
        <v>4.0</v>
      </c>
      <c r="J220" s="44">
        <v>3.0</v>
      </c>
      <c r="K220" s="164" t="s">
        <v>3373</v>
      </c>
      <c r="L220" s="44">
        <v>0.0</v>
      </c>
      <c r="M220" s="44">
        <v>0.0</v>
      </c>
      <c r="N220" s="44">
        <v>0.0</v>
      </c>
      <c r="O220" s="44">
        <v>0.0</v>
      </c>
      <c r="P220" s="44">
        <v>0.0</v>
      </c>
      <c r="Q220" s="44">
        <v>0.0</v>
      </c>
      <c r="R220" s="44">
        <v>-1.0</v>
      </c>
      <c r="S220" s="164" t="s">
        <v>3374</v>
      </c>
      <c r="T220" s="44">
        <v>2.0</v>
      </c>
      <c r="U220" s="44">
        <v>0.0</v>
      </c>
      <c r="V220" s="44">
        <v>0.0</v>
      </c>
      <c r="W220" s="45"/>
      <c r="X220" s="45"/>
      <c r="Y220" s="45"/>
      <c r="Z220" s="9"/>
    </row>
    <row r="221" ht="14.25" customHeight="1">
      <c r="A221" s="282">
        <v>1.0</v>
      </c>
      <c r="B221" s="283" t="s">
        <v>3375</v>
      </c>
      <c r="C221" s="44">
        <v>218.0</v>
      </c>
      <c r="D221" s="44">
        <v>7.0</v>
      </c>
      <c r="E221" s="287">
        <v>43549.0</v>
      </c>
      <c r="F221" s="162" t="str">
        <f>HYPERLINK("http://www.tribunnews.com/seleb/2019/03/25/suami-lucinta-luna-terima-apa-adanya-status-transgender-ini-bahaya-operasi-kelamin-yang-mematikan ","sumber")</f>
        <v>sumber</v>
      </c>
      <c r="G221" s="269" t="s">
        <v>33</v>
      </c>
      <c r="H221" s="45" t="s">
        <v>3376</v>
      </c>
      <c r="I221" s="44">
        <v>2.0</v>
      </c>
      <c r="J221" s="44">
        <v>3.0</v>
      </c>
      <c r="K221" s="164" t="s">
        <v>3377</v>
      </c>
      <c r="L221" s="44">
        <v>0.0</v>
      </c>
      <c r="M221" s="44">
        <v>0.0</v>
      </c>
      <c r="N221" s="44">
        <v>-1.0</v>
      </c>
      <c r="O221" s="44">
        <v>0.0</v>
      </c>
      <c r="P221" s="44">
        <v>0.0</v>
      </c>
      <c r="Q221" s="44">
        <v>0.0</v>
      </c>
      <c r="R221" s="44">
        <v>-1.0</v>
      </c>
      <c r="S221" s="164" t="s">
        <v>3378</v>
      </c>
      <c r="T221" s="44">
        <v>1.0</v>
      </c>
      <c r="U221" s="44">
        <v>0.0</v>
      </c>
      <c r="V221" s="44">
        <v>0.0</v>
      </c>
      <c r="W221" s="45"/>
      <c r="X221" s="45"/>
      <c r="Y221" s="45"/>
      <c r="Z221" s="9"/>
    </row>
    <row r="222" ht="14.25" customHeight="1">
      <c r="A222" s="282">
        <v>1.0</v>
      </c>
      <c r="B222" s="283" t="s">
        <v>3379</v>
      </c>
      <c r="C222" s="44">
        <v>219.0</v>
      </c>
      <c r="D222" s="44">
        <v>1.0</v>
      </c>
      <c r="E222" s="287">
        <v>43550.0</v>
      </c>
      <c r="F222" s="162" t="str">
        <f>HYPERLINK("https://news.detik.com/berita/d-4483232/dukungan-mui-di-tengah-polemik-ruu-pks ","sumber")</f>
        <v>sumber</v>
      </c>
      <c r="G222" s="269" t="s">
        <v>33</v>
      </c>
      <c r="H222" s="45" t="s">
        <v>3380</v>
      </c>
      <c r="I222" s="44">
        <v>4.0</v>
      </c>
      <c r="J222" s="44">
        <v>3.0</v>
      </c>
      <c r="K222" s="164" t="s">
        <v>3381</v>
      </c>
      <c r="L222" s="44">
        <v>0.0</v>
      </c>
      <c r="M222" s="44">
        <v>0.0</v>
      </c>
      <c r="N222" s="44">
        <v>0.0</v>
      </c>
      <c r="O222" s="44">
        <v>0.0</v>
      </c>
      <c r="P222" s="44">
        <v>0.0</v>
      </c>
      <c r="Q222" s="44" t="s">
        <v>61</v>
      </c>
      <c r="R222" s="44" t="s">
        <v>685</v>
      </c>
      <c r="S222" s="164" t="s">
        <v>1431</v>
      </c>
      <c r="T222" s="44">
        <v>1.0</v>
      </c>
      <c r="U222" s="44">
        <v>0.0</v>
      </c>
      <c r="V222" s="44">
        <v>0.0</v>
      </c>
      <c r="W222" s="45"/>
      <c r="X222" s="45"/>
      <c r="Y222" s="45"/>
      <c r="Z222" s="9"/>
    </row>
    <row r="223" ht="14.25" customHeight="1">
      <c r="A223" s="282">
        <v>1.0</v>
      </c>
      <c r="B223" s="283" t="s">
        <v>3382</v>
      </c>
      <c r="C223" s="44">
        <v>220.0</v>
      </c>
      <c r="D223" s="44">
        <v>9.0</v>
      </c>
      <c r="E223" s="287">
        <v>43551.0</v>
      </c>
      <c r="F223" s="162" t="str">
        <f>HYPERLINK("https://nasional.republika.co.id/berita/nasional/umum/pp0yut335/jokowi-pembangunan-di-perbatasan-akan-kalahkan-malaysia ","sumber")</f>
        <v>sumber</v>
      </c>
      <c r="G223" s="269" t="s">
        <v>33</v>
      </c>
      <c r="H223" s="45" t="s">
        <v>3128</v>
      </c>
      <c r="I223" s="44">
        <v>1.0</v>
      </c>
      <c r="J223" s="44">
        <v>3.0</v>
      </c>
      <c r="K223" s="164" t="s">
        <v>3370</v>
      </c>
      <c r="L223" s="44">
        <v>0.0</v>
      </c>
      <c r="M223" s="44">
        <v>-1.0</v>
      </c>
      <c r="N223" s="44">
        <v>0.0</v>
      </c>
      <c r="O223" s="44">
        <v>0.0</v>
      </c>
      <c r="P223" s="44">
        <v>0.0</v>
      </c>
      <c r="Q223" s="44">
        <v>0.0</v>
      </c>
      <c r="R223" s="44">
        <v>-1.0</v>
      </c>
      <c r="S223" s="175"/>
      <c r="T223" s="44">
        <v>0.0</v>
      </c>
      <c r="U223" s="44">
        <v>0.0</v>
      </c>
      <c r="V223" s="44">
        <v>0.0</v>
      </c>
      <c r="W223" s="45"/>
      <c r="X223" s="45"/>
      <c r="Y223" s="45"/>
      <c r="Z223" s="9"/>
    </row>
    <row r="224" ht="14.25" customHeight="1">
      <c r="A224" s="282">
        <v>1.0</v>
      </c>
      <c r="B224" s="283" t="s">
        <v>3383</v>
      </c>
      <c r="C224" s="44">
        <v>221.0</v>
      </c>
      <c r="D224" s="44">
        <v>4.0</v>
      </c>
      <c r="E224" s="287">
        <v>43554.0</v>
      </c>
      <c r="F224" s="162" t="str">
        <f>HYPERLINK("https://www.liputan6.com/global/read/3929753/protes-sanksi-rajam-homoseksual-george-clooney-serukan-boikot-hotel-brunei ","sumber")</f>
        <v>sumber</v>
      </c>
      <c r="G224" s="269" t="s">
        <v>33</v>
      </c>
      <c r="H224" s="45" t="s">
        <v>3384</v>
      </c>
      <c r="I224" s="44">
        <v>1.0</v>
      </c>
      <c r="J224" s="44">
        <v>3.0</v>
      </c>
      <c r="K224" s="164" t="s">
        <v>3385</v>
      </c>
      <c r="L224" s="44">
        <v>0.0</v>
      </c>
      <c r="M224" s="44">
        <v>1.0</v>
      </c>
      <c r="N224" s="44">
        <v>0.0</v>
      </c>
      <c r="O224" s="44">
        <v>0.0</v>
      </c>
      <c r="P224" s="44">
        <v>0.0</v>
      </c>
      <c r="Q224" s="44" t="s">
        <v>53</v>
      </c>
      <c r="R224" s="44" t="s">
        <v>1450</v>
      </c>
      <c r="S224" s="175"/>
      <c r="T224" s="44">
        <v>0.0</v>
      </c>
      <c r="U224" s="44">
        <v>0.0</v>
      </c>
      <c r="V224" s="44">
        <v>1.0</v>
      </c>
      <c r="W224" s="45"/>
      <c r="X224" s="45"/>
      <c r="Y224" s="45"/>
      <c r="Z224" s="9"/>
    </row>
    <row r="225" ht="14.25" customHeight="1">
      <c r="A225" s="282">
        <v>1.0</v>
      </c>
      <c r="B225" s="283" t="s">
        <v>3386</v>
      </c>
      <c r="C225" s="44">
        <v>222.0</v>
      </c>
      <c r="D225" s="44">
        <v>7.0</v>
      </c>
      <c r="E225" s="287">
        <v>43554.0</v>
      </c>
      <c r="F225" s="162" t="str">
        <f>HYPERLINK("https://www.tribunnews.com/internasional/2019/03/30/george-clooney-serukan-pemboikotan-hotel-terkait-hukuman-mati-bagi-lgbt-di-brunei","sumber")</f>
        <v>sumber</v>
      </c>
      <c r="G225" s="269" t="s">
        <v>33</v>
      </c>
      <c r="H225" s="45" t="s">
        <v>3387</v>
      </c>
      <c r="I225" s="44">
        <v>1.0</v>
      </c>
      <c r="J225" s="44">
        <v>3.0</v>
      </c>
      <c r="K225" s="164" t="s">
        <v>3388</v>
      </c>
      <c r="L225" s="44">
        <v>0.0</v>
      </c>
      <c r="M225" s="44">
        <v>1.0</v>
      </c>
      <c r="N225" s="44">
        <v>0.0</v>
      </c>
      <c r="O225" s="44">
        <v>0.0</v>
      </c>
      <c r="P225" s="44">
        <v>0.0</v>
      </c>
      <c r="Q225" s="44" t="s">
        <v>3389</v>
      </c>
      <c r="R225" s="44" t="s">
        <v>1473</v>
      </c>
      <c r="S225" s="164" t="s">
        <v>3390</v>
      </c>
      <c r="T225" s="44">
        <v>1.0</v>
      </c>
      <c r="U225" s="44">
        <v>0.0</v>
      </c>
      <c r="V225" s="44">
        <v>0.0</v>
      </c>
      <c r="W225" s="45"/>
      <c r="X225" s="45"/>
      <c r="Y225" s="45"/>
      <c r="Z225" s="9"/>
    </row>
    <row r="226" ht="14.25" customHeight="1">
      <c r="A226" s="282">
        <v>1.0</v>
      </c>
      <c r="B226" s="283" t="s">
        <v>3391</v>
      </c>
      <c r="C226" s="44">
        <v>223.0</v>
      </c>
      <c r="D226" s="44">
        <v>5.0</v>
      </c>
      <c r="E226" s="287">
        <v>43556.0</v>
      </c>
      <c r="F226" s="162" t="str">
        <f>HYPERLINK("https://tirto.id/elton-john-boikot-hotel-milik-sultan-brunei-karena-hukum-mati-lgbt-dkRe ","sumber")</f>
        <v>sumber</v>
      </c>
      <c r="G226" s="269" t="s">
        <v>33</v>
      </c>
      <c r="H226" s="45" t="s">
        <v>3392</v>
      </c>
      <c r="I226" s="44">
        <v>1.0</v>
      </c>
      <c r="J226" s="44">
        <v>3.0</v>
      </c>
      <c r="K226" s="164" t="s">
        <v>3393</v>
      </c>
      <c r="L226" s="44">
        <v>0.0</v>
      </c>
      <c r="M226" s="44">
        <v>1.0</v>
      </c>
      <c r="N226" s="44">
        <v>0.0</v>
      </c>
      <c r="O226" s="44">
        <v>0.0</v>
      </c>
      <c r="P226" s="44">
        <v>0.0</v>
      </c>
      <c r="Q226" s="44" t="s">
        <v>80</v>
      </c>
      <c r="R226" s="44" t="s">
        <v>341</v>
      </c>
      <c r="S226" s="164" t="s">
        <v>3394</v>
      </c>
      <c r="T226" s="44">
        <v>1.0</v>
      </c>
      <c r="U226" s="44">
        <v>0.0</v>
      </c>
      <c r="V226" s="44">
        <v>0.0</v>
      </c>
      <c r="W226" s="45"/>
      <c r="X226" s="45"/>
      <c r="Y226" s="45"/>
      <c r="Z226" s="9"/>
    </row>
    <row r="227" ht="14.25" customHeight="1">
      <c r="A227" s="282">
        <v>1.0</v>
      </c>
      <c r="B227" s="283" t="s">
        <v>758</v>
      </c>
      <c r="C227" s="44">
        <v>224.0</v>
      </c>
      <c r="D227" s="44">
        <v>4.0</v>
      </c>
      <c r="E227" s="287">
        <v>43559.0</v>
      </c>
      <c r="F227" s="162" t="str">
        <f>HYPERLINK("https://www.liputan6.com/news/read/3933673/wakil-ketua-mpr-umat-islam-ikut-menyelamatkan-pancasila-dan-nkri ","sumber")</f>
        <v>sumber</v>
      </c>
      <c r="G227" s="269" t="s">
        <v>33</v>
      </c>
      <c r="H227" s="45" t="s">
        <v>3395</v>
      </c>
      <c r="I227" s="44">
        <v>1.0</v>
      </c>
      <c r="J227" s="44">
        <v>3.0</v>
      </c>
      <c r="K227" s="164" t="s">
        <v>3396</v>
      </c>
      <c r="L227" s="44">
        <v>0.0</v>
      </c>
      <c r="M227" s="44">
        <v>-1.0</v>
      </c>
      <c r="N227" s="44">
        <v>0.0</v>
      </c>
      <c r="O227" s="44">
        <v>0.0</v>
      </c>
      <c r="P227" s="44">
        <v>0.0</v>
      </c>
      <c r="Q227" s="44">
        <v>0.0</v>
      </c>
      <c r="R227" s="44">
        <v>-1.0</v>
      </c>
      <c r="S227" s="175"/>
      <c r="T227" s="44">
        <v>0.0</v>
      </c>
      <c r="U227" s="44">
        <v>0.0</v>
      </c>
      <c r="V227" s="44">
        <v>0.0</v>
      </c>
      <c r="W227" s="45"/>
      <c r="X227" s="45"/>
      <c r="Y227" s="45"/>
      <c r="Z227" s="9"/>
    </row>
    <row r="228" ht="14.25" customHeight="1">
      <c r="A228" s="282">
        <v>1.0</v>
      </c>
      <c r="B228" s="283" t="s">
        <v>3397</v>
      </c>
      <c r="C228" s="44">
        <v>225.0</v>
      </c>
      <c r="D228" s="44">
        <v>3.0</v>
      </c>
      <c r="E228" s="287">
        <v>43559.0</v>
      </c>
      <c r="F228" s="162" t="str">
        <f>HYPERLINK("https://celebrity.okezone.com/read/2019/04/04/33/2038978/lucinta-luna-ngaku-sebagai-lisa-blackpink-di-hadapan-warga-rusia ","sumber")</f>
        <v>sumber</v>
      </c>
      <c r="G228" s="269" t="s">
        <v>33</v>
      </c>
      <c r="H228" s="45" t="s">
        <v>3398</v>
      </c>
      <c r="I228" s="44">
        <v>1.0</v>
      </c>
      <c r="J228" s="44">
        <v>3.0</v>
      </c>
      <c r="K228" s="164"/>
      <c r="L228" s="44">
        <v>-1.0</v>
      </c>
      <c r="M228" s="44">
        <v>-1.0</v>
      </c>
      <c r="N228" s="44">
        <v>-1.0</v>
      </c>
      <c r="O228" s="44">
        <v>0.0</v>
      </c>
      <c r="P228" s="44">
        <v>0.0</v>
      </c>
      <c r="Q228" s="44"/>
      <c r="R228" s="44"/>
      <c r="S228" s="164" t="s">
        <v>3399</v>
      </c>
      <c r="T228" s="44">
        <v>1.0</v>
      </c>
      <c r="U228" s="44">
        <v>0.0</v>
      </c>
      <c r="V228" s="44">
        <v>0.0</v>
      </c>
      <c r="W228" s="45"/>
      <c r="X228" s="45"/>
      <c r="Y228" s="45"/>
      <c r="Z228" s="9"/>
    </row>
    <row r="229" ht="14.25" customHeight="1">
      <c r="A229" s="282">
        <v>1.0</v>
      </c>
      <c r="B229" s="283" t="s">
        <v>1479</v>
      </c>
      <c r="C229" s="44">
        <v>226.0</v>
      </c>
      <c r="D229" s="44">
        <v>10.0</v>
      </c>
      <c r="E229" s="287">
        <v>43559.0</v>
      </c>
      <c r="F229" s="162" t="str">
        <f>HYPERLINK("https://seleb.tempo.co/read/1192133/millendaru-ungkap-identitas-diri-ke-hotman-paris ","sumber")</f>
        <v>sumber</v>
      </c>
      <c r="G229" s="269" t="s">
        <v>33</v>
      </c>
      <c r="H229" s="45" t="s">
        <v>3400</v>
      </c>
      <c r="I229" s="44">
        <v>2.0</v>
      </c>
      <c r="J229" s="44">
        <v>3.0</v>
      </c>
      <c r="K229" s="164" t="s">
        <v>3401</v>
      </c>
      <c r="L229" s="44">
        <v>0.0</v>
      </c>
      <c r="M229" s="44">
        <v>0.0</v>
      </c>
      <c r="N229" s="44">
        <v>0.0</v>
      </c>
      <c r="O229" s="44">
        <v>0.0</v>
      </c>
      <c r="P229" s="44">
        <v>0.0</v>
      </c>
      <c r="Q229" s="228" t="s">
        <v>1960</v>
      </c>
      <c r="R229" s="44" t="s">
        <v>138</v>
      </c>
      <c r="S229" s="175"/>
      <c r="T229" s="44">
        <v>0.0</v>
      </c>
      <c r="U229" s="44">
        <v>0.0</v>
      </c>
      <c r="V229" s="44">
        <v>0.0</v>
      </c>
      <c r="W229" s="45"/>
      <c r="X229" s="45"/>
      <c r="Y229" s="45"/>
      <c r="Z229" s="9"/>
    </row>
    <row r="230" ht="14.25" customHeight="1">
      <c r="A230" s="282">
        <v>1.0</v>
      </c>
      <c r="B230" s="283" t="s">
        <v>3402</v>
      </c>
      <c r="C230" s="44">
        <v>227.0</v>
      </c>
      <c r="D230" s="44">
        <v>5.0</v>
      </c>
      <c r="E230" s="287">
        <v>43559.0</v>
      </c>
      <c r="F230" s="162" t="str">
        <f>HYPERLINK("https://tirto.id/rajam-lgbt-dalam-bayang-bayang-boikot-skandal-adik-sultan-brunei-dkZn","sumber")</f>
        <v>sumber</v>
      </c>
      <c r="G230" s="269" t="s">
        <v>33</v>
      </c>
      <c r="H230" s="45" t="s">
        <v>3403</v>
      </c>
      <c r="I230" s="44">
        <v>4.0</v>
      </c>
      <c r="J230" s="44">
        <v>3.0</v>
      </c>
      <c r="K230" s="164" t="s">
        <v>3404</v>
      </c>
      <c r="L230" s="44">
        <v>0.0</v>
      </c>
      <c r="M230" s="44">
        <v>0.0</v>
      </c>
      <c r="N230" s="44">
        <v>0.0</v>
      </c>
      <c r="O230" s="44">
        <v>0.0</v>
      </c>
      <c r="P230" s="44">
        <v>0.0</v>
      </c>
      <c r="Q230" s="164" t="s">
        <v>3405</v>
      </c>
      <c r="R230" s="44" t="s">
        <v>3406</v>
      </c>
      <c r="S230" s="164" t="s">
        <v>3407</v>
      </c>
      <c r="T230" s="44">
        <v>4.0</v>
      </c>
      <c r="U230" s="44">
        <v>0.0</v>
      </c>
      <c r="V230" s="44">
        <v>1.0</v>
      </c>
      <c r="W230" s="45"/>
      <c r="X230" s="45"/>
      <c r="Y230" s="45"/>
      <c r="Z230" s="9"/>
    </row>
    <row r="231" ht="14.25" customHeight="1">
      <c r="A231" s="282">
        <v>1.0</v>
      </c>
      <c r="B231" s="283" t="s">
        <v>3408</v>
      </c>
      <c r="C231" s="44">
        <v>228.0</v>
      </c>
      <c r="D231" s="44">
        <v>8.0</v>
      </c>
      <c r="E231" s="287">
        <v>43560.0</v>
      </c>
      <c r="F231" s="162" t="str">
        <f>HYPERLINK("https://www.suara.com/news/2019/04/05/203357/tanggapi-the-guardian-kubu-prabowo-jokowi-tak-seindah-dalam-impian ","sumber")</f>
        <v>sumber</v>
      </c>
      <c r="G231" s="269" t="s">
        <v>33</v>
      </c>
      <c r="H231" s="45" t="s">
        <v>3409</v>
      </c>
      <c r="I231" s="44">
        <v>4.0</v>
      </c>
      <c r="J231" s="44">
        <v>3.0</v>
      </c>
      <c r="K231" s="164" t="s">
        <v>3410</v>
      </c>
      <c r="L231" s="44">
        <v>0.0</v>
      </c>
      <c r="M231" s="44">
        <v>0.0</v>
      </c>
      <c r="N231" s="44">
        <v>0.0</v>
      </c>
      <c r="O231" s="44">
        <v>0.0</v>
      </c>
      <c r="P231" s="44">
        <v>0.0</v>
      </c>
      <c r="Q231" s="44">
        <v>0.0</v>
      </c>
      <c r="R231" s="44">
        <v>0.0</v>
      </c>
      <c r="S231" s="175"/>
      <c r="T231" s="44">
        <v>0.0</v>
      </c>
      <c r="U231" s="44">
        <v>0.0</v>
      </c>
      <c r="V231" s="44">
        <v>0.0</v>
      </c>
      <c r="W231" s="45"/>
      <c r="X231" s="45"/>
      <c r="Y231" s="45"/>
      <c r="Z231" s="9"/>
    </row>
    <row r="232" ht="14.25" customHeight="1">
      <c r="A232" s="282">
        <v>1.0</v>
      </c>
      <c r="B232" s="283" t="s">
        <v>3411</v>
      </c>
      <c r="C232" s="44">
        <v>229.0</v>
      </c>
      <c r="D232" s="44">
        <v>5.0</v>
      </c>
      <c r="E232" s="287">
        <v>43560.0</v>
      </c>
      <c r="F232" s="162" t="str">
        <f>HYPERLINK("https://tirto.id/usu-perguruan-tinggi-yang-fobia-lgbt-dlbw ","sumber")</f>
        <v>sumber</v>
      </c>
      <c r="G232" s="269" t="s">
        <v>33</v>
      </c>
      <c r="H232" s="45" t="s">
        <v>3412</v>
      </c>
      <c r="I232" s="44">
        <v>1.0</v>
      </c>
      <c r="J232" s="44">
        <v>3.0</v>
      </c>
      <c r="K232" s="164" t="s">
        <v>3413</v>
      </c>
      <c r="L232" s="44">
        <v>0.0</v>
      </c>
      <c r="M232" s="44">
        <v>1.0</v>
      </c>
      <c r="N232" s="44">
        <v>0.0</v>
      </c>
      <c r="O232" s="44">
        <v>0.0</v>
      </c>
      <c r="P232" s="44">
        <v>0.0</v>
      </c>
      <c r="Q232" s="164" t="s">
        <v>3414</v>
      </c>
      <c r="R232" s="164" t="s">
        <v>3415</v>
      </c>
      <c r="S232" s="175"/>
      <c r="T232" s="44">
        <v>0.0</v>
      </c>
      <c r="U232" s="44">
        <v>0.0</v>
      </c>
      <c r="V232" s="44">
        <v>1.0</v>
      </c>
      <c r="W232" s="45"/>
      <c r="X232" s="45"/>
      <c r="Y232" s="45"/>
      <c r="Z232" s="9"/>
    </row>
    <row r="233" ht="14.25" customHeight="1">
      <c r="A233" s="282">
        <v>1.0</v>
      </c>
      <c r="B233" s="283" t="s">
        <v>1483</v>
      </c>
      <c r="C233" s="44">
        <v>230.0</v>
      </c>
      <c r="D233" s="44">
        <v>1.0</v>
      </c>
      <c r="E233" s="287">
        <v>43561.0</v>
      </c>
      <c r="F233" s="162" t="str">
        <f>HYPERLINK("https://news.detik.com/berita/d-4499550/hukuman-mati-lgbt-berimbas-ke-hotel-hotel-brunei ","sumber")</f>
        <v>sumber</v>
      </c>
      <c r="G233" s="269" t="s">
        <v>33</v>
      </c>
      <c r="H233" s="45" t="s">
        <v>3416</v>
      </c>
      <c r="I233" s="44">
        <v>1.0</v>
      </c>
      <c r="J233" s="44">
        <v>3.0</v>
      </c>
      <c r="K233" s="164" t="s">
        <v>3417</v>
      </c>
      <c r="L233" s="44">
        <v>0.0</v>
      </c>
      <c r="M233" s="44">
        <v>1.0</v>
      </c>
      <c r="N233" s="44">
        <v>0.0</v>
      </c>
      <c r="O233" s="44">
        <v>0.0</v>
      </c>
      <c r="P233" s="44">
        <v>0.0</v>
      </c>
      <c r="Q233" s="164" t="s">
        <v>3418</v>
      </c>
      <c r="R233" s="164" t="s">
        <v>3419</v>
      </c>
      <c r="S233" s="164" t="s">
        <v>3420</v>
      </c>
      <c r="T233" s="44">
        <v>3.0</v>
      </c>
      <c r="U233" s="44">
        <v>0.0</v>
      </c>
      <c r="V233" s="44">
        <v>0.0</v>
      </c>
      <c r="W233" s="45"/>
      <c r="X233" s="45"/>
      <c r="Y233" s="45"/>
      <c r="Z233" s="9"/>
    </row>
    <row r="234" ht="14.25" customHeight="1">
      <c r="A234" s="254">
        <v>1.0</v>
      </c>
      <c r="B234" s="68" t="s">
        <v>3421</v>
      </c>
      <c r="C234" s="55">
        <v>231.0</v>
      </c>
      <c r="D234" s="55">
        <v>5.0</v>
      </c>
      <c r="E234" s="296">
        <v>43565.0</v>
      </c>
      <c r="F234" s="304" t="str">
        <f>HYPERLINK("https://tirto.id/dewan-pers-rektor-harus-hargai-kebebasan-ekspresi-pers-mahasiswa-dlE5 ","sumber")</f>
        <v>sumber</v>
      </c>
      <c r="G234" s="277" t="s">
        <v>33</v>
      </c>
      <c r="H234" s="55">
        <v>285.0</v>
      </c>
      <c r="I234" s="55">
        <v>1.0</v>
      </c>
      <c r="J234" s="55">
        <v>3.0</v>
      </c>
      <c r="K234" s="172" t="s">
        <v>3422</v>
      </c>
      <c r="L234" s="55">
        <v>0.0</v>
      </c>
      <c r="M234" s="55">
        <v>-1.0</v>
      </c>
      <c r="N234" s="55">
        <v>0.0</v>
      </c>
      <c r="O234" s="55">
        <v>0.0</v>
      </c>
      <c r="P234" s="55">
        <v>0.0</v>
      </c>
      <c r="Q234" s="55">
        <v>0.0</v>
      </c>
      <c r="R234" s="55">
        <v>1.0</v>
      </c>
      <c r="S234" s="172"/>
      <c r="T234" s="55">
        <v>0.0</v>
      </c>
      <c r="U234" s="55">
        <v>0.0</v>
      </c>
      <c r="V234" s="55">
        <v>1.0</v>
      </c>
      <c r="W234" s="46"/>
      <c r="X234" s="46"/>
      <c r="Y234" s="55"/>
      <c r="Z234" s="30"/>
    </row>
    <row r="235" ht="14.25" customHeight="1">
      <c r="A235" s="282">
        <v>1.0</v>
      </c>
      <c r="B235" s="283" t="s">
        <v>3423</v>
      </c>
      <c r="C235" s="44">
        <v>232.0</v>
      </c>
      <c r="D235" s="44">
        <v>4.0</v>
      </c>
      <c r="E235" s="287">
        <v>43570.0</v>
      </c>
      <c r="F235" s="162" t="str">
        <f>HYPERLINK("https://www.liputan6.com/global/read/3942072/wali-kota-gay-ini-resmi-mencalonkan-diri-sebagai-presiden-as-2020 ","sumber")</f>
        <v>sumber</v>
      </c>
      <c r="G235" s="269" t="s">
        <v>33</v>
      </c>
      <c r="H235" s="45" t="s">
        <v>3424</v>
      </c>
      <c r="I235" s="44">
        <v>2.0</v>
      </c>
      <c r="J235" s="44">
        <v>3.0</v>
      </c>
      <c r="K235" s="164" t="s">
        <v>3425</v>
      </c>
      <c r="L235" s="44">
        <v>0.0</v>
      </c>
      <c r="M235" s="44">
        <v>0.0</v>
      </c>
      <c r="N235" s="44">
        <v>0.0</v>
      </c>
      <c r="O235" s="44">
        <v>0.0</v>
      </c>
      <c r="P235" s="44">
        <v>0.0</v>
      </c>
      <c r="Q235" s="44" t="s">
        <v>814</v>
      </c>
      <c r="R235" s="44" t="s">
        <v>2871</v>
      </c>
      <c r="S235" s="175"/>
      <c r="T235" s="44">
        <v>0.0</v>
      </c>
      <c r="U235" s="44">
        <v>0.0</v>
      </c>
      <c r="V235" s="44">
        <v>0.0</v>
      </c>
      <c r="W235" s="45"/>
      <c r="X235" s="45"/>
      <c r="Y235" s="45"/>
      <c r="Z235" s="9"/>
    </row>
    <row r="236" ht="14.25" customHeight="1">
      <c r="A236" s="282">
        <v>1.0</v>
      </c>
      <c r="B236" s="283" t="s">
        <v>3426</v>
      </c>
      <c r="C236" s="44">
        <v>233.0</v>
      </c>
      <c r="D236" s="44">
        <v>1.0</v>
      </c>
      <c r="E236" s="287">
        <v>43571.0</v>
      </c>
      <c r="F236" s="162" t="str">
        <f>HYPERLINK("https://news.detik.com/berita/d-4512334/pengakuan-dan-air-mata-penyesalan-pemutilasi-mayat-dalam-koper ","sumber")</f>
        <v>sumber</v>
      </c>
      <c r="G236" s="269" t="s">
        <v>33</v>
      </c>
      <c r="H236" s="45" t="s">
        <v>3427</v>
      </c>
      <c r="I236" s="44">
        <v>1.0</v>
      </c>
      <c r="J236" s="44">
        <v>3.0</v>
      </c>
      <c r="K236" s="164" t="s">
        <v>3428</v>
      </c>
      <c r="L236" s="44">
        <v>0.0</v>
      </c>
      <c r="M236" s="44">
        <v>-1.0</v>
      </c>
      <c r="N236" s="44">
        <v>-1.0</v>
      </c>
      <c r="O236" s="44">
        <v>0.0</v>
      </c>
      <c r="P236" s="44">
        <v>0.0</v>
      </c>
      <c r="Q236" s="44" t="s">
        <v>166</v>
      </c>
      <c r="R236" s="44" t="s">
        <v>53</v>
      </c>
      <c r="S236" s="164" t="s">
        <v>3429</v>
      </c>
      <c r="T236" s="44">
        <v>1.0</v>
      </c>
      <c r="U236" s="44">
        <v>-1.0</v>
      </c>
      <c r="V236" s="44">
        <v>0.0</v>
      </c>
      <c r="W236" s="45"/>
      <c r="X236" s="45"/>
      <c r="Y236" s="45"/>
      <c r="Z236" s="9"/>
    </row>
    <row r="237" ht="14.25" customHeight="1">
      <c r="A237" s="214">
        <v>2.0</v>
      </c>
      <c r="B237" s="285" t="s">
        <v>3430</v>
      </c>
      <c r="C237" s="47">
        <v>234.0</v>
      </c>
      <c r="D237" s="47">
        <v>3.0</v>
      </c>
      <c r="E237" s="288">
        <v>43572.0</v>
      </c>
      <c r="F237" s="156" t="str">
        <f>HYPERLINK("https://index.okezone.com/read/2019/04/17/612/2044868/synodontis-ikan-pemalu-si-perenang-terbalik ","sumber")</f>
        <v>sumber</v>
      </c>
      <c r="G237" s="274" t="s">
        <v>33</v>
      </c>
      <c r="H237" s="48" t="s">
        <v>3431</v>
      </c>
      <c r="I237" s="47">
        <v>2.0</v>
      </c>
      <c r="J237" s="47">
        <v>3.0</v>
      </c>
      <c r="K237" s="165"/>
      <c r="L237" s="48"/>
      <c r="M237" s="48"/>
      <c r="N237" s="48"/>
      <c r="O237" s="48"/>
      <c r="P237" s="48"/>
      <c r="Q237" s="48"/>
      <c r="R237" s="48"/>
      <c r="S237" s="165"/>
      <c r="T237" s="48"/>
      <c r="U237" s="48"/>
      <c r="V237" s="48"/>
      <c r="W237" s="48"/>
      <c r="X237" s="48"/>
      <c r="Y237" s="47"/>
      <c r="Z237" s="43"/>
    </row>
    <row r="238" ht="14.25" customHeight="1">
      <c r="A238" s="282">
        <v>1.0</v>
      </c>
      <c r="B238" s="283" t="s">
        <v>3432</v>
      </c>
      <c r="C238" s="44">
        <v>235.0</v>
      </c>
      <c r="D238" s="44">
        <v>7.0</v>
      </c>
      <c r="E238" s="287">
        <v>43573.0</v>
      </c>
      <c r="F238" s="162" t="str">
        <f>HYPERLINK("https://www.tribunnews.com/regional/2019/04/18/lihat-ruang-vip-rumah-sakit-yang-siap-tampung-caleg-stres-2019-ini-fasilitas-setara-hotel-bintang-5","sumber")</f>
        <v>sumber</v>
      </c>
      <c r="G238" s="269" t="s">
        <v>33</v>
      </c>
      <c r="H238" s="45" t="s">
        <v>3433</v>
      </c>
      <c r="I238" s="44">
        <v>2.0</v>
      </c>
      <c r="J238" s="44">
        <v>2.0</v>
      </c>
      <c r="K238" s="164" t="s">
        <v>3434</v>
      </c>
      <c r="L238" s="44">
        <v>0.0</v>
      </c>
      <c r="M238" s="44">
        <v>0.0</v>
      </c>
      <c r="N238" s="44">
        <v>0.0</v>
      </c>
      <c r="O238" s="44">
        <v>0.0</v>
      </c>
      <c r="P238" s="44">
        <v>0.0</v>
      </c>
      <c r="Q238" s="44" t="s">
        <v>61</v>
      </c>
      <c r="R238" s="44" t="s">
        <v>61</v>
      </c>
      <c r="S238" s="175"/>
      <c r="T238" s="44">
        <v>0.0</v>
      </c>
      <c r="U238" s="44">
        <v>0.0</v>
      </c>
      <c r="V238" s="44">
        <v>0.0</v>
      </c>
      <c r="W238" s="45"/>
      <c r="X238" s="45"/>
      <c r="Y238" s="45"/>
      <c r="Z238" s="9"/>
    </row>
    <row r="239" ht="14.25" customHeight="1">
      <c r="A239" s="214">
        <v>2.0</v>
      </c>
      <c r="B239" s="285" t="s">
        <v>3435</v>
      </c>
      <c r="C239" s="47">
        <v>236.0</v>
      </c>
      <c r="D239" s="47">
        <v>2.0</v>
      </c>
      <c r="E239" s="288">
        <v>43575.0</v>
      </c>
      <c r="F239" s="156" t="str">
        <f>HYPERLINK("https://www.cnnindonesia.com/olahraga/20190420210853-156-388111/rossi-marquez-tetap-favorit-juara-motogp-2019 ","sumber")</f>
        <v>sumber</v>
      </c>
      <c r="G239" s="274" t="s">
        <v>33</v>
      </c>
      <c r="H239" s="48" t="s">
        <v>3436</v>
      </c>
      <c r="I239" s="47">
        <v>2.0</v>
      </c>
      <c r="J239" s="47">
        <v>3.0</v>
      </c>
      <c r="K239" s="165"/>
      <c r="L239" s="48"/>
      <c r="M239" s="48"/>
      <c r="N239" s="48"/>
      <c r="O239" s="48"/>
      <c r="P239" s="48"/>
      <c r="Q239" s="48"/>
      <c r="R239" s="48"/>
      <c r="S239" s="165"/>
      <c r="T239" s="48"/>
      <c r="U239" s="48"/>
      <c r="V239" s="48"/>
      <c r="W239" s="48"/>
      <c r="X239" s="48"/>
      <c r="Y239" s="47"/>
      <c r="Z239" s="43"/>
    </row>
    <row r="240" ht="12.75" customHeight="1">
      <c r="A240" s="282">
        <v>1.0</v>
      </c>
      <c r="B240" s="283" t="s">
        <v>3437</v>
      </c>
      <c r="C240" s="44">
        <v>237.0</v>
      </c>
      <c r="D240" s="44">
        <v>8.0</v>
      </c>
      <c r="E240" s="287">
        <v>43576.0</v>
      </c>
      <c r="F240" s="162" t="str">
        <f>HYPERLINK("https://www.suara.com/news/2019/04/21/093745/wartawati-di-irlandia-utara-tewas-ditembak-usai-unggah-foto-kerusuhan ","sumber")</f>
        <v>sumber</v>
      </c>
      <c r="G240" s="269" t="s">
        <v>33</v>
      </c>
      <c r="H240" s="45" t="s">
        <v>3438</v>
      </c>
      <c r="I240" s="44">
        <v>1.0</v>
      </c>
      <c r="J240" s="44">
        <v>3.0</v>
      </c>
      <c r="K240" s="164" t="s">
        <v>3439</v>
      </c>
      <c r="L240" s="44">
        <v>0.0</v>
      </c>
      <c r="M240" s="44">
        <v>-1.0</v>
      </c>
      <c r="N240" s="44">
        <v>0.0</v>
      </c>
      <c r="O240" s="44">
        <v>0.0</v>
      </c>
      <c r="P240" s="44">
        <v>0.0</v>
      </c>
      <c r="Q240" s="44" t="s">
        <v>61</v>
      </c>
      <c r="R240" s="44" t="s">
        <v>61</v>
      </c>
      <c r="S240" s="175"/>
      <c r="T240" s="44">
        <v>0.0</v>
      </c>
      <c r="U240" s="44">
        <v>-1.0</v>
      </c>
      <c r="V240" s="44">
        <v>0.0</v>
      </c>
      <c r="W240" s="45"/>
      <c r="X240" s="45"/>
      <c r="Y240" s="45"/>
      <c r="Z240" s="9"/>
    </row>
    <row r="241" ht="14.25" customHeight="1">
      <c r="A241" s="189">
        <v>1.0</v>
      </c>
      <c r="B241" s="77" t="s">
        <v>3440</v>
      </c>
      <c r="C241" s="55">
        <v>238.0</v>
      </c>
      <c r="D241" s="55">
        <v>4.0</v>
      </c>
      <c r="E241" s="296">
        <v>43579.0</v>
      </c>
      <c r="F241" s="171" t="str">
        <f>HYPERLINK("https://hot.liputan6.com/read/3932746/5-potret-millen-cyrus-model-dan-selebgram-yang-liburan-bersama-hotman-paris ","sumber")</f>
        <v>sumber</v>
      </c>
      <c r="G241" s="277" t="s">
        <v>33</v>
      </c>
      <c r="H241" s="305">
        <v>422.0</v>
      </c>
      <c r="I241" s="55">
        <v>1.0</v>
      </c>
      <c r="J241" s="55">
        <v>3.0</v>
      </c>
      <c r="K241" s="172" t="s">
        <v>1721</v>
      </c>
      <c r="L241" s="55">
        <v>0.0</v>
      </c>
      <c r="M241" s="188">
        <v>0.0</v>
      </c>
      <c r="N241" s="55">
        <v>-1.0</v>
      </c>
      <c r="O241" s="55">
        <v>0.0</v>
      </c>
      <c r="P241" s="55">
        <v>0.0</v>
      </c>
      <c r="Q241" s="55">
        <v>0.0</v>
      </c>
      <c r="R241" s="55">
        <v>0.0</v>
      </c>
      <c r="S241" s="172"/>
      <c r="T241" s="55">
        <v>0.0</v>
      </c>
      <c r="U241" s="55">
        <v>0.0</v>
      </c>
      <c r="V241" s="55">
        <v>0.0</v>
      </c>
      <c r="W241" s="46"/>
      <c r="X241" s="46"/>
      <c r="Y241" s="46"/>
      <c r="Z241" s="31"/>
    </row>
    <row r="242" ht="14.25" customHeight="1">
      <c r="A242" s="282">
        <v>1.0</v>
      </c>
      <c r="B242" s="283" t="s">
        <v>3441</v>
      </c>
      <c r="C242" s="44">
        <v>239.0</v>
      </c>
      <c r="D242" s="44">
        <v>7.0</v>
      </c>
      <c r="E242" s="287">
        <v>43579.0</v>
      </c>
      <c r="F242" s="162" t="str">
        <f>HYPERLINK("http://www.tribunnews.com/internasional/2019/04/24/dokter-nekat-bumbui-potongan-tubuh-kekasihnya-yang-telah-dimutilasi-lantaran-ketahuan-transgender ","sumber")</f>
        <v>sumber</v>
      </c>
      <c r="G242" s="269" t="s">
        <v>33</v>
      </c>
      <c r="H242" s="45" t="s">
        <v>3442</v>
      </c>
      <c r="I242" s="44">
        <v>1.0</v>
      </c>
      <c r="J242" s="44">
        <v>3.0</v>
      </c>
      <c r="K242" s="164" t="s">
        <v>3443</v>
      </c>
      <c r="L242" s="44">
        <v>0.0</v>
      </c>
      <c r="M242" s="44">
        <v>-1.0</v>
      </c>
      <c r="N242" s="44">
        <v>0.0</v>
      </c>
      <c r="O242" s="44">
        <v>0.0</v>
      </c>
      <c r="P242" s="44">
        <v>0.0</v>
      </c>
      <c r="Q242" s="44" t="s">
        <v>61</v>
      </c>
      <c r="R242" s="44" t="s">
        <v>61</v>
      </c>
      <c r="S242" s="164" t="s">
        <v>3444</v>
      </c>
      <c r="T242" s="44">
        <v>1.0</v>
      </c>
      <c r="U242" s="44">
        <v>0.0</v>
      </c>
      <c r="V242" s="44">
        <v>0.0</v>
      </c>
      <c r="W242" s="45"/>
      <c r="X242" s="45"/>
      <c r="Y242" s="45"/>
      <c r="Z242" s="9"/>
    </row>
    <row r="243" ht="14.25" customHeight="1">
      <c r="A243" s="254">
        <v>1.0</v>
      </c>
      <c r="B243" s="68" t="s">
        <v>3445</v>
      </c>
      <c r="C243" s="55">
        <v>240.0</v>
      </c>
      <c r="D243" s="55">
        <v>2.0</v>
      </c>
      <c r="E243" s="296">
        <v>43581.0</v>
      </c>
      <c r="F243" s="171" t="str">
        <f>HYPERLINK("https://www.cnnindonesia.com/internasional/20190405114138-134-383638/bank-jerman-berhenti-sewa-hotel-brunei-terkait-hukuman-lgbt ","sumber")</f>
        <v>sumber</v>
      </c>
      <c r="G243" s="277" t="s">
        <v>33</v>
      </c>
      <c r="H243" s="305">
        <v>361.0</v>
      </c>
      <c r="I243" s="55">
        <v>1.0</v>
      </c>
      <c r="J243" s="55">
        <v>3.0</v>
      </c>
      <c r="K243" s="172" t="s">
        <v>3446</v>
      </c>
      <c r="L243" s="55">
        <v>0.0</v>
      </c>
      <c r="M243" s="55">
        <v>0.0</v>
      </c>
      <c r="N243" s="55">
        <v>0.0</v>
      </c>
      <c r="O243" s="55">
        <v>0.0</v>
      </c>
      <c r="P243" s="55">
        <v>0.0</v>
      </c>
      <c r="Q243" s="172" t="s">
        <v>53</v>
      </c>
      <c r="R243" s="55" t="s">
        <v>1450</v>
      </c>
      <c r="S243" s="172"/>
      <c r="T243" s="55">
        <v>0.0</v>
      </c>
      <c r="U243" s="55">
        <v>0.0</v>
      </c>
      <c r="V243" s="55">
        <v>0.0</v>
      </c>
      <c r="W243" s="46"/>
      <c r="X243" s="46"/>
      <c r="Y243" s="46"/>
      <c r="Z243" s="31"/>
    </row>
    <row r="244" ht="14.25" customHeight="1">
      <c r="A244" s="282">
        <v>1.0</v>
      </c>
      <c r="B244" s="283" t="s">
        <v>3447</v>
      </c>
      <c r="C244" s="44">
        <v>241.0</v>
      </c>
      <c r="D244" s="44">
        <v>10.0</v>
      </c>
      <c r="E244" s="287">
        <v>43584.0</v>
      </c>
      <c r="F244" s="162" t="str">
        <f>HYPERLINK("https://seleb.tempo.co/read/1200143/pemboikotan-film-kucumbu-tubuh-indahku-risiko-dalam-perfilman ","sumber")</f>
        <v>sumber</v>
      </c>
      <c r="G244" s="269" t="s">
        <v>33</v>
      </c>
      <c r="H244" s="45" t="s">
        <v>3448</v>
      </c>
      <c r="I244" s="44">
        <v>1.0</v>
      </c>
      <c r="J244" s="44">
        <v>3.0</v>
      </c>
      <c r="K244" s="164" t="s">
        <v>3449</v>
      </c>
      <c r="L244" s="44">
        <v>0.0</v>
      </c>
      <c r="M244" s="44">
        <v>1.0</v>
      </c>
      <c r="N244" s="44">
        <v>0.0</v>
      </c>
      <c r="O244" s="44">
        <v>0.0</v>
      </c>
      <c r="P244" s="44">
        <v>0.0</v>
      </c>
      <c r="Q244" s="164" t="s">
        <v>887</v>
      </c>
      <c r="R244" s="164" t="s">
        <v>3450</v>
      </c>
      <c r="S244" s="175"/>
      <c r="T244" s="44">
        <v>0.0</v>
      </c>
      <c r="U244" s="44">
        <v>0.0</v>
      </c>
      <c r="V244" s="44">
        <v>0.0</v>
      </c>
      <c r="W244" s="45"/>
      <c r="X244" s="45"/>
      <c r="Y244" s="45"/>
      <c r="Z244" s="9"/>
    </row>
    <row r="245" ht="14.25" customHeight="1">
      <c r="A245" s="282">
        <v>1.0</v>
      </c>
      <c r="B245" s="283" t="s">
        <v>3451</v>
      </c>
      <c r="C245" s="44">
        <v>242.0</v>
      </c>
      <c r="D245" s="44">
        <v>5.0</v>
      </c>
      <c r="E245" s="287">
        <v>43586.0</v>
      </c>
      <c r="F245" s="162" t="str">
        <f>HYPERLINK("https://tirto.id/all-in-my-family-bakal-tayang-di-netflix-jumat-pekan-ini-dnr9","sumber")</f>
        <v>sumber</v>
      </c>
      <c r="G245" s="269" t="s">
        <v>33</v>
      </c>
      <c r="H245" s="45" t="s">
        <v>3452</v>
      </c>
      <c r="I245" s="44">
        <v>2.0</v>
      </c>
      <c r="J245" s="44">
        <v>3.0</v>
      </c>
      <c r="K245" s="164"/>
      <c r="L245" s="44">
        <v>0.0</v>
      </c>
      <c r="M245" s="44">
        <v>0.0</v>
      </c>
      <c r="N245" s="44">
        <v>0.0</v>
      </c>
      <c r="O245" s="44">
        <v>0.0</v>
      </c>
      <c r="P245" s="44">
        <v>0.0</v>
      </c>
      <c r="Q245" s="44"/>
      <c r="R245" s="44"/>
      <c r="S245" s="164"/>
      <c r="T245" s="44">
        <v>0.0</v>
      </c>
      <c r="U245" s="44">
        <v>0.0</v>
      </c>
      <c r="V245" s="44">
        <v>0.0</v>
      </c>
      <c r="W245" s="45"/>
      <c r="X245" s="45"/>
      <c r="Y245" s="45"/>
      <c r="Z245" s="9"/>
    </row>
    <row r="246" ht="14.25" customHeight="1">
      <c r="A246" s="282">
        <v>1.0</v>
      </c>
      <c r="B246" s="283" t="s">
        <v>3453</v>
      </c>
      <c r="C246" s="44">
        <v>243.0</v>
      </c>
      <c r="D246" s="44">
        <v>3.0</v>
      </c>
      <c r="E246" s="287">
        <v>43594.0</v>
      </c>
      <c r="F246" s="162" t="str">
        <f>HYPERLINK("https://news.okezone.com/read/2019/05/09/340/2053404/dianggap-berunsur-lgbt-pemkot-padang-boikot-film-kucumbu-tubuh-indahku ","sumber")</f>
        <v>sumber</v>
      </c>
      <c r="G246" s="269" t="s">
        <v>33</v>
      </c>
      <c r="H246" s="45" t="s">
        <v>3454</v>
      </c>
      <c r="I246" s="44">
        <v>1.0</v>
      </c>
      <c r="J246" s="44">
        <v>3.0</v>
      </c>
      <c r="K246" s="164" t="s">
        <v>3455</v>
      </c>
      <c r="L246" s="44">
        <v>0.0</v>
      </c>
      <c r="M246" s="188">
        <v>0.0</v>
      </c>
      <c r="N246" s="44">
        <v>0.0</v>
      </c>
      <c r="O246" s="44">
        <v>0.0</v>
      </c>
      <c r="P246" s="44">
        <v>0.0</v>
      </c>
      <c r="Q246" s="44">
        <v>0.0</v>
      </c>
      <c r="R246" s="44">
        <v>-1.0</v>
      </c>
      <c r="S246" s="164" t="s">
        <v>3456</v>
      </c>
      <c r="T246" s="44">
        <v>1.0</v>
      </c>
      <c r="U246" s="44">
        <v>0.0</v>
      </c>
      <c r="V246" s="44">
        <v>0.0</v>
      </c>
      <c r="W246" s="45"/>
      <c r="X246" s="45"/>
      <c r="Y246" s="45"/>
      <c r="Z246" s="9"/>
    </row>
    <row r="247" ht="14.25" customHeight="1">
      <c r="A247" s="282">
        <v>1.0</v>
      </c>
      <c r="B247" s="283" t="s">
        <v>3457</v>
      </c>
      <c r="C247" s="44">
        <v>244.0</v>
      </c>
      <c r="D247" s="44">
        <v>9.0</v>
      </c>
      <c r="E247" s="287">
        <v>43594.0</v>
      </c>
      <c r="F247" s="162" t="str">
        <f>HYPERLINK("https://senggang.republika.co.id/berita/senggang/film/pr830t459/kpid-sumbar-dorong-lsf-sikapi-ltemgtkucumbu-tubuh-indahkultemgt ","sumber")</f>
        <v>sumber</v>
      </c>
      <c r="G247" s="269" t="s">
        <v>33</v>
      </c>
      <c r="H247" s="45" t="s">
        <v>2911</v>
      </c>
      <c r="I247" s="44">
        <v>1.0</v>
      </c>
      <c r="J247" s="44">
        <v>3.0</v>
      </c>
      <c r="K247" s="164" t="s">
        <v>3458</v>
      </c>
      <c r="L247" s="44">
        <v>0.0</v>
      </c>
      <c r="M247" s="44">
        <v>-1.0</v>
      </c>
      <c r="N247" s="44">
        <v>0.0</v>
      </c>
      <c r="O247" s="44">
        <v>0.0</v>
      </c>
      <c r="P247" s="44">
        <v>0.0</v>
      </c>
      <c r="Q247" s="44" t="s">
        <v>61</v>
      </c>
      <c r="R247" s="44" t="s">
        <v>685</v>
      </c>
      <c r="S247" s="164" t="s">
        <v>3459</v>
      </c>
      <c r="T247" s="44">
        <v>2.0</v>
      </c>
      <c r="U247" s="44">
        <v>0.0</v>
      </c>
      <c r="V247" s="44">
        <v>0.0</v>
      </c>
      <c r="W247" s="45"/>
      <c r="X247" s="45"/>
      <c r="Y247" s="45"/>
      <c r="Z247" s="9"/>
    </row>
    <row r="248" ht="14.25" customHeight="1">
      <c r="A248" s="282">
        <v>1.0</v>
      </c>
      <c r="B248" s="283" t="s">
        <v>1527</v>
      </c>
      <c r="C248" s="44">
        <v>245.0</v>
      </c>
      <c r="D248" s="44">
        <v>1.0</v>
      </c>
      <c r="E248" s="287">
        <v>43601.0</v>
      </c>
      <c r="F248" s="162" t="str">
        <f>HYPERLINK("https://health.detik.com/berita-detikhealth/d-4552535/pertama-di-dunia-miss-v-transgender-direkonstruksi-dengan-kulit-ikan-nila ","sumber")</f>
        <v>sumber</v>
      </c>
      <c r="G248" s="269" t="s">
        <v>33</v>
      </c>
      <c r="H248" s="45" t="s">
        <v>3460</v>
      </c>
      <c r="I248" s="44">
        <v>2.0</v>
      </c>
      <c r="J248" s="44">
        <v>3.0</v>
      </c>
      <c r="K248" s="164" t="s">
        <v>1528</v>
      </c>
      <c r="L248" s="44">
        <v>0.0</v>
      </c>
      <c r="M248" s="44">
        <v>0.0</v>
      </c>
      <c r="N248" s="44">
        <v>0.0</v>
      </c>
      <c r="O248" s="44">
        <v>0.0</v>
      </c>
      <c r="P248" s="44">
        <v>0.0</v>
      </c>
      <c r="Q248" s="44" t="s">
        <v>210</v>
      </c>
      <c r="R248" s="44" t="s">
        <v>192</v>
      </c>
      <c r="S248" s="175"/>
      <c r="T248" s="44">
        <v>0.0</v>
      </c>
      <c r="U248" s="44">
        <v>0.0</v>
      </c>
      <c r="V248" s="44">
        <v>0.0</v>
      </c>
      <c r="W248" s="45"/>
      <c r="X248" s="45"/>
      <c r="Y248" s="45"/>
      <c r="Z248" s="9"/>
    </row>
    <row r="249" ht="14.25" customHeight="1">
      <c r="A249" s="282">
        <v>1.0</v>
      </c>
      <c r="B249" s="283" t="s">
        <v>1531</v>
      </c>
      <c r="C249" s="44">
        <v>246.0</v>
      </c>
      <c r="D249" s="44">
        <v>3.0</v>
      </c>
      <c r="E249" s="287">
        <v>43603.0</v>
      </c>
      <c r="F249" s="162" t="str">
        <f>HYPERLINK("https://news.okezone.com/read/2019/05/18/610/2057371/motif-pembunuhan-siswi-smp-karena-pelaku-kesal-diejek-banci-miskin ","sumber")</f>
        <v>sumber</v>
      </c>
      <c r="G249" s="269" t="s">
        <v>33</v>
      </c>
      <c r="H249" s="45" t="s">
        <v>3461</v>
      </c>
      <c r="I249" s="44">
        <v>1.0</v>
      </c>
      <c r="J249" s="44">
        <v>3.0</v>
      </c>
      <c r="K249" s="164" t="s">
        <v>3462</v>
      </c>
      <c r="L249" s="44">
        <v>0.0</v>
      </c>
      <c r="M249" s="44">
        <v>-1.0</v>
      </c>
      <c r="N249" s="44">
        <v>0.0</v>
      </c>
      <c r="O249" s="44">
        <v>0.0</v>
      </c>
      <c r="P249" s="44">
        <v>0.0</v>
      </c>
      <c r="Q249" s="44">
        <v>0.0</v>
      </c>
      <c r="R249" s="44">
        <v>0.0</v>
      </c>
      <c r="S249" s="44" t="s">
        <v>1567</v>
      </c>
      <c r="T249" s="44">
        <v>1.0</v>
      </c>
      <c r="U249" s="44">
        <v>0.0</v>
      </c>
      <c r="V249" s="44">
        <v>0.0</v>
      </c>
      <c r="W249" s="45"/>
      <c r="X249" s="45"/>
      <c r="Y249" s="45"/>
      <c r="Z249" s="9"/>
    </row>
    <row r="250" ht="14.25" customHeight="1">
      <c r="A250" s="282">
        <v>1.0</v>
      </c>
      <c r="B250" s="283" t="s">
        <v>3463</v>
      </c>
      <c r="C250" s="44">
        <v>247.0</v>
      </c>
      <c r="D250" s="44">
        <v>7.0</v>
      </c>
      <c r="E250" s="287">
        <v>43613.0</v>
      </c>
      <c r="F250" s="162" t="str">
        <f>HYPERLINK("http://www.tribunnews.com/lifestyle/2019/05/28/deretan-foto-foto-kontroversi-pernikahan-sesama-jenis-li-huanwu-cucu-pendiri-singapura-lee-kuan-yew ","sumber")</f>
        <v>sumber</v>
      </c>
      <c r="G250" s="269" t="s">
        <v>33</v>
      </c>
      <c r="H250" s="45" t="s">
        <v>3346</v>
      </c>
      <c r="I250" s="44">
        <v>2.0</v>
      </c>
      <c r="J250" s="44">
        <v>3.0</v>
      </c>
      <c r="K250" s="164" t="s">
        <v>3464</v>
      </c>
      <c r="L250" s="44">
        <v>0.0</v>
      </c>
      <c r="M250" s="44">
        <v>0.0</v>
      </c>
      <c r="N250" s="44">
        <v>0.0</v>
      </c>
      <c r="O250" s="44">
        <v>0.0</v>
      </c>
      <c r="P250" s="44">
        <v>0.0</v>
      </c>
      <c r="Q250" s="44" t="s">
        <v>80</v>
      </c>
      <c r="R250" s="44" t="s">
        <v>869</v>
      </c>
      <c r="S250" s="175"/>
      <c r="T250" s="44">
        <v>0.0</v>
      </c>
      <c r="U250" s="44">
        <v>0.0</v>
      </c>
      <c r="V250" s="44">
        <v>0.0</v>
      </c>
      <c r="W250" s="45"/>
      <c r="X250" s="45"/>
      <c r="Y250" s="45"/>
      <c r="Z250" s="9"/>
    </row>
    <row r="251" ht="14.25" customHeight="1">
      <c r="A251" s="254">
        <v>1.0</v>
      </c>
      <c r="B251" s="68" t="s">
        <v>3465</v>
      </c>
      <c r="C251" s="55">
        <v>248.0</v>
      </c>
      <c r="D251" s="55">
        <v>6.0</v>
      </c>
      <c r="E251" s="289">
        <v>43619.0</v>
      </c>
      <c r="F251" s="171" t="str">
        <f>HYPERLINK("https://internasional.kompas.com/read/2019/06/03/13491111/presiden-duterte-mengaku-pernah-jadi-gay-sebelum-sembuh ","sumber")</f>
        <v>sumber</v>
      </c>
      <c r="G251" s="277" t="s">
        <v>33</v>
      </c>
      <c r="H251" s="55">
        <v>300.0</v>
      </c>
      <c r="I251" s="55">
        <v>1.0</v>
      </c>
      <c r="J251" s="55">
        <v>3.0</v>
      </c>
      <c r="K251" s="172" t="s">
        <v>3466</v>
      </c>
      <c r="L251" s="55">
        <v>0.0</v>
      </c>
      <c r="M251" s="55">
        <v>-1.0</v>
      </c>
      <c r="N251" s="55">
        <v>0.0</v>
      </c>
      <c r="O251" s="55">
        <v>0.0</v>
      </c>
      <c r="P251" s="55">
        <v>0.0</v>
      </c>
      <c r="Q251" s="55">
        <v>0.0</v>
      </c>
      <c r="R251" s="55">
        <v>-1.0</v>
      </c>
      <c r="S251" s="172"/>
      <c r="T251" s="55">
        <v>0.0</v>
      </c>
      <c r="U251" s="55">
        <v>0.0</v>
      </c>
      <c r="V251" s="55">
        <v>0.0</v>
      </c>
      <c r="W251" s="46"/>
      <c r="X251" s="46"/>
      <c r="Y251" s="55"/>
      <c r="Z251" s="30"/>
    </row>
    <row r="252" ht="14.25" customHeight="1">
      <c r="A252" s="214">
        <v>2.0</v>
      </c>
      <c r="B252" s="285" t="s">
        <v>3467</v>
      </c>
      <c r="C252" s="47">
        <v>249.0</v>
      </c>
      <c r="D252" s="47">
        <v>9.0</v>
      </c>
      <c r="E252" s="288">
        <v>43627.0</v>
      </c>
      <c r="F252" s="156" t="str">
        <f>HYPERLINK("https://republika.co.id/berita/ekonomi/bisnis-global/pswc4v383/perusahaan-ini-larang-karyawan-berkomunikasi-dengan-huawei ","sumber")</f>
        <v>sumber</v>
      </c>
      <c r="G252" s="274" t="s">
        <v>33</v>
      </c>
      <c r="H252" s="48" t="s">
        <v>3468</v>
      </c>
      <c r="I252" s="47">
        <v>2.0</v>
      </c>
      <c r="J252" s="47">
        <v>3.0</v>
      </c>
      <c r="K252" s="165"/>
      <c r="L252" s="48"/>
      <c r="M252" s="48"/>
      <c r="N252" s="48"/>
      <c r="O252" s="48"/>
      <c r="P252" s="48"/>
      <c r="Q252" s="48"/>
      <c r="R252" s="48"/>
      <c r="S252" s="165"/>
      <c r="T252" s="48"/>
      <c r="U252" s="48"/>
      <c r="V252" s="48"/>
      <c r="W252" s="48"/>
      <c r="X252" s="48"/>
      <c r="Y252" s="47"/>
      <c r="Z252" s="43"/>
    </row>
    <row r="253" ht="14.25" customHeight="1">
      <c r="A253" s="282">
        <v>1.0</v>
      </c>
      <c r="B253" s="283" t="s">
        <v>3469</v>
      </c>
      <c r="C253" s="44">
        <v>250.0</v>
      </c>
      <c r="D253" s="44">
        <v>1.0</v>
      </c>
      <c r="E253" s="287">
        <v>43630.0</v>
      </c>
      <c r="F253" s="162" t="str">
        <f>HYPERLINK("https://news.detik.com/bbc-world/d-4586121/hari-donor-darah-sedunia-benarkah-mitos-seputar-menyumbangkan-darah-ini ","sumber")</f>
        <v>sumber</v>
      </c>
      <c r="G253" s="269" t="s">
        <v>33</v>
      </c>
      <c r="H253" s="45" t="s">
        <v>3470</v>
      </c>
      <c r="I253" s="44">
        <v>5.0</v>
      </c>
      <c r="J253" s="44">
        <v>3.0</v>
      </c>
      <c r="K253" s="164" t="s">
        <v>3471</v>
      </c>
      <c r="L253" s="44">
        <v>0.0</v>
      </c>
      <c r="M253" s="44">
        <v>0.0</v>
      </c>
      <c r="N253" s="44">
        <v>0.0</v>
      </c>
      <c r="O253" s="44">
        <v>0.0</v>
      </c>
      <c r="P253" s="44">
        <v>0.0</v>
      </c>
      <c r="Q253" s="44">
        <v>0.0</v>
      </c>
      <c r="R253" s="44">
        <v>-1.0</v>
      </c>
      <c r="S253" s="164" t="s">
        <v>3429</v>
      </c>
      <c r="T253" s="44">
        <v>1.0</v>
      </c>
      <c r="U253" s="44">
        <v>0.0</v>
      </c>
      <c r="V253" s="44">
        <v>0.0</v>
      </c>
      <c r="W253" s="45"/>
      <c r="X253" s="45"/>
      <c r="Y253" s="45"/>
      <c r="Z253" s="9"/>
    </row>
    <row r="254" ht="14.25" customHeight="1">
      <c r="A254" s="282">
        <v>1.0</v>
      </c>
      <c r="B254" s="283" t="s">
        <v>3472</v>
      </c>
      <c r="C254" s="44">
        <v>251.0</v>
      </c>
      <c r="D254" s="44">
        <v>6.0</v>
      </c>
      <c r="E254" s="287">
        <v>43630.0</v>
      </c>
      <c r="F254" s="162" t="str">
        <f>HYPERLINK("https://regional.kompas.com/read/2019/06/14/22355741/dua-lelaki-telanjang-berpelukan-dalam-mobil-di-pati-divonis-8-tahun-dan ","sumber")</f>
        <v>sumber</v>
      </c>
      <c r="G254" s="269" t="s">
        <v>33</v>
      </c>
      <c r="H254" s="45" t="s">
        <v>3473</v>
      </c>
      <c r="I254" s="44">
        <v>1.0</v>
      </c>
      <c r="J254" s="44">
        <v>3.0</v>
      </c>
      <c r="K254" s="164" t="s">
        <v>3474</v>
      </c>
      <c r="L254" s="44">
        <v>0.0</v>
      </c>
      <c r="M254" s="44">
        <v>-1.0</v>
      </c>
      <c r="N254" s="44">
        <v>0.0</v>
      </c>
      <c r="O254" s="44">
        <v>0.0</v>
      </c>
      <c r="P254" s="44">
        <v>0.0</v>
      </c>
      <c r="Q254" s="44">
        <v>0.0</v>
      </c>
      <c r="R254" s="44">
        <v>-1.0</v>
      </c>
      <c r="S254" s="175"/>
      <c r="T254" s="44">
        <v>0.0</v>
      </c>
      <c r="U254" s="44">
        <v>0.0</v>
      </c>
      <c r="V254" s="44">
        <v>0.0</v>
      </c>
      <c r="W254" s="45"/>
      <c r="X254" s="45"/>
      <c r="Y254" s="45"/>
      <c r="Z254" s="9"/>
    </row>
    <row r="255" ht="14.25" customHeight="1">
      <c r="A255" s="214">
        <v>2.0</v>
      </c>
      <c r="B255" s="285" t="s">
        <v>3475</v>
      </c>
      <c r="C255" s="47">
        <v>252.0</v>
      </c>
      <c r="D255" s="47">
        <v>2.0</v>
      </c>
      <c r="E255" s="288">
        <v>43634.0</v>
      </c>
      <c r="F255" s="156" t="str">
        <f>HYPERLINK("https://www.cnnindonesia.com/internasional/20190617155307-106-403946/pasutri-italia-catut-nama-george-clooney-dibekuk-di-thailand ","sumber")</f>
        <v>sumber</v>
      </c>
      <c r="G255" s="274" t="s">
        <v>33</v>
      </c>
      <c r="H255" s="48" t="s">
        <v>3064</v>
      </c>
      <c r="I255" s="47">
        <v>1.0</v>
      </c>
      <c r="J255" s="47">
        <v>3.0</v>
      </c>
      <c r="K255" s="157"/>
      <c r="L255" s="48"/>
      <c r="M255" s="48"/>
      <c r="N255" s="48"/>
      <c r="O255" s="48"/>
      <c r="P255" s="48"/>
      <c r="Q255" s="48"/>
      <c r="R255" s="48"/>
      <c r="S255" s="165"/>
      <c r="T255" s="48"/>
      <c r="U255" s="48"/>
      <c r="V255" s="48"/>
      <c r="W255" s="48"/>
      <c r="X255" s="48"/>
      <c r="Y255" s="47"/>
      <c r="Z255" s="43"/>
    </row>
    <row r="256" ht="14.25" customHeight="1">
      <c r="A256" s="282">
        <v>1.0</v>
      </c>
      <c r="B256" s="283" t="s">
        <v>3476</v>
      </c>
      <c r="C256" s="44">
        <v>253.0</v>
      </c>
      <c r="D256" s="44">
        <v>3.0</v>
      </c>
      <c r="E256" s="287">
        <v>43642.0</v>
      </c>
      <c r="F256" s="162" t="str">
        <f>HYPERLINK("https://news.okezone.com/read/2019/06/26/605/2071277/isi-petisi-aksi-halalbihalal-tahlil-akbar-di-sekitar-gedung-mk ","sumber")</f>
        <v>sumber</v>
      </c>
      <c r="G256" s="269" t="s">
        <v>33</v>
      </c>
      <c r="H256" s="45" t="s">
        <v>3477</v>
      </c>
      <c r="I256" s="44">
        <v>1.0</v>
      </c>
      <c r="J256" s="44">
        <v>3.0</v>
      </c>
      <c r="K256" s="164"/>
      <c r="L256" s="44">
        <v>0.0</v>
      </c>
      <c r="M256" s="44">
        <v>-1.0</v>
      </c>
      <c r="N256" s="44">
        <v>0.0</v>
      </c>
      <c r="O256" s="44">
        <v>0.0</v>
      </c>
      <c r="P256" s="44">
        <v>0.0</v>
      </c>
      <c r="Q256" s="44"/>
      <c r="R256" s="44"/>
      <c r="S256" s="175"/>
      <c r="T256" s="44">
        <v>0.0</v>
      </c>
      <c r="U256" s="44">
        <v>0.0</v>
      </c>
      <c r="V256" s="44">
        <v>0.0</v>
      </c>
      <c r="W256" s="45"/>
      <c r="X256" s="45"/>
      <c r="Y256" s="45"/>
      <c r="Z256" s="9"/>
    </row>
    <row r="257" ht="14.25" customHeight="1">
      <c r="A257" s="282">
        <v>1.0</v>
      </c>
      <c r="B257" s="283" t="s">
        <v>3478</v>
      </c>
      <c r="C257" s="44">
        <v>254.0</v>
      </c>
      <c r="D257" s="44">
        <v>8.0</v>
      </c>
      <c r="E257" s="287">
        <v>43642.0</v>
      </c>
      <c r="F257" s="162" t="str">
        <f>HYPERLINK("https://www.suara.com/news/2019/06/26/185751/gabungan-ormas-islam-sampaikan-petisi-kedaulatan-rakyat-untuk-hakim-mk ","sumber")</f>
        <v>sumber</v>
      </c>
      <c r="G257" s="269" t="s">
        <v>33</v>
      </c>
      <c r="H257" s="45" t="s">
        <v>3479</v>
      </c>
      <c r="I257" s="44">
        <v>1.0</v>
      </c>
      <c r="J257" s="44">
        <v>3.0</v>
      </c>
      <c r="K257" s="164" t="s">
        <v>3480</v>
      </c>
      <c r="L257" s="44">
        <v>0.0</v>
      </c>
      <c r="M257" s="44">
        <v>-1.0</v>
      </c>
      <c r="N257" s="44">
        <v>0.0</v>
      </c>
      <c r="O257" s="44">
        <v>0.0</v>
      </c>
      <c r="P257" s="44">
        <v>0.0</v>
      </c>
      <c r="Q257" s="44" t="s">
        <v>61</v>
      </c>
      <c r="R257" s="44" t="s">
        <v>685</v>
      </c>
      <c r="S257" s="175"/>
      <c r="T257" s="44">
        <v>0.0</v>
      </c>
      <c r="U257" s="44">
        <v>0.0</v>
      </c>
      <c r="V257" s="44">
        <v>0.0</v>
      </c>
      <c r="W257" s="45"/>
      <c r="X257" s="45"/>
      <c r="Y257" s="45"/>
      <c r="Z257" s="9"/>
    </row>
    <row r="258" ht="14.25" customHeight="1">
      <c r="A258" s="282">
        <v>1.0</v>
      </c>
      <c r="B258" s="283" t="s">
        <v>3481</v>
      </c>
      <c r="C258" s="44">
        <v>255.0</v>
      </c>
      <c r="D258" s="44">
        <v>2.0</v>
      </c>
      <c r="E258" s="287">
        <v>43643.0</v>
      </c>
      <c r="F258" s="162" t="str">
        <f>HYPERLINK("https://www.cnnindonesia.com/teknologi/20190627153109-185-407047/pengamat-sebut-pembatasan-medsos-langgar-hak-digital ","sumber")</f>
        <v>sumber</v>
      </c>
      <c r="G258" s="269" t="s">
        <v>33</v>
      </c>
      <c r="H258" s="45" t="s">
        <v>3482</v>
      </c>
      <c r="I258" s="44">
        <v>4.0</v>
      </c>
      <c r="J258" s="44">
        <v>3.0</v>
      </c>
      <c r="K258" s="164" t="s">
        <v>3483</v>
      </c>
      <c r="L258" s="44">
        <v>0.0</v>
      </c>
      <c r="M258" s="44">
        <v>0.0</v>
      </c>
      <c r="N258" s="44">
        <v>0.0</v>
      </c>
      <c r="O258" s="44">
        <v>0.0</v>
      </c>
      <c r="P258" s="44">
        <v>0.0</v>
      </c>
      <c r="Q258" s="44" t="s">
        <v>192</v>
      </c>
      <c r="R258" s="44" t="s">
        <v>192</v>
      </c>
      <c r="S258" s="175"/>
      <c r="T258" s="44">
        <v>0.0</v>
      </c>
      <c r="U258" s="44">
        <v>0.0</v>
      </c>
      <c r="V258" s="44">
        <v>1.0</v>
      </c>
      <c r="W258" s="45"/>
      <c r="X258" s="45"/>
      <c r="Y258" s="45"/>
      <c r="Z258" s="9"/>
    </row>
    <row r="259" ht="14.25" customHeight="1">
      <c r="A259" s="254">
        <v>1.0</v>
      </c>
      <c r="B259" s="68" t="s">
        <v>1561</v>
      </c>
      <c r="C259" s="55">
        <v>256.0</v>
      </c>
      <c r="D259" s="55">
        <v>7.0</v>
      </c>
      <c r="E259" s="289">
        <v>43629.0</v>
      </c>
      <c r="F259" s="171" t="str">
        <f>HYPERLINK("http://www.tribunnews.com/internasional/2019/06/13/video-homoseksual-menteri-malaysia-tersebar-pelaku-dia-memaksa-saya ","sumber")</f>
        <v>sumber</v>
      </c>
      <c r="G259" s="277" t="s">
        <v>33</v>
      </c>
      <c r="H259" s="55">
        <v>162.0</v>
      </c>
      <c r="I259" s="55">
        <v>1.0</v>
      </c>
      <c r="J259" s="55">
        <v>3.0</v>
      </c>
      <c r="K259" s="172" t="s">
        <v>3484</v>
      </c>
      <c r="L259" s="55">
        <v>0.0</v>
      </c>
      <c r="M259" s="55">
        <v>1.0</v>
      </c>
      <c r="N259" s="55">
        <v>0.0</v>
      </c>
      <c r="O259" s="55">
        <v>0.0</v>
      </c>
      <c r="P259" s="55">
        <v>0.0</v>
      </c>
      <c r="Q259" s="55" t="s">
        <v>61</v>
      </c>
      <c r="R259" s="55" t="s">
        <v>61</v>
      </c>
      <c r="S259" s="172"/>
      <c r="T259" s="55">
        <v>0.0</v>
      </c>
      <c r="U259" s="55">
        <v>0.0</v>
      </c>
      <c r="V259" s="55">
        <v>0.0</v>
      </c>
      <c r="W259" s="46"/>
      <c r="X259" s="46"/>
      <c r="Y259" s="55"/>
      <c r="Z259" s="30"/>
    </row>
    <row r="260" ht="14.25" customHeight="1">
      <c r="A260" s="254">
        <v>1.0</v>
      </c>
      <c r="B260" s="68" t="s">
        <v>843</v>
      </c>
      <c r="C260" s="55">
        <v>257.0</v>
      </c>
      <c r="D260" s="55">
        <v>7.0</v>
      </c>
      <c r="E260" s="296">
        <v>43648.0</v>
      </c>
      <c r="F260" s="171" t="str">
        <f>HYPERLINK("http://www.tribunnews.com/regional/2019/07/02/anto-curi-obat-hiv-senilai-rp-75-juta-milik-pasangannya-sesama-jenis ","sumber")</f>
        <v>sumber</v>
      </c>
      <c r="G260" s="277" t="s">
        <v>33</v>
      </c>
      <c r="H260" s="55">
        <v>193.0</v>
      </c>
      <c r="I260" s="55">
        <v>1.0</v>
      </c>
      <c r="J260" s="55">
        <v>3.0</v>
      </c>
      <c r="K260" s="172" t="s">
        <v>3485</v>
      </c>
      <c r="L260" s="55">
        <v>0.0</v>
      </c>
      <c r="M260" s="55">
        <v>-1.0</v>
      </c>
      <c r="N260" s="55">
        <v>-1.0</v>
      </c>
      <c r="O260" s="55">
        <v>0.0</v>
      </c>
      <c r="P260" s="55">
        <v>0.0</v>
      </c>
      <c r="Q260" s="55" t="s">
        <v>61</v>
      </c>
      <c r="R260" s="55" t="s">
        <v>61</v>
      </c>
      <c r="S260" s="172"/>
      <c r="T260" s="55">
        <v>0.0</v>
      </c>
      <c r="U260" s="55">
        <v>0.0</v>
      </c>
      <c r="V260" s="55">
        <v>0.0</v>
      </c>
      <c r="W260" s="46"/>
      <c r="X260" s="46"/>
      <c r="Y260" s="55"/>
      <c r="Z260" s="30"/>
    </row>
    <row r="261" ht="14.25" customHeight="1">
      <c r="A261" s="282">
        <v>1.0</v>
      </c>
      <c r="B261" s="283" t="s">
        <v>3486</v>
      </c>
      <c r="C261" s="44">
        <v>258.0</v>
      </c>
      <c r="D261" s="44">
        <v>2.0</v>
      </c>
      <c r="E261" s="287">
        <v>43652.0</v>
      </c>
      <c r="F261" s="162" t="str">
        <f>HYPERLINK("https://www.cnnindonesia.com/hiburan/20190705160451-220-409499/hijab-dan-lgbt-muncul-di-spider-man-far-from-home ","sumber")</f>
        <v>sumber</v>
      </c>
      <c r="G261" s="269" t="s">
        <v>33</v>
      </c>
      <c r="H261" s="45" t="s">
        <v>3015</v>
      </c>
      <c r="I261" s="44">
        <v>3.0</v>
      </c>
      <c r="J261" s="44">
        <v>3.0</v>
      </c>
      <c r="K261" s="164" t="s">
        <v>3487</v>
      </c>
      <c r="L261" s="44">
        <v>0.0</v>
      </c>
      <c r="M261" s="44">
        <v>0.0</v>
      </c>
      <c r="N261" s="44">
        <v>0.0</v>
      </c>
      <c r="O261" s="44">
        <v>0.0</v>
      </c>
      <c r="P261" s="44">
        <v>0.0</v>
      </c>
      <c r="Q261" s="44" t="s">
        <v>2626</v>
      </c>
      <c r="R261" s="44" t="s">
        <v>1058</v>
      </c>
      <c r="S261" s="175"/>
      <c r="T261" s="44">
        <v>0.0</v>
      </c>
      <c r="U261" s="44">
        <v>0.0</v>
      </c>
      <c r="V261" s="44">
        <v>1.0</v>
      </c>
      <c r="W261" s="45"/>
      <c r="X261" s="45"/>
      <c r="Y261" s="45"/>
      <c r="Z261" s="9"/>
    </row>
    <row r="262" ht="14.25" customHeight="1">
      <c r="A262" s="214">
        <v>2.0</v>
      </c>
      <c r="B262" s="285" t="s">
        <v>3488</v>
      </c>
      <c r="C262" s="47">
        <v>259.0</v>
      </c>
      <c r="D262" s="47">
        <v>9.0</v>
      </c>
      <c r="E262" s="288">
        <v>43654.0</v>
      </c>
      <c r="F262" s="156" t="str">
        <f>HYPERLINK("https://republika.co.id/berita/pu99qw385/gay-inggris-perang-salib-berebut-kuasa-di-malukumataram ","sumber")</f>
        <v>sumber</v>
      </c>
      <c r="G262" s="274" t="s">
        <v>33</v>
      </c>
      <c r="H262" s="48" t="s">
        <v>3489</v>
      </c>
      <c r="I262" s="47">
        <v>2.0</v>
      </c>
      <c r="J262" s="47">
        <v>3.0</v>
      </c>
      <c r="K262" s="157"/>
      <c r="L262" s="48"/>
      <c r="M262" s="48"/>
      <c r="N262" s="48"/>
      <c r="O262" s="48"/>
      <c r="P262" s="48"/>
      <c r="Q262" s="48"/>
      <c r="R262" s="48"/>
      <c r="S262" s="165"/>
      <c r="T262" s="48"/>
      <c r="U262" s="48"/>
      <c r="V262" s="48"/>
      <c r="W262" s="48"/>
      <c r="X262" s="48"/>
      <c r="Y262" s="48"/>
      <c r="Z262" s="51"/>
    </row>
    <row r="263" ht="14.25" customHeight="1">
      <c r="A263" s="214">
        <v>2.0</v>
      </c>
      <c r="B263" s="285" t="s">
        <v>3490</v>
      </c>
      <c r="C263" s="47">
        <v>260.0</v>
      </c>
      <c r="D263" s="47">
        <v>9.0</v>
      </c>
      <c r="E263" s="288">
        <v>43657.0</v>
      </c>
      <c r="F263" s="156" t="str">
        <f>HYPERLINK("https://trendtek.republika.co.id/berita/pugtzq368/fosil-di-yunani-jadi-petunjuk-ltemgthomo-sapiens-ltemgttiba-di-eropa ","sumber")</f>
        <v>sumber</v>
      </c>
      <c r="G263" s="274" t="s">
        <v>33</v>
      </c>
      <c r="H263" s="48" t="s">
        <v>3491</v>
      </c>
      <c r="I263" s="47">
        <v>5.0</v>
      </c>
      <c r="J263" s="47">
        <v>3.0</v>
      </c>
      <c r="K263" s="165"/>
      <c r="L263" s="48"/>
      <c r="M263" s="48"/>
      <c r="N263" s="48"/>
      <c r="O263" s="48"/>
      <c r="P263" s="48"/>
      <c r="Q263" s="48"/>
      <c r="R263" s="48"/>
      <c r="S263" s="165"/>
      <c r="T263" s="48"/>
      <c r="U263" s="48"/>
      <c r="V263" s="48"/>
      <c r="W263" s="48"/>
      <c r="X263" s="48"/>
      <c r="Y263" s="47"/>
      <c r="Z263" s="43"/>
    </row>
    <row r="264" ht="14.25" customHeight="1">
      <c r="A264" s="214">
        <v>2.0</v>
      </c>
      <c r="B264" s="285" t="s">
        <v>3492</v>
      </c>
      <c r="C264" s="47">
        <v>261.0</v>
      </c>
      <c r="D264" s="47">
        <v>5.0</v>
      </c>
      <c r="E264" s="288">
        <v>43659.0</v>
      </c>
      <c r="F264" s="156" t="str">
        <f>HYPERLINK("https://www.tribunnews.com/metropolitan/2019/07/13/lapas-pemuda-tangerang-bina-warga-binaan-dengan-pkbm-dan-pesantren ","sumber")</f>
        <v>sumber</v>
      </c>
      <c r="G264" s="274" t="s">
        <v>33</v>
      </c>
      <c r="H264" s="48" t="s">
        <v>3020</v>
      </c>
      <c r="I264" s="47">
        <v>2.0</v>
      </c>
      <c r="J264" s="47">
        <v>3.0</v>
      </c>
      <c r="K264" s="165"/>
      <c r="L264" s="48"/>
      <c r="M264" s="48"/>
      <c r="N264" s="48"/>
      <c r="O264" s="48"/>
      <c r="P264" s="48"/>
      <c r="Q264" s="48"/>
      <c r="R264" s="48"/>
      <c r="S264" s="165"/>
      <c r="T264" s="48"/>
      <c r="U264" s="48"/>
      <c r="V264" s="48"/>
      <c r="W264" s="48"/>
      <c r="X264" s="48"/>
      <c r="Y264" s="47"/>
      <c r="Z264" s="43"/>
    </row>
    <row r="265" ht="14.25" customHeight="1">
      <c r="A265" s="282">
        <v>1.0</v>
      </c>
      <c r="B265" s="283" t="s">
        <v>2451</v>
      </c>
      <c r="C265" s="44">
        <v>262.0</v>
      </c>
      <c r="D265" s="44">
        <v>3.0</v>
      </c>
      <c r="E265" s="287">
        <v>43663.0</v>
      </c>
      <c r="F265" s="162" t="str">
        <f>HYPERLINK("https://celebrity.okezone.com/read/2019/07/17/33/2079892/dilamar-pria-bule-dena-rachman-bakal-menikah-tahun-depan?page=2","sumber")</f>
        <v>sumber</v>
      </c>
      <c r="G265" s="269" t="s">
        <v>33</v>
      </c>
      <c r="H265" s="45" t="s">
        <v>3493</v>
      </c>
      <c r="I265" s="44">
        <v>2.0</v>
      </c>
      <c r="J265" s="44">
        <v>3.0</v>
      </c>
      <c r="K265" s="164" t="s">
        <v>3494</v>
      </c>
      <c r="L265" s="44">
        <v>0.0</v>
      </c>
      <c r="M265" s="44">
        <v>0.0</v>
      </c>
      <c r="N265" s="44">
        <v>0.0</v>
      </c>
      <c r="O265" s="44">
        <v>0.0</v>
      </c>
      <c r="P265" s="44">
        <v>0.0</v>
      </c>
      <c r="Q265" s="44" t="s">
        <v>61</v>
      </c>
      <c r="R265" s="44" t="s">
        <v>685</v>
      </c>
      <c r="S265" s="175"/>
      <c r="T265" s="44">
        <v>0.0</v>
      </c>
      <c r="U265" s="44">
        <v>-1.0</v>
      </c>
      <c r="V265" s="44">
        <v>0.0</v>
      </c>
      <c r="W265" s="45"/>
      <c r="X265" s="45"/>
      <c r="Y265" s="45"/>
      <c r="Z265" s="9"/>
    </row>
    <row r="266" ht="14.25" customHeight="1">
      <c r="A266" s="214">
        <v>2.0</v>
      </c>
      <c r="B266" s="285" t="s">
        <v>3495</v>
      </c>
      <c r="C266" s="47">
        <v>263.0</v>
      </c>
      <c r="D266" s="47">
        <v>9.0</v>
      </c>
      <c r="E266" s="288">
        <v>43667.0</v>
      </c>
      <c r="F266" s="156" t="str">
        <f>HYPERLINK("https://republika.co.id/berita/puz5te349/cegah-kerusakan-umat-dari-pergaulan-bebas","sumber")</f>
        <v>sumber</v>
      </c>
      <c r="G266" s="274" t="s">
        <v>33</v>
      </c>
      <c r="H266" s="48" t="s">
        <v>3180</v>
      </c>
      <c r="I266" s="47">
        <v>2.0</v>
      </c>
      <c r="J266" s="47">
        <v>3.0</v>
      </c>
      <c r="K266" s="165"/>
      <c r="L266" s="48"/>
      <c r="M266" s="48"/>
      <c r="N266" s="48"/>
      <c r="O266" s="48"/>
      <c r="P266" s="48"/>
      <c r="Q266" s="48"/>
      <c r="R266" s="48"/>
      <c r="S266" s="165"/>
      <c r="T266" s="48"/>
      <c r="U266" s="48"/>
      <c r="V266" s="48"/>
      <c r="W266" s="48"/>
      <c r="X266" s="48"/>
      <c r="Y266" s="47"/>
      <c r="Z266" s="43"/>
    </row>
    <row r="267" ht="14.25" customHeight="1">
      <c r="A267" s="282">
        <v>1.0</v>
      </c>
      <c r="B267" s="283" t="s">
        <v>3496</v>
      </c>
      <c r="C267" s="44">
        <v>264.0</v>
      </c>
      <c r="D267" s="44">
        <v>9.0</v>
      </c>
      <c r="E267" s="287">
        <v>43669.0</v>
      </c>
      <c r="F267" s="162" t="str">
        <f>HYPERLINK("https://internasional.republika.co.id/berita/pv1qut15000/raih-dukungan-politik-kaum-muda-saudi-gunakan-musik-pop ","sumber")</f>
        <v>sumber</v>
      </c>
      <c r="G267" s="269" t="s">
        <v>33</v>
      </c>
      <c r="H267" s="45" t="s">
        <v>3497</v>
      </c>
      <c r="I267" s="44">
        <v>4.0</v>
      </c>
      <c r="J267" s="44">
        <v>3.0</v>
      </c>
      <c r="K267" s="164" t="s">
        <v>3498</v>
      </c>
      <c r="L267" s="44">
        <v>0.0</v>
      </c>
      <c r="M267" s="44">
        <v>0.0</v>
      </c>
      <c r="N267" s="44">
        <v>0.0</v>
      </c>
      <c r="O267" s="44">
        <v>0.0</v>
      </c>
      <c r="P267" s="44">
        <v>0.0</v>
      </c>
      <c r="Q267" s="164" t="s">
        <v>217</v>
      </c>
      <c r="R267" s="44" t="s">
        <v>1058</v>
      </c>
      <c r="S267" s="175"/>
      <c r="T267" s="44">
        <v>0.0</v>
      </c>
      <c r="U267" s="44">
        <v>0.0</v>
      </c>
      <c r="V267" s="44">
        <v>1.0</v>
      </c>
      <c r="W267" s="45"/>
      <c r="X267" s="45"/>
      <c r="Y267" s="45"/>
      <c r="Z267" s="9"/>
    </row>
    <row r="268" ht="14.25" customHeight="1">
      <c r="A268" s="254">
        <v>1.0</v>
      </c>
      <c r="B268" s="68" t="s">
        <v>3499</v>
      </c>
      <c r="C268" s="55">
        <v>265.0</v>
      </c>
      <c r="D268" s="55">
        <v>7.0</v>
      </c>
      <c r="E268" s="296">
        <v>43672.0</v>
      </c>
      <c r="F268" s="171" t="str">
        <f>HYPERLINK("https://www.tribunnews.com/regional/2019/07/26/temuan-mengejutkan-saat-menelusuri-penyimpangan-perilaku-seksual-pelajar-di-tulungagung ","sumber")</f>
        <v>sumber</v>
      </c>
      <c r="G268" s="277" t="s">
        <v>33</v>
      </c>
      <c r="H268" s="55">
        <v>281.0</v>
      </c>
      <c r="I268" s="55">
        <v>1.0</v>
      </c>
      <c r="J268" s="55">
        <v>3.0</v>
      </c>
      <c r="K268" s="172" t="s">
        <v>3500</v>
      </c>
      <c r="L268" s="55">
        <v>0.0</v>
      </c>
      <c r="M268" s="55">
        <v>-1.0</v>
      </c>
      <c r="N268" s="55">
        <v>0.0</v>
      </c>
      <c r="O268" s="55">
        <v>0.0</v>
      </c>
      <c r="P268" s="55">
        <v>0.0</v>
      </c>
      <c r="Q268" s="55">
        <v>0.0</v>
      </c>
      <c r="R268" s="55">
        <v>-1.0</v>
      </c>
      <c r="S268" s="172" t="s">
        <v>3501</v>
      </c>
      <c r="T268" s="55">
        <v>4.0</v>
      </c>
      <c r="U268" s="55">
        <v>0.0</v>
      </c>
      <c r="V268" s="55">
        <v>0.0</v>
      </c>
      <c r="W268" s="46"/>
      <c r="X268" s="46"/>
      <c r="Y268" s="55"/>
      <c r="Z268" s="30"/>
    </row>
    <row r="269" ht="14.25" customHeight="1">
      <c r="A269" s="282">
        <v>1.0</v>
      </c>
      <c r="B269" s="283" t="s">
        <v>3502</v>
      </c>
      <c r="C269" s="44">
        <v>266.0</v>
      </c>
      <c r="D269" s="44">
        <v>8.0</v>
      </c>
      <c r="E269" s="287">
        <v>43673.0</v>
      </c>
      <c r="F269" s="162" t="str">
        <f>HYPERLINK("https://www.suara.com/health/2019/07/27/185014/meski-millen-cyrus-lakukan-terapi-hormon-bagian-ini-tak-akan-berubah ","sumber")</f>
        <v>sumber</v>
      </c>
      <c r="G269" s="269" t="s">
        <v>33</v>
      </c>
      <c r="H269" s="45" t="s">
        <v>2990</v>
      </c>
      <c r="I269" s="44">
        <v>2.0</v>
      </c>
      <c r="J269" s="44">
        <v>3.0</v>
      </c>
      <c r="K269" s="164" t="s">
        <v>3503</v>
      </c>
      <c r="L269" s="44">
        <v>0.0</v>
      </c>
      <c r="M269" s="44">
        <v>0.0</v>
      </c>
      <c r="N269" s="44">
        <v>0.0</v>
      </c>
      <c r="O269" s="44">
        <v>0.0</v>
      </c>
      <c r="P269" s="44">
        <v>-1.0</v>
      </c>
      <c r="Q269" s="44" t="s">
        <v>3504</v>
      </c>
      <c r="R269" s="44" t="s">
        <v>53</v>
      </c>
      <c r="S269" s="175"/>
      <c r="T269" s="44">
        <v>0.0</v>
      </c>
      <c r="U269" s="44">
        <v>0.0</v>
      </c>
      <c r="V269" s="44">
        <v>0.0</v>
      </c>
      <c r="W269" s="45"/>
      <c r="X269" s="45"/>
      <c r="Y269" s="45"/>
      <c r="Z269" s="9"/>
    </row>
    <row r="270" ht="14.25" customHeight="1">
      <c r="A270" s="214">
        <v>2.0</v>
      </c>
      <c r="B270" s="285" t="s">
        <v>3505</v>
      </c>
      <c r="C270" s="47">
        <v>267.0</v>
      </c>
      <c r="D270" s="47">
        <v>2.0</v>
      </c>
      <c r="E270" s="288">
        <v>43674.0</v>
      </c>
      <c r="F270" s="156" t="str">
        <f>HYPERLINK("https://www.cnnindonesia.com/olahraga/20190728112602-178-416175/mcgregor-sebut-khabib-curang-di-ufc-229 ","sumber")</f>
        <v>sumber</v>
      </c>
      <c r="G270" s="274" t="s">
        <v>33</v>
      </c>
      <c r="H270" s="48" t="s">
        <v>3506</v>
      </c>
      <c r="I270" s="47">
        <v>2.0</v>
      </c>
      <c r="J270" s="47">
        <v>3.0</v>
      </c>
      <c r="K270" s="165"/>
      <c r="L270" s="48"/>
      <c r="M270" s="48"/>
      <c r="N270" s="48"/>
      <c r="O270" s="48"/>
      <c r="P270" s="48"/>
      <c r="Q270" s="48"/>
      <c r="R270" s="48"/>
      <c r="S270" s="165"/>
      <c r="T270" s="48"/>
      <c r="U270" s="48"/>
      <c r="V270" s="48"/>
      <c r="W270" s="48"/>
      <c r="X270" s="48"/>
      <c r="Y270" s="47"/>
      <c r="Z270" s="43"/>
    </row>
    <row r="271" ht="14.25" customHeight="1">
      <c r="A271" s="254">
        <v>1.0</v>
      </c>
      <c r="B271" s="68" t="s">
        <v>3507</v>
      </c>
      <c r="C271" s="55">
        <v>268.0</v>
      </c>
      <c r="D271" s="55">
        <v>4.0</v>
      </c>
      <c r="E271" s="289">
        <v>43647.0</v>
      </c>
      <c r="F271" s="171" t="str">
        <f>HYPERLINK("https://www.liputan6.com/tekno/read/4001473/ups-aplikasi-kencan-lgbt-ekspos-foto-pribadi-pengguna ","sumber")</f>
        <v>sumber</v>
      </c>
      <c r="G271" s="277" t="s">
        <v>33</v>
      </c>
      <c r="H271" s="55">
        <v>385.0</v>
      </c>
      <c r="I271" s="55">
        <v>1.0</v>
      </c>
      <c r="J271" s="55">
        <v>3.0</v>
      </c>
      <c r="K271" s="172" t="s">
        <v>3508</v>
      </c>
      <c r="L271" s="55">
        <v>0.0</v>
      </c>
      <c r="M271" s="55">
        <v>1.0</v>
      </c>
      <c r="N271" s="55">
        <v>0.0</v>
      </c>
      <c r="O271" s="55">
        <v>0.0</v>
      </c>
      <c r="P271" s="55">
        <v>-1.0</v>
      </c>
      <c r="Q271" s="55" t="s">
        <v>61</v>
      </c>
      <c r="R271" s="55" t="s">
        <v>214</v>
      </c>
      <c r="S271" s="172"/>
      <c r="T271" s="55">
        <v>0.0</v>
      </c>
      <c r="U271" s="55">
        <v>0.0</v>
      </c>
      <c r="V271" s="55">
        <v>0.0</v>
      </c>
      <c r="W271" s="46"/>
      <c r="X271" s="46"/>
      <c r="Y271" s="55"/>
      <c r="Z271" s="30"/>
    </row>
    <row r="272" ht="14.25" customHeight="1">
      <c r="A272" s="254">
        <v>1.0</v>
      </c>
      <c r="B272" s="68" t="s">
        <v>3509</v>
      </c>
      <c r="C272" s="55">
        <v>269.0</v>
      </c>
      <c r="D272" s="55">
        <v>1.0</v>
      </c>
      <c r="E272" s="296">
        <v>43681.0</v>
      </c>
      <c r="F272" s="171" t="str">
        <f>HYPERLINK("https://hot.detik.com/celeb/d-4651048/kembali-ke-kodrat-aby-respati-malah-di-unfollow-millendaru ","sumber")</f>
        <v>sumber</v>
      </c>
      <c r="G272" s="277" t="s">
        <v>33</v>
      </c>
      <c r="H272" s="55">
        <v>1286.0</v>
      </c>
      <c r="I272" s="55">
        <v>2.0</v>
      </c>
      <c r="J272" s="55">
        <v>3.0</v>
      </c>
      <c r="K272" s="172" t="s">
        <v>36</v>
      </c>
      <c r="L272" s="55">
        <v>0.0</v>
      </c>
      <c r="M272" s="55">
        <v>0.0</v>
      </c>
      <c r="N272" s="55">
        <v>0.0</v>
      </c>
      <c r="O272" s="55">
        <v>0.0</v>
      </c>
      <c r="P272" s="55">
        <v>0.0</v>
      </c>
      <c r="Q272" s="55">
        <v>2.0</v>
      </c>
      <c r="R272" s="55">
        <v>0.0</v>
      </c>
      <c r="S272" s="172"/>
      <c r="T272" s="55">
        <v>0.0</v>
      </c>
      <c r="U272" s="55">
        <v>0.0</v>
      </c>
      <c r="V272" s="55">
        <v>0.0</v>
      </c>
      <c r="W272" s="46"/>
      <c r="X272" s="46"/>
      <c r="Y272" s="55"/>
      <c r="Z272" s="30"/>
    </row>
    <row r="273" ht="14.25" customHeight="1">
      <c r="A273" s="282">
        <v>1.0</v>
      </c>
      <c r="B273" s="283" t="s">
        <v>3510</v>
      </c>
      <c r="C273" s="44">
        <v>270.0</v>
      </c>
      <c r="D273" s="44">
        <v>4.0</v>
      </c>
      <c r="E273" s="287">
        <v>43684.0</v>
      </c>
      <c r="F273" s="162" t="str">
        <f>HYPERLINK("https://www.liputan6.com/lifestyle/read/4031093/sosok-model-transgender-pertama-victorias-secret ","sumber")</f>
        <v>sumber</v>
      </c>
      <c r="G273" s="269" t="s">
        <v>33</v>
      </c>
      <c r="H273" s="45" t="s">
        <v>3297</v>
      </c>
      <c r="I273" s="44">
        <v>3.0</v>
      </c>
      <c r="J273" s="44">
        <v>3.0</v>
      </c>
      <c r="K273" s="164" t="s">
        <v>3511</v>
      </c>
      <c r="L273" s="44">
        <v>0.0</v>
      </c>
      <c r="M273" s="44">
        <v>0.0</v>
      </c>
      <c r="N273" s="44">
        <v>0.0</v>
      </c>
      <c r="O273" s="44">
        <v>0.0</v>
      </c>
      <c r="P273" s="44">
        <v>0.0</v>
      </c>
      <c r="Q273" s="164" t="s">
        <v>277</v>
      </c>
      <c r="R273" s="164" t="s">
        <v>3512</v>
      </c>
      <c r="S273" s="175"/>
      <c r="T273" s="44">
        <v>0.0</v>
      </c>
      <c r="U273" s="44">
        <v>0.0</v>
      </c>
      <c r="V273" s="44">
        <v>0.0</v>
      </c>
      <c r="W273" s="45"/>
      <c r="X273" s="45"/>
      <c r="Y273" s="45"/>
      <c r="Z273" s="9"/>
    </row>
    <row r="274" ht="14.25" customHeight="1">
      <c r="A274" s="282">
        <v>1.0</v>
      </c>
      <c r="B274" s="283" t="s">
        <v>3513</v>
      </c>
      <c r="C274" s="44">
        <v>271.0</v>
      </c>
      <c r="D274" s="44">
        <v>8.0</v>
      </c>
      <c r="E274" s="287">
        <v>43686.0</v>
      </c>
      <c r="F274" s="162" t="str">
        <f>HYPERLINK("https://www.suara.com/health/2019/08/09/164226/dena-rachman-bakal-dinikahi-pria-bule-duh-waspadai-risiko-ini ","sumber")</f>
        <v>sumber</v>
      </c>
      <c r="G274" s="269" t="s">
        <v>33</v>
      </c>
      <c r="H274" s="45" t="s">
        <v>3436</v>
      </c>
      <c r="I274" s="44">
        <v>2.0</v>
      </c>
      <c r="J274" s="44">
        <v>3.0</v>
      </c>
      <c r="K274" s="306" t="s">
        <v>3514</v>
      </c>
      <c r="L274" s="44">
        <v>0.0</v>
      </c>
      <c r="M274" s="44">
        <v>0.0</v>
      </c>
      <c r="N274" s="44">
        <v>0.0</v>
      </c>
      <c r="O274" s="44">
        <v>0.0</v>
      </c>
      <c r="P274" s="44">
        <v>-1.0</v>
      </c>
      <c r="Q274" s="44" t="s">
        <v>61</v>
      </c>
      <c r="R274" s="44" t="s">
        <v>780</v>
      </c>
      <c r="S274" s="164" t="s">
        <v>3515</v>
      </c>
      <c r="T274" s="44">
        <v>2.0</v>
      </c>
      <c r="U274" s="44">
        <v>0.0</v>
      </c>
      <c r="V274" s="44">
        <v>0.0</v>
      </c>
      <c r="W274" s="45"/>
      <c r="X274" s="45"/>
      <c r="Y274" s="45"/>
      <c r="Z274" s="9"/>
    </row>
    <row r="275" ht="14.25" customHeight="1">
      <c r="A275" s="282">
        <v>1.0</v>
      </c>
      <c r="B275" s="283" t="s">
        <v>3516</v>
      </c>
      <c r="C275" s="44">
        <v>272.0</v>
      </c>
      <c r="D275" s="44">
        <v>6.0</v>
      </c>
      <c r="E275" s="287">
        <v>43688.0</v>
      </c>
      <c r="F275" s="162" t="str">
        <f>HYPERLINK("https://regional.kompas.com/read/2019/08/11/11140041/fakta-guru-ikat-dan-lecehkan-siswanya-mental-korban-terguncang-hingga ","sumber")</f>
        <v>sumber</v>
      </c>
      <c r="G275" s="269" t="s">
        <v>33</v>
      </c>
      <c r="H275" s="45" t="s">
        <v>3517</v>
      </c>
      <c r="I275" s="44">
        <v>1.0</v>
      </c>
      <c r="J275" s="44">
        <v>3.0</v>
      </c>
      <c r="K275" s="164" t="s">
        <v>3518</v>
      </c>
      <c r="L275" s="44">
        <v>0.0</v>
      </c>
      <c r="M275" s="44">
        <v>1.0</v>
      </c>
      <c r="N275" s="44">
        <v>0.0</v>
      </c>
      <c r="O275" s="44">
        <v>-1.0</v>
      </c>
      <c r="P275" s="44">
        <v>0.0</v>
      </c>
      <c r="Q275" s="164" t="s">
        <v>53</v>
      </c>
      <c r="R275" s="164" t="s">
        <v>3519</v>
      </c>
      <c r="S275" s="175"/>
      <c r="T275" s="44">
        <v>0.0</v>
      </c>
      <c r="U275" s="44">
        <v>0.0</v>
      </c>
      <c r="V275" s="44">
        <v>0.0</v>
      </c>
      <c r="W275" s="45"/>
      <c r="X275" s="45"/>
      <c r="Y275" s="45"/>
      <c r="Z275" s="9"/>
    </row>
    <row r="276" ht="14.25" customHeight="1">
      <c r="A276" s="282">
        <v>1.0</v>
      </c>
      <c r="B276" s="283" t="s">
        <v>3520</v>
      </c>
      <c r="C276" s="44">
        <v>273.0</v>
      </c>
      <c r="D276" s="44">
        <v>2.0</v>
      </c>
      <c r="E276" s="287">
        <v>43692.0</v>
      </c>
      <c r="F276" s="162" t="str">
        <f>HYPERLINK("https://www.cnnindonesia.com/teknologi/20190815145149-185-421642/sri-mulyani-menteri-yang-paling-ramai-dibicarakan-netizen ","sumber")</f>
        <v>sumber</v>
      </c>
      <c r="G276" s="269" t="s">
        <v>33</v>
      </c>
      <c r="H276" s="45" t="s">
        <v>3310</v>
      </c>
      <c r="I276" s="44">
        <v>5.0</v>
      </c>
      <c r="J276" s="44">
        <v>3.0</v>
      </c>
      <c r="K276" s="164" t="s">
        <v>3521</v>
      </c>
      <c r="L276" s="44">
        <v>0.0</v>
      </c>
      <c r="M276" s="44">
        <v>0.0</v>
      </c>
      <c r="N276" s="44">
        <v>0.0</v>
      </c>
      <c r="O276" s="44">
        <v>0.0</v>
      </c>
      <c r="P276" s="44">
        <v>0.0</v>
      </c>
      <c r="Q276" s="44">
        <v>0.0</v>
      </c>
      <c r="R276" s="44">
        <v>0.0</v>
      </c>
      <c r="S276" s="175"/>
      <c r="T276" s="44">
        <v>0.0</v>
      </c>
      <c r="U276" s="44">
        <v>0.0</v>
      </c>
      <c r="V276" s="44">
        <v>0.0</v>
      </c>
      <c r="W276" s="45"/>
      <c r="X276" s="45"/>
      <c r="Y276" s="45"/>
      <c r="Z276" s="9"/>
    </row>
    <row r="277" ht="14.25" customHeight="1">
      <c r="A277" s="254">
        <v>1.0</v>
      </c>
      <c r="B277" s="68" t="s">
        <v>3522</v>
      </c>
      <c r="C277" s="55">
        <v>274.0</v>
      </c>
      <c r="D277" s="55">
        <v>1.0</v>
      </c>
      <c r="E277" s="289">
        <v>43685.0</v>
      </c>
      <c r="F277" s="171" t="str">
        <f>HYPERLINK("https://hot.detik.com/celeb/d-4657661/m-fatah-disebut-sebut-lucinta-ngamuk-sampai-dorong-pegawai-geprek-bensu ","sumber")</f>
        <v>sumber</v>
      </c>
      <c r="G277" s="277" t="s">
        <v>33</v>
      </c>
      <c r="H277" s="55">
        <v>1798.0</v>
      </c>
      <c r="I277" s="55">
        <v>1.0</v>
      </c>
      <c r="J277" s="55">
        <v>3.0</v>
      </c>
      <c r="K277" s="172" t="s">
        <v>3523</v>
      </c>
      <c r="L277" s="55">
        <v>0.0</v>
      </c>
      <c r="M277" s="55">
        <v>1.0</v>
      </c>
      <c r="N277" s="55">
        <v>0.0</v>
      </c>
      <c r="O277" s="55">
        <v>0.0</v>
      </c>
      <c r="P277" s="55">
        <v>0.0</v>
      </c>
      <c r="Q277" s="55" t="s">
        <v>210</v>
      </c>
      <c r="R277" s="55" t="s">
        <v>61</v>
      </c>
      <c r="S277" s="172"/>
      <c r="T277" s="55">
        <v>0.0</v>
      </c>
      <c r="U277" s="55">
        <v>0.0</v>
      </c>
      <c r="V277" s="55">
        <v>0.0</v>
      </c>
      <c r="W277" s="46"/>
      <c r="X277" s="46"/>
      <c r="Y277" s="55"/>
      <c r="Z277" s="30"/>
    </row>
    <row r="278" ht="14.25" customHeight="1">
      <c r="A278" s="282">
        <v>1.0</v>
      </c>
      <c r="B278" s="283" t="s">
        <v>3524</v>
      </c>
      <c r="C278" s="44">
        <v>275.0</v>
      </c>
      <c r="D278" s="44">
        <v>4.0</v>
      </c>
      <c r="E278" s="287">
        <v>43694.0</v>
      </c>
      <c r="F278" s="307" t="str">
        <f>HYPERLINK("https://www.liputan6.com/showbiz/read/4040169/sambut-hut-ke-74-ri-dena-rachman-tuliskan-harapannya ","sumber")</f>
        <v>sumber</v>
      </c>
      <c r="G278" s="269" t="s">
        <v>33</v>
      </c>
      <c r="H278" s="45" t="s">
        <v>3525</v>
      </c>
      <c r="I278" s="44">
        <v>3.0</v>
      </c>
      <c r="J278" s="44">
        <v>3.0</v>
      </c>
      <c r="K278" s="164" t="s">
        <v>3526</v>
      </c>
      <c r="L278" s="44">
        <v>0.0</v>
      </c>
      <c r="M278" s="44">
        <v>0.0</v>
      </c>
      <c r="N278" s="44">
        <v>0.0</v>
      </c>
      <c r="O278" s="44">
        <v>0.0</v>
      </c>
      <c r="P278" s="44">
        <v>0.0</v>
      </c>
      <c r="Q278" s="44">
        <v>2.0</v>
      </c>
      <c r="R278" s="44">
        <v>1.0</v>
      </c>
      <c r="S278" s="175"/>
      <c r="T278" s="44">
        <v>0.0</v>
      </c>
      <c r="U278" s="44">
        <v>0.0</v>
      </c>
      <c r="V278" s="44">
        <v>0.0</v>
      </c>
      <c r="W278" s="45"/>
      <c r="X278" s="45"/>
      <c r="Y278" s="45"/>
      <c r="Z278" s="9"/>
    </row>
    <row r="279" ht="14.25" customHeight="1">
      <c r="A279" s="282">
        <v>1.0</v>
      </c>
      <c r="B279" s="283" t="s">
        <v>3527</v>
      </c>
      <c r="C279" s="44">
        <v>276.0</v>
      </c>
      <c r="D279" s="44">
        <v>7.0</v>
      </c>
      <c r="E279" s="287">
        <v>43696.0</v>
      </c>
      <c r="F279" s="162" t="str">
        <f>HYPERLINK("https://www.tribunnews.com/seleb/2019/08/19/nama-asli-lucinta-luna-yang-tertera-di-ktpnya-akhirnya-terungkap","sumber")</f>
        <v>sumber</v>
      </c>
      <c r="G279" s="269" t="s">
        <v>33</v>
      </c>
      <c r="H279" s="45" t="s">
        <v>3528</v>
      </c>
      <c r="I279" s="44">
        <v>2.0</v>
      </c>
      <c r="J279" s="44">
        <v>3.0</v>
      </c>
      <c r="K279" s="164" t="s">
        <v>3529</v>
      </c>
      <c r="L279" s="44">
        <v>0.0</v>
      </c>
      <c r="M279" s="44">
        <v>0.0</v>
      </c>
      <c r="N279" s="44">
        <v>0.0</v>
      </c>
      <c r="O279" s="44">
        <v>0.0</v>
      </c>
      <c r="P279" s="44">
        <v>0.0</v>
      </c>
      <c r="Q279" s="44" t="s">
        <v>210</v>
      </c>
      <c r="R279" s="44" t="s">
        <v>61</v>
      </c>
      <c r="S279" s="164" t="s">
        <v>3530</v>
      </c>
      <c r="T279" s="44">
        <v>1.0</v>
      </c>
      <c r="U279" s="44">
        <v>0.0</v>
      </c>
      <c r="V279" s="44">
        <v>0.0</v>
      </c>
      <c r="W279" s="45"/>
      <c r="X279" s="45"/>
      <c r="Y279" s="45"/>
      <c r="Z279" s="9"/>
    </row>
    <row r="280" ht="14.25" customHeight="1">
      <c r="A280" s="282">
        <v>1.0</v>
      </c>
      <c r="B280" s="283" t="s">
        <v>3531</v>
      </c>
      <c r="C280" s="44">
        <v>277.0</v>
      </c>
      <c r="D280" s="44">
        <v>7.0</v>
      </c>
      <c r="E280" s="287">
        <v>43705.0</v>
      </c>
      <c r="F280" s="162" t="str">
        <f>HYPERLINK("https://www.tribunnews.com/internasional/2019/08/28/kisah-mereka-yang-pernah-dihukum-kebiri-psikolog-ungkap-efek-pelaku-seusai-bebas-ada-kebencian ","sumber")</f>
        <v>sumber</v>
      </c>
      <c r="G280" s="269" t="s">
        <v>33</v>
      </c>
      <c r="H280" s="45" t="s">
        <v>3532</v>
      </c>
      <c r="I280" s="44">
        <v>1.0</v>
      </c>
      <c r="J280" s="44">
        <v>3.0</v>
      </c>
      <c r="K280" s="308" t="s">
        <v>3533</v>
      </c>
      <c r="L280" s="44">
        <v>0.0</v>
      </c>
      <c r="M280" s="44">
        <v>1.0</v>
      </c>
      <c r="N280" s="44">
        <v>0.0</v>
      </c>
      <c r="O280" s="44">
        <v>0.0</v>
      </c>
      <c r="P280" s="44">
        <v>0.0</v>
      </c>
      <c r="Q280" s="308" t="s">
        <v>202</v>
      </c>
      <c r="R280" s="308" t="s">
        <v>202</v>
      </c>
      <c r="S280" s="175"/>
      <c r="T280" s="44">
        <v>0.0</v>
      </c>
      <c r="U280" s="44">
        <v>0.0</v>
      </c>
      <c r="V280" s="44">
        <v>1.0</v>
      </c>
      <c r="W280" s="45"/>
      <c r="X280" s="45"/>
      <c r="Y280" s="45"/>
      <c r="Z280" s="9"/>
    </row>
    <row r="281" ht="14.25" customHeight="1">
      <c r="A281" s="214">
        <v>2.0</v>
      </c>
      <c r="B281" s="285" t="s">
        <v>3534</v>
      </c>
      <c r="C281" s="47">
        <v>278.0</v>
      </c>
      <c r="D281" s="47">
        <v>6.0</v>
      </c>
      <c r="E281" s="288">
        <v>43706.0</v>
      </c>
      <c r="F281" s="309" t="s">
        <v>2198</v>
      </c>
      <c r="G281" s="274" t="s">
        <v>33</v>
      </c>
      <c r="H281" s="48" t="s">
        <v>2998</v>
      </c>
      <c r="I281" s="47">
        <v>2.0</v>
      </c>
      <c r="J281" s="47">
        <v>3.0</v>
      </c>
      <c r="K281" s="165"/>
      <c r="L281" s="48"/>
      <c r="M281" s="48"/>
      <c r="N281" s="48"/>
      <c r="O281" s="48"/>
      <c r="P281" s="48"/>
      <c r="Q281" s="48"/>
      <c r="R281" s="48"/>
      <c r="S281" s="165"/>
      <c r="T281" s="48"/>
      <c r="U281" s="48"/>
      <c r="V281" s="48"/>
      <c r="W281" s="48"/>
      <c r="X281" s="48"/>
      <c r="Y281" s="47"/>
      <c r="Z281" s="43"/>
    </row>
    <row r="282" ht="14.25" customHeight="1">
      <c r="A282" s="282">
        <v>1.0</v>
      </c>
      <c r="B282" s="283" t="s">
        <v>3535</v>
      </c>
      <c r="C282" s="44">
        <v>279.0</v>
      </c>
      <c r="D282" s="44">
        <v>6.0</v>
      </c>
      <c r="E282" s="287">
        <v>43707.0</v>
      </c>
      <c r="F282" s="162" t="str">
        <f>HYPERLINK("https://nasional.kompas.com/read/2019/08/30/18035271/pks-ingin-rkuhp-tegas-menghukum-perzinaan-sesama-jenis ","sumber")</f>
        <v>sumber</v>
      </c>
      <c r="G282" s="269" t="s">
        <v>33</v>
      </c>
      <c r="H282" s="45" t="s">
        <v>3536</v>
      </c>
      <c r="I282" s="44">
        <v>4.0</v>
      </c>
      <c r="J282" s="44">
        <v>3.0</v>
      </c>
      <c r="K282" s="164" t="s">
        <v>3537</v>
      </c>
      <c r="L282" s="44">
        <v>0.0</v>
      </c>
      <c r="M282" s="44">
        <v>0.0</v>
      </c>
      <c r="N282" s="44">
        <v>0.0</v>
      </c>
      <c r="O282" s="44">
        <v>0.0</v>
      </c>
      <c r="P282" s="44">
        <v>0.0</v>
      </c>
      <c r="Q282" s="44" t="s">
        <v>61</v>
      </c>
      <c r="R282" s="44" t="s">
        <v>62</v>
      </c>
      <c r="S282" s="164" t="s">
        <v>3538</v>
      </c>
      <c r="T282" s="44">
        <v>2.0</v>
      </c>
      <c r="U282" s="44">
        <v>0.0</v>
      </c>
      <c r="V282" s="44">
        <v>0.0</v>
      </c>
      <c r="W282" s="45"/>
      <c r="X282" s="45"/>
      <c r="Y282" s="45"/>
      <c r="Z282" s="9"/>
    </row>
    <row r="283" ht="14.25" customHeight="1">
      <c r="A283" s="282">
        <v>1.0</v>
      </c>
      <c r="B283" s="283" t="s">
        <v>3539</v>
      </c>
      <c r="C283" s="44">
        <v>280.0</v>
      </c>
      <c r="D283" s="44">
        <v>9.0</v>
      </c>
      <c r="E283" s="287">
        <v>43707.0</v>
      </c>
      <c r="F283" s="162" t="str">
        <f>HYPERLINK("https://gayahidup.republika.co.id/berita/px0n4u349/peneliti-ungkap-tak-ada-gen-yang-sebabkan-seseorang-jadi-gay ","sumber")</f>
        <v>sumber</v>
      </c>
      <c r="G283" s="269" t="s">
        <v>33</v>
      </c>
      <c r="H283" s="45" t="s">
        <v>3540</v>
      </c>
      <c r="I283" s="44">
        <v>2.0</v>
      </c>
      <c r="J283" s="44">
        <v>3.0</v>
      </c>
      <c r="K283" s="164" t="s">
        <v>3541</v>
      </c>
      <c r="L283" s="44">
        <v>0.0</v>
      </c>
      <c r="M283" s="44">
        <v>0.0</v>
      </c>
      <c r="N283" s="44">
        <v>0.0</v>
      </c>
      <c r="O283" s="44">
        <v>0.0</v>
      </c>
      <c r="P283" s="44">
        <v>0.0</v>
      </c>
      <c r="Q283" s="44" t="s">
        <v>61</v>
      </c>
      <c r="R283" s="44" t="s">
        <v>62</v>
      </c>
      <c r="S283" s="164" t="s">
        <v>3542</v>
      </c>
      <c r="T283" s="44">
        <v>1.0</v>
      </c>
      <c r="U283" s="44">
        <v>0.0</v>
      </c>
      <c r="V283" s="44">
        <v>0.0</v>
      </c>
      <c r="W283" s="45"/>
      <c r="X283" s="45"/>
      <c r="Y283" s="45"/>
      <c r="Z283" s="9"/>
    </row>
    <row r="284" ht="14.25" customHeight="1">
      <c r="A284" s="282">
        <v>1.0</v>
      </c>
      <c r="B284" s="283" t="s">
        <v>3543</v>
      </c>
      <c r="C284" s="44">
        <v>281.0</v>
      </c>
      <c r="D284" s="44">
        <v>7.0</v>
      </c>
      <c r="E284" s="287">
        <v>43711.0</v>
      </c>
      <c r="F284" s="162" t="str">
        <f>HYPERLINK("https://www.tribunnews.com/seleb/2019/09/03/cuhatan-dena-rachman-jadi-transgender-terkuak-hubungan-dengan-ibu-kandung-yang-sempat-menentangnya ","sumber")</f>
        <v>sumber</v>
      </c>
      <c r="G284" s="269" t="s">
        <v>33</v>
      </c>
      <c r="H284" s="45" t="s">
        <v>3544</v>
      </c>
      <c r="I284" s="44">
        <v>2.0</v>
      </c>
      <c r="J284" s="44">
        <v>3.0</v>
      </c>
      <c r="K284" s="164" t="s">
        <v>3526</v>
      </c>
      <c r="L284" s="44">
        <v>0.0</v>
      </c>
      <c r="M284" s="44">
        <v>0.0</v>
      </c>
      <c r="N284" s="44">
        <v>-1.0</v>
      </c>
      <c r="O284" s="44">
        <v>0.0</v>
      </c>
      <c r="P284" s="44">
        <v>0.0</v>
      </c>
      <c r="Q284" s="44">
        <v>2.0</v>
      </c>
      <c r="R284" s="44">
        <v>1.0</v>
      </c>
      <c r="S284" s="164"/>
      <c r="T284" s="44">
        <v>0.0</v>
      </c>
      <c r="U284" s="44">
        <v>0.0</v>
      </c>
      <c r="V284" s="44">
        <v>0.0</v>
      </c>
      <c r="W284" s="45"/>
      <c r="X284" s="45"/>
      <c r="Y284" s="45"/>
      <c r="Z284" s="9"/>
    </row>
    <row r="285" ht="14.25" customHeight="1">
      <c r="A285" s="189">
        <v>1.0</v>
      </c>
      <c r="B285" s="245" t="s">
        <v>3545</v>
      </c>
      <c r="C285" s="55">
        <v>282.0</v>
      </c>
      <c r="D285" s="55">
        <v>3.0</v>
      </c>
      <c r="E285" s="296">
        <v>43734.0</v>
      </c>
      <c r="F285" s="171" t="str">
        <f>HYPERLINK("https://index.okezone.com/read/2019/09/26/612/2109476/kisah-titi-pudji-nenek-yang-viral-ikut-aksi-unjuk-rasa-di-bandung","sumber")</f>
        <v>sumber</v>
      </c>
      <c r="G285" s="277" t="s">
        <v>33</v>
      </c>
      <c r="H285" s="55">
        <v>959.0</v>
      </c>
      <c r="I285" s="55">
        <v>4.0</v>
      </c>
      <c r="J285" s="55">
        <v>1.0</v>
      </c>
      <c r="K285" s="172" t="s">
        <v>3546</v>
      </c>
      <c r="L285" s="55">
        <v>0.0</v>
      </c>
      <c r="M285" s="55">
        <v>0.0</v>
      </c>
      <c r="N285" s="55">
        <v>0.0</v>
      </c>
      <c r="O285" s="55">
        <v>0.0</v>
      </c>
      <c r="P285" s="55">
        <v>0.0</v>
      </c>
      <c r="Q285" s="55">
        <v>0.0</v>
      </c>
      <c r="R285" s="55">
        <v>1.0</v>
      </c>
      <c r="S285" s="172"/>
      <c r="T285" s="55">
        <v>0.0</v>
      </c>
      <c r="U285" s="55">
        <v>0.0</v>
      </c>
      <c r="V285" s="55">
        <v>0.0</v>
      </c>
      <c r="W285" s="46"/>
      <c r="X285" s="46"/>
      <c r="Y285" s="55"/>
      <c r="Z285" s="30"/>
    </row>
    <row r="286" ht="14.25" customHeight="1">
      <c r="A286" s="214">
        <v>2.0</v>
      </c>
      <c r="B286" s="285" t="s">
        <v>3547</v>
      </c>
      <c r="C286" s="47">
        <v>283.0</v>
      </c>
      <c r="D286" s="47">
        <v>2.0</v>
      </c>
      <c r="E286" s="288">
        <v>43736.0</v>
      </c>
      <c r="F286" s="156" t="str">
        <f>HYPERLINK("https://www.cnnindonesia.com/hiburan/20190927223833-241-434848/tribut-sederhana-untuk-srimulat-yang-melukis-senyum-indonesia ","sumber")</f>
        <v>sumber</v>
      </c>
      <c r="G286" s="274" t="s">
        <v>33</v>
      </c>
      <c r="H286" s="48" t="s">
        <v>3548</v>
      </c>
      <c r="I286" s="47">
        <v>3.0</v>
      </c>
      <c r="J286" s="47">
        <v>3.0</v>
      </c>
      <c r="K286" s="157"/>
      <c r="L286" s="48"/>
      <c r="M286" s="48"/>
      <c r="N286" s="48"/>
      <c r="O286" s="48"/>
      <c r="P286" s="48"/>
      <c r="Q286" s="48"/>
      <c r="R286" s="48"/>
      <c r="S286" s="157"/>
      <c r="T286" s="48"/>
      <c r="U286" s="48"/>
      <c r="V286" s="48"/>
      <c r="W286" s="48"/>
      <c r="X286" s="48"/>
      <c r="Y286" s="47"/>
      <c r="Z286" s="43"/>
    </row>
    <row r="287" ht="14.25" customHeight="1">
      <c r="A287" s="282">
        <v>1.0</v>
      </c>
      <c r="B287" s="283" t="s">
        <v>1612</v>
      </c>
      <c r="C287" s="44">
        <v>284.0</v>
      </c>
      <c r="D287" s="44">
        <v>6.0</v>
      </c>
      <c r="E287" s="287">
        <v>43471.0</v>
      </c>
      <c r="F287" s="162" t="str">
        <f>HYPERLINK("https://entertainment.kompas.com/read/2019/01/06/112435410/polisi-sebut-pria-diduga-pemesan-artis-va-adalah-pengusaha ","sumber")</f>
        <v>sumber</v>
      </c>
      <c r="G287" s="269" t="s">
        <v>33</v>
      </c>
      <c r="H287" s="45" t="s">
        <v>3549</v>
      </c>
      <c r="I287" s="44">
        <v>1.0</v>
      </c>
      <c r="J287" s="44">
        <v>1.0</v>
      </c>
      <c r="K287" s="164" t="s">
        <v>3550</v>
      </c>
      <c r="L287" s="44">
        <v>0.0</v>
      </c>
      <c r="M287" s="44">
        <v>-1.0</v>
      </c>
      <c r="N287" s="44">
        <v>-1.0</v>
      </c>
      <c r="O287" s="44">
        <v>0.0</v>
      </c>
      <c r="P287" s="44">
        <v>0.0</v>
      </c>
      <c r="Q287" s="44" t="s">
        <v>53</v>
      </c>
      <c r="R287" s="44" t="s">
        <v>451</v>
      </c>
      <c r="S287" s="175"/>
      <c r="T287" s="44">
        <v>0.0</v>
      </c>
      <c r="U287" s="44">
        <v>0.0</v>
      </c>
      <c r="V287" s="44">
        <v>0.0</v>
      </c>
      <c r="W287" s="45"/>
      <c r="X287" s="45"/>
      <c r="Y287" s="45"/>
      <c r="Z287" s="9"/>
    </row>
    <row r="288" ht="14.25" customHeight="1">
      <c r="A288" s="282">
        <v>1.0</v>
      </c>
      <c r="B288" s="283" t="s">
        <v>3551</v>
      </c>
      <c r="C288" s="44">
        <v>285.0</v>
      </c>
      <c r="D288" s="44">
        <v>8.0</v>
      </c>
      <c r="E288" s="287">
        <v>43471.0</v>
      </c>
      <c r="F288" s="162" t="str">
        <f>HYPERLINK("https://www.suara.com/entertainment/2019/01/06/104610/ini-avriellya-shaqila-model-seksi-yang-ditangkap-bareng-vanessa-angel ","sumber")</f>
        <v>sumber</v>
      </c>
      <c r="G288" s="269" t="s">
        <v>33</v>
      </c>
      <c r="H288" s="45" t="s">
        <v>3525</v>
      </c>
      <c r="I288" s="44">
        <v>1.0</v>
      </c>
      <c r="J288" s="44">
        <v>1.0</v>
      </c>
      <c r="K288" s="164" t="s">
        <v>3552</v>
      </c>
      <c r="L288" s="44">
        <v>0.0</v>
      </c>
      <c r="M288" s="44">
        <v>-1.0</v>
      </c>
      <c r="N288" s="44">
        <v>-1.0</v>
      </c>
      <c r="O288" s="44">
        <v>0.0</v>
      </c>
      <c r="P288" s="44">
        <v>-1.0</v>
      </c>
      <c r="Q288" s="44" t="s">
        <v>61</v>
      </c>
      <c r="R288" s="44" t="s">
        <v>62</v>
      </c>
      <c r="S288" s="164" t="s">
        <v>3553</v>
      </c>
      <c r="T288" s="44">
        <v>2.0</v>
      </c>
      <c r="U288" s="44">
        <v>-1.0</v>
      </c>
      <c r="V288" s="44">
        <v>0.0</v>
      </c>
      <c r="W288" s="45"/>
      <c r="X288" s="45"/>
      <c r="Y288" s="45"/>
      <c r="Z288" s="9"/>
    </row>
    <row r="289" ht="14.25" customHeight="1">
      <c r="A289" s="282">
        <v>1.0</v>
      </c>
      <c r="B289" s="283" t="s">
        <v>3554</v>
      </c>
      <c r="C289" s="44">
        <v>286.0</v>
      </c>
      <c r="D289" s="44">
        <v>3.0</v>
      </c>
      <c r="E289" s="287">
        <v>43472.0</v>
      </c>
      <c r="F289" s="162" t="str">
        <f>HYPERLINK("https://news.okezone.com/read/2019/01/07/519/2001006/ditanya-ada-pejabat-pelanggan-psk-artis-kapolda-jatim-tersenyum ","sumber")</f>
        <v>sumber</v>
      </c>
      <c r="G289" s="269" t="s">
        <v>33</v>
      </c>
      <c r="H289" s="45" t="s">
        <v>3555</v>
      </c>
      <c r="I289" s="44">
        <v>1.0</v>
      </c>
      <c r="J289" s="44">
        <v>1.0</v>
      </c>
      <c r="K289" s="164" t="s">
        <v>3556</v>
      </c>
      <c r="L289" s="44">
        <v>0.0</v>
      </c>
      <c r="M289" s="44">
        <v>-1.0</v>
      </c>
      <c r="N289" s="44">
        <v>-1.0</v>
      </c>
      <c r="O289" s="44">
        <v>0.0</v>
      </c>
      <c r="P289" s="44">
        <v>-1.0</v>
      </c>
      <c r="Q289" s="44" t="s">
        <v>119</v>
      </c>
      <c r="R289" s="44" t="s">
        <v>61</v>
      </c>
      <c r="S289" s="164" t="s">
        <v>3557</v>
      </c>
      <c r="T289" s="44">
        <v>1.0</v>
      </c>
      <c r="U289" s="44">
        <v>0.0</v>
      </c>
      <c r="V289" s="44">
        <v>0.0</v>
      </c>
      <c r="W289" s="45"/>
      <c r="X289" s="45"/>
      <c r="Y289" s="45"/>
      <c r="Z289" s="9"/>
    </row>
    <row r="290" ht="14.25" customHeight="1">
      <c r="A290" s="282">
        <v>1.0</v>
      </c>
      <c r="B290" s="283" t="s">
        <v>3558</v>
      </c>
      <c r="C290" s="44">
        <v>287.0</v>
      </c>
      <c r="D290" s="44">
        <v>5.0</v>
      </c>
      <c r="E290" s="287">
        <v>43472.0</v>
      </c>
      <c r="F290" s="162" t="str">
        <f>HYPERLINK("http://www.tribunnews.com/seleb/2019/01/07/prostitusi-artis-vanessa-angel-ingatkan-pada-kasus-robbie-abbas-mengapa-cuma-mucikari-yang-dihukum ","sumber")</f>
        <v>sumber</v>
      </c>
      <c r="G290" s="269" t="s">
        <v>33</v>
      </c>
      <c r="H290" s="45" t="s">
        <v>3259</v>
      </c>
      <c r="I290" s="44">
        <v>1.0</v>
      </c>
      <c r="J290" s="44">
        <v>1.0</v>
      </c>
      <c r="K290" s="164" t="s">
        <v>3559</v>
      </c>
      <c r="L290" s="44">
        <v>0.0</v>
      </c>
      <c r="M290" s="44">
        <v>1.0</v>
      </c>
      <c r="N290" s="44">
        <v>-1.0</v>
      </c>
      <c r="O290" s="44">
        <v>0.0</v>
      </c>
      <c r="P290" s="44">
        <v>0.0</v>
      </c>
      <c r="Q290" s="228" t="s">
        <v>53</v>
      </c>
      <c r="R290" s="164" t="s">
        <v>3519</v>
      </c>
      <c r="S290" s="164" t="s">
        <v>3560</v>
      </c>
      <c r="T290" s="44">
        <v>2.0</v>
      </c>
      <c r="U290" s="44">
        <v>0.0</v>
      </c>
      <c r="V290" s="44">
        <v>0.0</v>
      </c>
      <c r="W290" s="45"/>
      <c r="X290" s="45"/>
      <c r="Y290" s="45"/>
      <c r="Z290" s="9"/>
    </row>
    <row r="291" ht="14.25" customHeight="1">
      <c r="A291" s="282">
        <v>1.0</v>
      </c>
      <c r="B291" s="283" t="s">
        <v>3561</v>
      </c>
      <c r="C291" s="44">
        <v>288.0</v>
      </c>
      <c r="D291" s="44">
        <v>8.0</v>
      </c>
      <c r="E291" s="287">
        <v>43477.0</v>
      </c>
      <c r="F291" s="162" t="str">
        <f>HYPERLINK("https://www.suara.com/entertainment/2019/01/12/011907/kasus-prostitusi-pihak-puteri-indonesia-belum-mau-berkomentar ","sumber")</f>
        <v>sumber</v>
      </c>
      <c r="G291" s="269" t="s">
        <v>33</v>
      </c>
      <c r="H291" s="45" t="s">
        <v>3562</v>
      </c>
      <c r="I291" s="44">
        <v>1.0</v>
      </c>
      <c r="J291" s="44">
        <v>1.0</v>
      </c>
      <c r="K291" s="164"/>
      <c r="L291" s="44">
        <v>-1.0</v>
      </c>
      <c r="M291" s="44">
        <v>-1.0</v>
      </c>
      <c r="N291" s="44">
        <v>-1.0</v>
      </c>
      <c r="O291" s="44">
        <v>0.0</v>
      </c>
      <c r="P291" s="44">
        <v>0.0</v>
      </c>
      <c r="Q291" s="44"/>
      <c r="R291" s="44"/>
      <c r="S291" s="175"/>
      <c r="T291" s="44">
        <v>0.0</v>
      </c>
      <c r="U291" s="44">
        <v>0.0</v>
      </c>
      <c r="V291" s="44">
        <v>0.0</v>
      </c>
      <c r="W291" s="45"/>
      <c r="X291" s="45"/>
      <c r="Y291" s="45"/>
      <c r="Z291" s="9"/>
    </row>
    <row r="292" ht="14.25" customHeight="1">
      <c r="A292" s="282">
        <v>1.0</v>
      </c>
      <c r="B292" s="283" t="s">
        <v>3563</v>
      </c>
      <c r="C292" s="44">
        <v>289.0</v>
      </c>
      <c r="D292" s="44">
        <v>6.0</v>
      </c>
      <c r="E292" s="287">
        <v>43481.0</v>
      </c>
      <c r="F292" s="162" t="str">
        <f>HYPERLINK("https://entertainment.kompas.com/read/2019/01/16/192858910/vanessa-angel-tanggapi-tuduhan-tawarkan-diri-gunakan-video-dan-foto ","sumber")</f>
        <v>sumber</v>
      </c>
      <c r="G292" s="269" t="s">
        <v>33</v>
      </c>
      <c r="H292" s="45" t="s">
        <v>2963</v>
      </c>
      <c r="I292" s="44">
        <v>1.0</v>
      </c>
      <c r="J292" s="44">
        <v>1.0</v>
      </c>
      <c r="K292" s="164" t="s">
        <v>3564</v>
      </c>
      <c r="L292" s="44">
        <v>0.0</v>
      </c>
      <c r="M292" s="44">
        <v>-1.0</v>
      </c>
      <c r="N292" s="44">
        <v>-1.0</v>
      </c>
      <c r="O292" s="44">
        <v>0.0</v>
      </c>
      <c r="P292" s="44">
        <v>0.0</v>
      </c>
      <c r="Q292" s="44" t="s">
        <v>166</v>
      </c>
      <c r="R292" s="44" t="s">
        <v>53</v>
      </c>
      <c r="S292" s="175"/>
      <c r="T292" s="44">
        <v>0.0</v>
      </c>
      <c r="U292" s="44">
        <v>0.0</v>
      </c>
      <c r="V292" s="44">
        <v>0.0</v>
      </c>
      <c r="W292" s="45"/>
      <c r="X292" s="45"/>
      <c r="Y292" s="45"/>
      <c r="Z292" s="9"/>
    </row>
    <row r="293" ht="14.25" customHeight="1">
      <c r="A293" s="282">
        <v>1.0</v>
      </c>
      <c r="B293" s="283" t="s">
        <v>3565</v>
      </c>
      <c r="C293" s="44">
        <v>290.0</v>
      </c>
      <c r="D293" s="44">
        <v>3.0</v>
      </c>
      <c r="E293" s="287">
        <v>43481.0</v>
      </c>
      <c r="F293" s="162" t="str">
        <f>HYPERLINK("https://news.okezone.com/read/2019/01/16/519/2005346/kuasa-hukum-vanessa-angel-minta-polisi-tunjukkan-transaksi-aliran-dana ","sumber")</f>
        <v>sumber</v>
      </c>
      <c r="G293" s="269" t="s">
        <v>33</v>
      </c>
      <c r="H293" s="45" t="s">
        <v>3566</v>
      </c>
      <c r="I293" s="44">
        <v>1.0</v>
      </c>
      <c r="J293" s="44">
        <v>1.0</v>
      </c>
      <c r="K293" s="164" t="s">
        <v>3567</v>
      </c>
      <c r="L293" s="44">
        <v>0.0</v>
      </c>
      <c r="M293" s="44">
        <v>-1.0</v>
      </c>
      <c r="N293" s="44">
        <v>-1.0</v>
      </c>
      <c r="O293" s="44">
        <v>0.0</v>
      </c>
      <c r="P293" s="44">
        <v>0.0</v>
      </c>
      <c r="Q293" s="44">
        <v>0.0</v>
      </c>
      <c r="R293" s="44">
        <v>0.0</v>
      </c>
      <c r="S293" s="175"/>
      <c r="T293" s="44">
        <v>0.0</v>
      </c>
      <c r="U293" s="44">
        <v>0.0</v>
      </c>
      <c r="V293" s="44">
        <v>0.0</v>
      </c>
      <c r="W293" s="45"/>
      <c r="X293" s="45"/>
      <c r="Y293" s="45"/>
      <c r="Z293" s="9"/>
    </row>
    <row r="294" ht="14.25" customHeight="1">
      <c r="A294" s="282">
        <v>1.0</v>
      </c>
      <c r="B294" s="283" t="s">
        <v>3568</v>
      </c>
      <c r="C294" s="44">
        <v>291.0</v>
      </c>
      <c r="D294" s="44">
        <v>5.0</v>
      </c>
      <c r="E294" s="287">
        <v>43496.0</v>
      </c>
      <c r="F294" s="162" t="str">
        <f>HYPERLINK("https://tirto.id/lbh-masyarakat-penolak-ruu-pks-lakukan-penyesatan-informasi-dfuF ","sumber")</f>
        <v>sumber</v>
      </c>
      <c r="G294" s="269" t="s">
        <v>33</v>
      </c>
      <c r="H294" s="45" t="s">
        <v>3569</v>
      </c>
      <c r="I294" s="44">
        <v>4.0</v>
      </c>
      <c r="J294" s="44">
        <v>1.0</v>
      </c>
      <c r="K294" s="164" t="s">
        <v>3570</v>
      </c>
      <c r="L294" s="44">
        <v>0.0</v>
      </c>
      <c r="M294" s="44">
        <v>0.0</v>
      </c>
      <c r="N294" s="44">
        <v>0.0</v>
      </c>
      <c r="O294" s="44">
        <v>0.0</v>
      </c>
      <c r="P294" s="44">
        <v>0.0</v>
      </c>
      <c r="Q294" s="44">
        <v>1.0</v>
      </c>
      <c r="R294" s="44">
        <v>1.0</v>
      </c>
      <c r="S294" s="175"/>
      <c r="T294" s="44">
        <v>0.0</v>
      </c>
      <c r="U294" s="44">
        <v>0.0</v>
      </c>
      <c r="V294" s="44">
        <v>1.0</v>
      </c>
      <c r="W294" s="45"/>
      <c r="X294" s="45"/>
      <c r="Y294" s="45"/>
      <c r="Z294" s="9"/>
    </row>
    <row r="295" ht="14.25" customHeight="1">
      <c r="A295" s="282">
        <v>1.0</v>
      </c>
      <c r="B295" s="283" t="s">
        <v>3571</v>
      </c>
      <c r="C295" s="44">
        <v>292.0</v>
      </c>
      <c r="D295" s="44">
        <v>6.0</v>
      </c>
      <c r="E295" s="287">
        <v>43498.0</v>
      </c>
      <c r="F295" s="162" t="str">
        <f>HYPERLINK("https://olahraga.kompas.com/read/2019/02/02/00343058/pelatih-loncat-indah-bebas-dari-tuduhan-perkosaan ","sumber")</f>
        <v>sumber</v>
      </c>
      <c r="G295" s="269" t="s">
        <v>33</v>
      </c>
      <c r="H295" s="45" t="s">
        <v>3259</v>
      </c>
      <c r="I295" s="44">
        <v>1.0</v>
      </c>
      <c r="J295" s="44">
        <v>1.0</v>
      </c>
      <c r="K295" s="164"/>
      <c r="L295" s="44">
        <v>-1.0</v>
      </c>
      <c r="M295" s="44">
        <v>-1.0</v>
      </c>
      <c r="N295" s="44">
        <v>0.0</v>
      </c>
      <c r="O295" s="44">
        <v>0.0</v>
      </c>
      <c r="P295" s="44">
        <v>0.0</v>
      </c>
      <c r="Q295" s="44"/>
      <c r="R295" s="44"/>
      <c r="S295" s="164"/>
      <c r="T295" s="44">
        <v>0.0</v>
      </c>
      <c r="U295" s="44">
        <v>0.0</v>
      </c>
      <c r="V295" s="44">
        <v>0.0</v>
      </c>
      <c r="W295" s="45"/>
      <c r="X295" s="45"/>
      <c r="Y295" s="45"/>
      <c r="Z295" s="9"/>
    </row>
    <row r="296" ht="14.25" customHeight="1">
      <c r="A296" s="282">
        <v>1.0</v>
      </c>
      <c r="B296" s="283" t="s">
        <v>3572</v>
      </c>
      <c r="C296" s="44">
        <v>293.0</v>
      </c>
      <c r="D296" s="44">
        <v>4.0</v>
      </c>
      <c r="E296" s="287">
        <v>43498.0</v>
      </c>
      <c r="F296" s="162" t="str">
        <f>HYPERLINK("https://www.liputan6.com/news/read/3885876/mahasiswi-di-palembang-diduga-jadi-korban-pemerkosaan-dan-perampokan ","sumber")</f>
        <v>sumber</v>
      </c>
      <c r="G296" s="269" t="s">
        <v>33</v>
      </c>
      <c r="H296" s="45" t="s">
        <v>3573</v>
      </c>
      <c r="I296" s="44">
        <v>1.0</v>
      </c>
      <c r="J296" s="44">
        <v>1.0</v>
      </c>
      <c r="K296" s="164" t="s">
        <v>3574</v>
      </c>
      <c r="L296" s="44">
        <v>0.0</v>
      </c>
      <c r="M296" s="44">
        <v>-1.0</v>
      </c>
      <c r="N296" s="44">
        <v>0.0</v>
      </c>
      <c r="O296" s="44">
        <v>0.0</v>
      </c>
      <c r="P296" s="44">
        <v>0.0</v>
      </c>
      <c r="Q296" s="44">
        <v>0.0</v>
      </c>
      <c r="R296" s="44">
        <v>0.0</v>
      </c>
      <c r="S296" s="164"/>
      <c r="T296" s="44">
        <v>0.0</v>
      </c>
      <c r="U296" s="44">
        <v>0.0</v>
      </c>
      <c r="V296" s="44">
        <v>0.0</v>
      </c>
      <c r="W296" s="45"/>
      <c r="X296" s="45"/>
      <c r="Y296" s="45"/>
      <c r="Z296" s="9"/>
    </row>
    <row r="297" ht="14.25" customHeight="1">
      <c r="A297" s="282">
        <v>1.0</v>
      </c>
      <c r="B297" s="283" t="s">
        <v>3575</v>
      </c>
      <c r="C297" s="44">
        <v>294.0</v>
      </c>
      <c r="D297" s="44">
        <v>7.0</v>
      </c>
      <c r="E297" s="287">
        <v>43499.0</v>
      </c>
      <c r="F297" s="162" t="str">
        <f>HYPERLINK("http://www.tribunnews.com/regional/2019/02/03/pembunuhan-mahasiswi-uin-palembang-pelaku-nekat-perkosa-korbannya-yang-sudah-jadi-jenazah ","sumber")</f>
        <v>sumber</v>
      </c>
      <c r="G297" s="269" t="s">
        <v>33</v>
      </c>
      <c r="H297" s="45" t="s">
        <v>3576</v>
      </c>
      <c r="I297" s="44">
        <v>1.0</v>
      </c>
      <c r="J297" s="44">
        <v>1.0</v>
      </c>
      <c r="K297" s="164" t="s">
        <v>3577</v>
      </c>
      <c r="L297" s="44">
        <v>0.0</v>
      </c>
      <c r="M297" s="44">
        <v>-1.0</v>
      </c>
      <c r="N297" s="44">
        <v>0.0</v>
      </c>
      <c r="O297" s="44">
        <v>0.0</v>
      </c>
      <c r="P297" s="44">
        <v>0.0</v>
      </c>
      <c r="Q297" s="44">
        <v>0.0</v>
      </c>
      <c r="R297" s="44">
        <v>0.0</v>
      </c>
      <c r="S297" s="164"/>
      <c r="T297" s="44">
        <v>0.0</v>
      </c>
      <c r="U297" s="44">
        <v>0.0</v>
      </c>
      <c r="V297" s="44">
        <v>0.0</v>
      </c>
      <c r="W297" s="45"/>
      <c r="X297" s="45"/>
      <c r="Y297" s="45"/>
      <c r="Z297" s="9"/>
    </row>
    <row r="298" ht="14.25" customHeight="1">
      <c r="A298" s="282">
        <v>1.0</v>
      </c>
      <c r="B298" s="283" t="s">
        <v>3578</v>
      </c>
      <c r="C298" s="44">
        <v>295.0</v>
      </c>
      <c r="D298" s="44">
        <v>8.0</v>
      </c>
      <c r="E298" s="287">
        <v>43500.0</v>
      </c>
      <c r="F298" s="162" t="str">
        <f>HYPERLINK("https://www.suara.com/news/2019/02/04/185352/vanessa-angel-dan-4-prostitusi-heboh-ada-psk-dibunuh-karena-ejek-bau-badan ","sumber")</f>
        <v>sumber</v>
      </c>
      <c r="G298" s="269" t="s">
        <v>33</v>
      </c>
      <c r="H298" s="45" t="s">
        <v>3579</v>
      </c>
      <c r="I298" s="44">
        <v>1.0</v>
      </c>
      <c r="J298" s="44">
        <v>1.0</v>
      </c>
      <c r="K298" s="164"/>
      <c r="L298" s="44">
        <v>-1.0</v>
      </c>
      <c r="M298" s="44">
        <v>-1.0</v>
      </c>
      <c r="N298" s="44">
        <v>-1.0</v>
      </c>
      <c r="O298" s="44">
        <v>0.0</v>
      </c>
      <c r="P298" s="44">
        <v>-1.0</v>
      </c>
      <c r="Q298" s="44"/>
      <c r="R298" s="44"/>
      <c r="S298" s="164" t="s">
        <v>3580</v>
      </c>
      <c r="T298" s="44">
        <v>4.0</v>
      </c>
      <c r="U298" s="44">
        <v>0.0</v>
      </c>
      <c r="V298" s="44">
        <v>1.0</v>
      </c>
      <c r="W298" s="45"/>
      <c r="X298" s="45"/>
      <c r="Y298" s="45"/>
      <c r="Z298" s="9"/>
    </row>
    <row r="299" ht="14.25" customHeight="1">
      <c r="A299" s="282">
        <v>1.0</v>
      </c>
      <c r="B299" s="283" t="s">
        <v>3581</v>
      </c>
      <c r="C299" s="44">
        <v>296.0</v>
      </c>
      <c r="D299" s="44">
        <v>1.0</v>
      </c>
      <c r="E299" s="287">
        <v>43501.0</v>
      </c>
      <c r="F299" s="162" t="str">
        <f>HYPERLINK("https://news.detik.com/berita/d-4415189/sekap-dan-perkosa-remaja-12-tahun-2-pria-di-kaltim-ditangkap ","sumber")</f>
        <v>sumber</v>
      </c>
      <c r="G299" s="269" t="s">
        <v>33</v>
      </c>
      <c r="H299" s="45" t="s">
        <v>3582</v>
      </c>
      <c r="I299" s="44">
        <v>1.0</v>
      </c>
      <c r="J299" s="44">
        <v>1.0</v>
      </c>
      <c r="K299" s="164" t="s">
        <v>3583</v>
      </c>
      <c r="L299" s="44">
        <v>0.0</v>
      </c>
      <c r="M299" s="44">
        <v>1.0</v>
      </c>
      <c r="N299" s="44">
        <v>0.0</v>
      </c>
      <c r="O299" s="44">
        <v>0.0</v>
      </c>
      <c r="P299" s="44">
        <v>0.0</v>
      </c>
      <c r="Q299" s="44" t="s">
        <v>61</v>
      </c>
      <c r="R299" s="44" t="s">
        <v>61</v>
      </c>
      <c r="S299" s="175"/>
      <c r="T299" s="44">
        <v>0.0</v>
      </c>
      <c r="U299" s="44">
        <v>0.0</v>
      </c>
      <c r="V299" s="44">
        <v>0.0</v>
      </c>
      <c r="W299" s="45"/>
      <c r="X299" s="45"/>
      <c r="Y299" s="45"/>
      <c r="Z299" s="9"/>
    </row>
    <row r="300" ht="14.25" customHeight="1">
      <c r="A300" s="282">
        <v>1.0</v>
      </c>
      <c r="B300" s="283" t="s">
        <v>3584</v>
      </c>
      <c r="C300" s="44">
        <v>297.0</v>
      </c>
      <c r="D300" s="44">
        <v>2.0</v>
      </c>
      <c r="E300" s="287">
        <v>43503.0</v>
      </c>
      <c r="F300" s="162" t="str">
        <f>HYPERLINK("https://www.cnnindonesia.com/nasional/20190207185343-12-367293/vanessa-disebut-tak-diperiksa-meski-5-jam-di-ruang-penyidik ","sumber")</f>
        <v>sumber</v>
      </c>
      <c r="G300" s="269" t="s">
        <v>33</v>
      </c>
      <c r="H300" s="45" t="s">
        <v>3585</v>
      </c>
      <c r="I300" s="44">
        <v>1.0</v>
      </c>
      <c r="J300" s="44">
        <v>1.0</v>
      </c>
      <c r="K300" s="164" t="s">
        <v>3567</v>
      </c>
      <c r="L300" s="44">
        <v>0.0</v>
      </c>
      <c r="M300" s="44">
        <v>1.0</v>
      </c>
      <c r="N300" s="44">
        <v>-1.0</v>
      </c>
      <c r="O300" s="44">
        <v>0.0</v>
      </c>
      <c r="P300" s="44">
        <v>0.0</v>
      </c>
      <c r="Q300" s="44">
        <v>0.0</v>
      </c>
      <c r="R300" s="44">
        <v>0.0</v>
      </c>
      <c r="S300" s="175"/>
      <c r="T300" s="44">
        <v>0.0</v>
      </c>
      <c r="U300" s="44">
        <v>0.0</v>
      </c>
      <c r="V300" s="44">
        <v>0.0</v>
      </c>
      <c r="W300" s="45"/>
      <c r="X300" s="45"/>
      <c r="Y300" s="45"/>
      <c r="Z300" s="9"/>
    </row>
    <row r="301" ht="14.25" customHeight="1">
      <c r="A301" s="214">
        <v>2.0</v>
      </c>
      <c r="B301" s="285" t="s">
        <v>3586</v>
      </c>
      <c r="C301" s="47">
        <v>298.0</v>
      </c>
      <c r="D301" s="47">
        <v>1.0</v>
      </c>
      <c r="E301" s="288">
        <v>43503.0</v>
      </c>
      <c r="F301" s="156" t="str">
        <f>HYPERLINK("https://health.detik.com/berita-detikhealth/d-4417627/viral-pemotor-ngamuk-saat-ditilang-psikolog-singgung-masalah-kejiwaan ","sumber")</f>
        <v>sumber</v>
      </c>
      <c r="G301" s="274" t="s">
        <v>33</v>
      </c>
      <c r="H301" s="48" t="s">
        <v>3080</v>
      </c>
      <c r="I301" s="47">
        <v>1.0</v>
      </c>
      <c r="J301" s="47">
        <v>2.0</v>
      </c>
      <c r="K301" s="157"/>
      <c r="L301" s="48"/>
      <c r="M301" s="48"/>
      <c r="N301" s="48"/>
      <c r="O301" s="48"/>
      <c r="P301" s="48"/>
      <c r="Q301" s="48"/>
      <c r="R301" s="48"/>
      <c r="S301" s="165"/>
      <c r="T301" s="48"/>
      <c r="U301" s="48"/>
      <c r="V301" s="48"/>
      <c r="W301" s="48"/>
      <c r="X301" s="48"/>
      <c r="Y301" s="48"/>
      <c r="Z301" s="51"/>
    </row>
    <row r="302" ht="14.25" customHeight="1">
      <c r="A302" s="214">
        <v>2.0</v>
      </c>
      <c r="B302" s="285" t="s">
        <v>3587</v>
      </c>
      <c r="C302" s="47">
        <v>299.0</v>
      </c>
      <c r="D302" s="47">
        <v>2.0</v>
      </c>
      <c r="E302" s="288">
        <v>43508.0</v>
      </c>
      <c r="F302" s="156" t="str">
        <f>HYPERLINK("https://www.cnnindonesia.com/olahraga/20190212172158-142-368596/dikalahkan-newcastle-persija-gagal-ke-liga-champions-asia ","sumber")</f>
        <v>sumber</v>
      </c>
      <c r="G302" s="274" t="s">
        <v>33</v>
      </c>
      <c r="H302" s="48" t="s">
        <v>3270</v>
      </c>
      <c r="I302" s="47">
        <v>2.0</v>
      </c>
      <c r="J302" s="47">
        <v>1.0</v>
      </c>
      <c r="K302" s="165"/>
      <c r="L302" s="48"/>
      <c r="M302" s="48"/>
      <c r="N302" s="48"/>
      <c r="O302" s="48"/>
      <c r="P302" s="48"/>
      <c r="Q302" s="48"/>
      <c r="R302" s="48"/>
      <c r="S302" s="165"/>
      <c r="T302" s="48"/>
      <c r="U302" s="48"/>
      <c r="V302" s="48"/>
      <c r="W302" s="48"/>
      <c r="X302" s="48"/>
      <c r="Y302" s="47"/>
      <c r="Z302" s="43"/>
    </row>
    <row r="303" ht="14.25" customHeight="1">
      <c r="A303" s="282">
        <v>1.0</v>
      </c>
      <c r="B303" s="283" t="s">
        <v>3588</v>
      </c>
      <c r="C303" s="44">
        <v>300.0</v>
      </c>
      <c r="D303" s="44">
        <v>3.0</v>
      </c>
      <c r="E303" s="287">
        <v>43508.0</v>
      </c>
      <c r="F303" s="162" t="str">
        <f>HYPERLINK("https://lifestyle.okezone.com/read/2019/02/12/196/2016858/skandal-seks-di-lingkar-kekuasaan-ada-yang-libatkan-jenderal-bintang-empat ","sumber")</f>
        <v>sumber</v>
      </c>
      <c r="G303" s="269" t="s">
        <v>33</v>
      </c>
      <c r="H303" s="45" t="s">
        <v>3061</v>
      </c>
      <c r="I303" s="44">
        <v>1.0</v>
      </c>
      <c r="J303" s="44">
        <v>1.0</v>
      </c>
      <c r="K303" s="164"/>
      <c r="L303" s="44">
        <v>-1.0</v>
      </c>
      <c r="M303" s="44">
        <v>-1.0</v>
      </c>
      <c r="N303" s="44">
        <v>0.0</v>
      </c>
      <c r="O303" s="44">
        <v>0.0</v>
      </c>
      <c r="P303" s="44">
        <v>-1.0</v>
      </c>
      <c r="Q303" s="44"/>
      <c r="R303" s="44"/>
      <c r="S303" s="164"/>
      <c r="T303" s="44">
        <v>0.0</v>
      </c>
      <c r="U303" s="44">
        <v>0.0</v>
      </c>
      <c r="V303" s="44">
        <v>1.0</v>
      </c>
      <c r="W303" s="45"/>
      <c r="X303" s="45"/>
      <c r="Y303" s="45"/>
      <c r="Z303" s="9"/>
    </row>
    <row r="304" ht="14.25" customHeight="1">
      <c r="A304" s="282">
        <v>1.0</v>
      </c>
      <c r="B304" s="283" t="s">
        <v>3589</v>
      </c>
      <c r="C304" s="44">
        <v>301.0</v>
      </c>
      <c r="D304" s="44">
        <v>8.0</v>
      </c>
      <c r="E304" s="287">
        <v>43508.0</v>
      </c>
      <c r="F304" s="162" t="str">
        <f>HYPERLINK("https://www.suara.com/news/2019/02/12/153632/kesal-dibilang-tak-mampu-bayar-cikal-anarki-bunuh-psk-di-cafe-jenggot ","sumber")</f>
        <v>sumber</v>
      </c>
      <c r="G304" s="269" t="s">
        <v>33</v>
      </c>
      <c r="H304" s="45" t="s">
        <v>3433</v>
      </c>
      <c r="I304" s="44">
        <v>1.0</v>
      </c>
      <c r="J304" s="44">
        <v>1.0</v>
      </c>
      <c r="K304" s="164" t="s">
        <v>3590</v>
      </c>
      <c r="L304" s="44">
        <v>0.0</v>
      </c>
      <c r="M304" s="44">
        <v>-1.0</v>
      </c>
      <c r="N304" s="44">
        <v>0.0</v>
      </c>
      <c r="O304" s="44">
        <v>0.0</v>
      </c>
      <c r="P304" s="44">
        <v>0.0</v>
      </c>
      <c r="Q304" s="44">
        <v>0.0</v>
      </c>
      <c r="R304" s="44">
        <v>0.0</v>
      </c>
      <c r="S304" s="164" t="s">
        <v>3591</v>
      </c>
      <c r="T304" s="44">
        <v>1.0</v>
      </c>
      <c r="U304" s="44">
        <v>0.0</v>
      </c>
      <c r="V304" s="44">
        <v>0.0</v>
      </c>
      <c r="W304" s="45"/>
      <c r="X304" s="45"/>
      <c r="Y304" s="45"/>
      <c r="Z304" s="9"/>
    </row>
    <row r="305" ht="14.25" customHeight="1">
      <c r="A305" s="282">
        <v>1.0</v>
      </c>
      <c r="B305" s="283" t="s">
        <v>3592</v>
      </c>
      <c r="C305" s="44">
        <v>302.0</v>
      </c>
      <c r="D305" s="44">
        <v>5.0</v>
      </c>
      <c r="E305" s="287">
        <v>43509.0</v>
      </c>
      <c r="F305" s="162" t="str">
        <f>HYPERLINK("https://tirto.id/tentara-jerman-boleh-tolak-perintah-jika-berpotensi-langgar-ham-dgGi ","sumber")</f>
        <v>sumber</v>
      </c>
      <c r="G305" s="269" t="s">
        <v>33</v>
      </c>
      <c r="H305" s="45" t="s">
        <v>3593</v>
      </c>
      <c r="I305" s="44">
        <v>4.0</v>
      </c>
      <c r="J305" s="44">
        <v>1.0</v>
      </c>
      <c r="K305" s="164" t="s">
        <v>3594</v>
      </c>
      <c r="L305" s="44">
        <v>0.0</v>
      </c>
      <c r="M305" s="44">
        <v>0.0</v>
      </c>
      <c r="N305" s="44">
        <v>0.0</v>
      </c>
      <c r="O305" s="44">
        <v>0.0</v>
      </c>
      <c r="P305" s="44">
        <v>0.0</v>
      </c>
      <c r="Q305" s="164" t="s">
        <v>202</v>
      </c>
      <c r="R305" s="164" t="s">
        <v>202</v>
      </c>
      <c r="S305" s="175"/>
      <c r="T305" s="44">
        <v>0.0</v>
      </c>
      <c r="U305" s="44">
        <v>0.0</v>
      </c>
      <c r="V305" s="44">
        <v>1.0</v>
      </c>
      <c r="W305" s="45"/>
      <c r="X305" s="45"/>
      <c r="Y305" s="45"/>
      <c r="Z305" s="9"/>
    </row>
    <row r="306" ht="14.25" customHeight="1">
      <c r="A306" s="282">
        <v>1.0</v>
      </c>
      <c r="B306" s="283" t="s">
        <v>3595</v>
      </c>
      <c r="C306" s="44">
        <v>303.0</v>
      </c>
      <c r="D306" s="44">
        <v>5.0</v>
      </c>
      <c r="E306" s="287">
        <v>43511.0</v>
      </c>
      <c r="F306" s="162" t="str">
        <f>HYPERLINK("https://tirto.id/polri-tangkap-pelaku-pemerasan-melalui-video-call-sex-dg6E ","sumber")</f>
        <v>sumber</v>
      </c>
      <c r="G306" s="269" t="s">
        <v>33</v>
      </c>
      <c r="H306" s="45" t="s">
        <v>3596</v>
      </c>
      <c r="I306" s="44">
        <v>1.0</v>
      </c>
      <c r="J306" s="44">
        <v>1.0</v>
      </c>
      <c r="K306" s="164" t="s">
        <v>3597</v>
      </c>
      <c r="L306" s="44">
        <v>0.0</v>
      </c>
      <c r="M306" s="44">
        <v>-1.0</v>
      </c>
      <c r="N306" s="44">
        <v>0.0</v>
      </c>
      <c r="O306" s="44">
        <v>0.0</v>
      </c>
      <c r="P306" s="44">
        <v>0.0</v>
      </c>
      <c r="Q306" s="44">
        <v>0.0</v>
      </c>
      <c r="R306" s="44">
        <v>0.0</v>
      </c>
      <c r="S306" s="164"/>
      <c r="T306" s="44">
        <v>0.0</v>
      </c>
      <c r="U306" s="44">
        <v>0.0</v>
      </c>
      <c r="V306" s="44">
        <v>0.0</v>
      </c>
      <c r="W306" s="45"/>
      <c r="X306" s="45"/>
      <c r="Y306" s="45"/>
      <c r="Z306" s="9"/>
    </row>
    <row r="307" ht="14.25" customHeight="1">
      <c r="A307" s="282">
        <v>1.0</v>
      </c>
      <c r="B307" s="283" t="s">
        <v>3598</v>
      </c>
      <c r="C307" s="44">
        <v>304.0</v>
      </c>
      <c r="D307" s="44">
        <v>10.0</v>
      </c>
      <c r="E307" s="287">
        <v>43512.0</v>
      </c>
      <c r="F307" s="162" t="str">
        <f>HYPERLINK("https://nasional.tempo.co/read/1176179/polisi-sebut-ada-kasus-prostitusi-online-di-atas-vanessa-angel ","sumber")</f>
        <v>sumber</v>
      </c>
      <c r="G307" s="269" t="s">
        <v>33</v>
      </c>
      <c r="H307" s="45" t="s">
        <v>3599</v>
      </c>
      <c r="I307" s="44">
        <v>1.0</v>
      </c>
      <c r="J307" s="44">
        <v>1.0</v>
      </c>
      <c r="K307" s="164" t="s">
        <v>3600</v>
      </c>
      <c r="L307" s="44">
        <v>0.0</v>
      </c>
      <c r="M307" s="44">
        <v>-1.0</v>
      </c>
      <c r="N307" s="44">
        <v>-1.0</v>
      </c>
      <c r="O307" s="44">
        <v>0.0</v>
      </c>
      <c r="P307" s="44">
        <v>0.0</v>
      </c>
      <c r="Q307" s="44">
        <v>0.0</v>
      </c>
      <c r="R307" s="44">
        <v>0.0</v>
      </c>
      <c r="S307" s="175"/>
      <c r="T307" s="44">
        <v>0.0</v>
      </c>
      <c r="U307" s="44">
        <v>0.0</v>
      </c>
      <c r="V307" s="44">
        <v>0.0</v>
      </c>
      <c r="W307" s="45"/>
      <c r="X307" s="45"/>
      <c r="Y307" s="45"/>
      <c r="Z307" s="9"/>
    </row>
    <row r="308" ht="14.25" customHeight="1">
      <c r="A308" s="282">
        <v>1.0</v>
      </c>
      <c r="B308" s="283" t="s">
        <v>3601</v>
      </c>
      <c r="C308" s="44">
        <v>305.0</v>
      </c>
      <c r="D308" s="44">
        <v>3.0</v>
      </c>
      <c r="E308" s="287">
        <v>43513.0</v>
      </c>
      <c r="F308" s="162" t="str">
        <f>HYPERLINK("https://news.okezone.com/read/2019/02/17/18/2019072/paus-fransiskus-pecat-mantan-kardinal-as-atas-kasus-pelecehan-seksual ","sumber")</f>
        <v>sumber</v>
      </c>
      <c r="G308" s="269" t="s">
        <v>33</v>
      </c>
      <c r="H308" s="45" t="s">
        <v>3602</v>
      </c>
      <c r="I308" s="44">
        <v>1.0</v>
      </c>
      <c r="J308" s="44">
        <v>1.0</v>
      </c>
      <c r="K308" s="164" t="s">
        <v>3603</v>
      </c>
      <c r="L308" s="44">
        <v>0.0</v>
      </c>
      <c r="M308" s="44">
        <v>1.0</v>
      </c>
      <c r="N308" s="44">
        <v>0.0</v>
      </c>
      <c r="O308" s="44">
        <v>0.0</v>
      </c>
      <c r="P308" s="44">
        <v>0.0</v>
      </c>
      <c r="Q308" s="164" t="s">
        <v>61</v>
      </c>
      <c r="R308" s="44" t="s">
        <v>100</v>
      </c>
      <c r="S308" s="175"/>
      <c r="T308" s="44">
        <v>0.0</v>
      </c>
      <c r="U308" s="44">
        <v>0.0</v>
      </c>
      <c r="V308" s="44">
        <v>0.0</v>
      </c>
      <c r="W308" s="45"/>
      <c r="X308" s="45"/>
      <c r="Y308" s="45"/>
      <c r="Z308" s="9"/>
    </row>
    <row r="309" ht="14.25" customHeight="1">
      <c r="A309" s="282">
        <v>1.0</v>
      </c>
      <c r="B309" s="283" t="s">
        <v>2521</v>
      </c>
      <c r="C309" s="44">
        <v>306.0</v>
      </c>
      <c r="D309" s="44">
        <v>10.0</v>
      </c>
      <c r="E309" s="287">
        <v>43515.0</v>
      </c>
      <c r="F309" s="162" t="str">
        <f>HYPERLINK("https://dunia.tempo.co/read/1177381/vatikan-punya-aturan-bagi-imam-yang-punya-anak-ini-alasannya ","sumber")</f>
        <v>sumber</v>
      </c>
      <c r="G309" s="269" t="s">
        <v>33</v>
      </c>
      <c r="H309" s="45" t="s">
        <v>3604</v>
      </c>
      <c r="I309" s="44">
        <v>1.0</v>
      </c>
      <c r="J309" s="44">
        <v>1.0</v>
      </c>
      <c r="K309" s="164" t="s">
        <v>3605</v>
      </c>
      <c r="L309" s="44">
        <v>0.0</v>
      </c>
      <c r="M309" s="44">
        <v>1.0</v>
      </c>
      <c r="N309" s="44">
        <v>0.0</v>
      </c>
      <c r="O309" s="44">
        <v>0.0</v>
      </c>
      <c r="P309" s="44">
        <v>0.0</v>
      </c>
      <c r="Q309" s="44">
        <v>0.0</v>
      </c>
      <c r="R309" s="44">
        <v>1.0</v>
      </c>
      <c r="S309" s="164"/>
      <c r="T309" s="44">
        <v>0.0</v>
      </c>
      <c r="U309" s="44">
        <v>0.0</v>
      </c>
      <c r="V309" s="44">
        <v>1.0</v>
      </c>
      <c r="W309" s="45"/>
      <c r="X309" s="45"/>
      <c r="Y309" s="45"/>
      <c r="Z309" s="9"/>
    </row>
    <row r="310" ht="14.25" customHeight="1">
      <c r="A310" s="282">
        <v>1.0</v>
      </c>
      <c r="B310" s="283" t="s">
        <v>3606</v>
      </c>
      <c r="C310" s="44">
        <v>307.0</v>
      </c>
      <c r="D310" s="44">
        <v>2.0</v>
      </c>
      <c r="E310" s="287">
        <v>43516.0</v>
      </c>
      <c r="F310" s="162" t="str">
        <f>HYPERLINK("https://www.cnnindonesia.com/nasional/20190219213252-12-370863/perbuatan-maksiat-eks-pejabat-bpjs-tk-disebut-coba-ditutupi ","sumber")</f>
        <v>sumber</v>
      </c>
      <c r="G310" s="269" t="s">
        <v>33</v>
      </c>
      <c r="H310" s="45" t="s">
        <v>3607</v>
      </c>
      <c r="I310" s="44">
        <v>1.0</v>
      </c>
      <c r="J310" s="44">
        <v>1.0</v>
      </c>
      <c r="K310" s="164" t="s">
        <v>3608</v>
      </c>
      <c r="L310" s="44">
        <v>0.0</v>
      </c>
      <c r="M310" s="44">
        <v>1.0</v>
      </c>
      <c r="N310" s="44">
        <v>0.0</v>
      </c>
      <c r="O310" s="44">
        <v>0.0</v>
      </c>
      <c r="P310" s="44">
        <v>0.0</v>
      </c>
      <c r="Q310" s="44" t="s">
        <v>100</v>
      </c>
      <c r="R310" s="44" t="s">
        <v>192</v>
      </c>
      <c r="S310" s="164" t="s">
        <v>3609</v>
      </c>
      <c r="T310" s="44">
        <v>3.0</v>
      </c>
      <c r="U310" s="44">
        <v>0.0</v>
      </c>
      <c r="V310" s="44">
        <v>0.0</v>
      </c>
      <c r="W310" s="45"/>
      <c r="X310" s="45"/>
      <c r="Y310" s="45"/>
      <c r="Z310" s="9"/>
    </row>
    <row r="311" ht="14.25" customHeight="1">
      <c r="A311" s="282">
        <v>1.0</v>
      </c>
      <c r="B311" s="283" t="s">
        <v>3610</v>
      </c>
      <c r="C311" s="44">
        <v>308.0</v>
      </c>
      <c r="D311" s="44">
        <v>1.0</v>
      </c>
      <c r="E311" s="287">
        <v>43518.0</v>
      </c>
      <c r="F311" s="162" t="str">
        <f>HYPERLINK("https://news.detik.com/berita-jawa-timur/d-4439119/sudah-19-hari-vanessa-ditahan-akankah-penahanannya-diperpanjang ","sumber")</f>
        <v>sumber</v>
      </c>
      <c r="G311" s="269" t="s">
        <v>33</v>
      </c>
      <c r="H311" s="45" t="s">
        <v>3174</v>
      </c>
      <c r="I311" s="44">
        <v>4.0</v>
      </c>
      <c r="J311" s="44">
        <v>1.0</v>
      </c>
      <c r="K311" s="164" t="s">
        <v>3611</v>
      </c>
      <c r="L311" s="44">
        <v>0.0</v>
      </c>
      <c r="M311" s="44">
        <v>0.0</v>
      </c>
      <c r="N311" s="44">
        <v>-1.0</v>
      </c>
      <c r="O311" s="44">
        <v>0.0</v>
      </c>
      <c r="P311" s="44">
        <v>0.0</v>
      </c>
      <c r="Q311" s="44">
        <v>0.0</v>
      </c>
      <c r="R311" s="44">
        <v>1.0</v>
      </c>
      <c r="S311" s="175"/>
      <c r="T311" s="44">
        <v>0.0</v>
      </c>
      <c r="U311" s="44">
        <v>0.0</v>
      </c>
      <c r="V311" s="44">
        <v>0.0</v>
      </c>
      <c r="W311" s="45"/>
      <c r="X311" s="45"/>
      <c r="Y311" s="45"/>
      <c r="Z311" s="9"/>
    </row>
    <row r="312" ht="14.25" customHeight="1">
      <c r="A312" s="282">
        <v>1.0</v>
      </c>
      <c r="B312" s="283" t="s">
        <v>3612</v>
      </c>
      <c r="C312" s="44">
        <v>309.0</v>
      </c>
      <c r="D312" s="44">
        <v>10.0</v>
      </c>
      <c r="E312" s="287">
        <v>43518.0</v>
      </c>
      <c r="F312" s="162" t="str">
        <f>HYPERLINK("https://dunia.tempo.co/read/1178451/lsm-laporkan-24-uskup-ke-paus-terkait-kasus-pelecehan-seksual ","sumber")</f>
        <v>sumber</v>
      </c>
      <c r="G312" s="269" t="s">
        <v>33</v>
      </c>
      <c r="H312" s="45" t="s">
        <v>3189</v>
      </c>
      <c r="I312" s="44">
        <v>1.0</v>
      </c>
      <c r="J312" s="44">
        <v>1.0</v>
      </c>
      <c r="K312" s="164" t="s">
        <v>3613</v>
      </c>
      <c r="L312" s="44">
        <v>0.0</v>
      </c>
      <c r="M312" s="44">
        <v>1.0</v>
      </c>
      <c r="N312" s="44">
        <v>0.0</v>
      </c>
      <c r="O312" s="44">
        <v>0.0</v>
      </c>
      <c r="P312" s="44">
        <v>0.0</v>
      </c>
      <c r="Q312" s="164" t="s">
        <v>1731</v>
      </c>
      <c r="R312" s="164" t="s">
        <v>1586</v>
      </c>
      <c r="S312" s="164"/>
      <c r="T312" s="44">
        <v>0.0</v>
      </c>
      <c r="U312" s="44">
        <v>0.0</v>
      </c>
      <c r="V312" s="44">
        <v>0.0</v>
      </c>
      <c r="W312" s="45"/>
      <c r="X312" s="45"/>
      <c r="Y312" s="45"/>
      <c r="Z312" s="9"/>
    </row>
    <row r="313" ht="14.25" customHeight="1">
      <c r="A313" s="282">
        <v>1.0</v>
      </c>
      <c r="B313" s="283" t="s">
        <v>3614</v>
      </c>
      <c r="C313" s="44">
        <v>310.0</v>
      </c>
      <c r="D313" s="44">
        <v>4.0</v>
      </c>
      <c r="E313" s="287">
        <v>43524.0</v>
      </c>
      <c r="F313" s="162" t="str">
        <f>HYPERLINK("https://www.liputan6.com/regional/read/3905192/rayuan-miras-dan-hilangnya-keperawanan-gadis-smp-di-jember ","sumber")</f>
        <v>sumber</v>
      </c>
      <c r="G313" s="269" t="s">
        <v>33</v>
      </c>
      <c r="H313" s="45" t="s">
        <v>3615</v>
      </c>
      <c r="I313" s="44">
        <v>1.0</v>
      </c>
      <c r="J313" s="44">
        <v>1.0</v>
      </c>
      <c r="K313" s="164" t="s">
        <v>3616</v>
      </c>
      <c r="L313" s="44">
        <v>0.0</v>
      </c>
      <c r="M313" s="44">
        <v>-1.0</v>
      </c>
      <c r="N313" s="44">
        <v>0.0</v>
      </c>
      <c r="O313" s="44">
        <v>-1.0</v>
      </c>
      <c r="P313" s="44">
        <v>0.0</v>
      </c>
      <c r="Q313" s="44">
        <v>0.0</v>
      </c>
      <c r="R313" s="44">
        <v>0.0</v>
      </c>
      <c r="S313" s="164" t="s">
        <v>3617</v>
      </c>
      <c r="T313" s="44">
        <v>3.0</v>
      </c>
      <c r="U313" s="44">
        <v>0.0</v>
      </c>
      <c r="V313" s="44">
        <v>0.0</v>
      </c>
      <c r="W313" s="45"/>
      <c r="X313" s="45"/>
      <c r="Y313" s="45"/>
      <c r="Z313" s="9"/>
    </row>
    <row r="314" ht="14.25" customHeight="1">
      <c r="A314" s="282">
        <v>1.0</v>
      </c>
      <c r="B314" s="283" t="s">
        <v>3618</v>
      </c>
      <c r="C314" s="44">
        <v>311.0</v>
      </c>
      <c r="D314" s="44">
        <v>1.0</v>
      </c>
      <c r="E314" s="287">
        <v>43525.0</v>
      </c>
      <c r="F314" s="162" t="str">
        <f>HYPERLINK("https://news.detik.com/berita/d-4450235/sopir-di-depok-aniaya-istri-karena-tak-siapkan-makan-siang ","sumber")</f>
        <v>sumber</v>
      </c>
      <c r="G314" s="269" t="s">
        <v>33</v>
      </c>
      <c r="H314" s="45" t="s">
        <v>3619</v>
      </c>
      <c r="I314" s="44">
        <v>1.0</v>
      </c>
      <c r="J314" s="44">
        <v>1.0</v>
      </c>
      <c r="K314" s="164" t="s">
        <v>3620</v>
      </c>
      <c r="L314" s="44">
        <v>0.0</v>
      </c>
      <c r="M314" s="44">
        <v>-1.0</v>
      </c>
      <c r="N314" s="44">
        <v>0.0</v>
      </c>
      <c r="O314" s="44">
        <v>0.0</v>
      </c>
      <c r="P314" s="44">
        <v>0.0</v>
      </c>
      <c r="Q314" s="44">
        <v>0.0</v>
      </c>
      <c r="R314" s="44">
        <v>0.0</v>
      </c>
      <c r="S314" s="164"/>
      <c r="T314" s="44">
        <v>0.0</v>
      </c>
      <c r="U314" s="44">
        <v>0.0</v>
      </c>
      <c r="V314" s="44">
        <v>0.0</v>
      </c>
      <c r="W314" s="45"/>
      <c r="X314" s="45"/>
      <c r="Y314" s="45"/>
      <c r="Z314" s="9"/>
    </row>
    <row r="315" ht="14.25" customHeight="1">
      <c r="A315" s="282">
        <v>1.0</v>
      </c>
      <c r="B315" s="283" t="s">
        <v>3621</v>
      </c>
      <c r="C315" s="44">
        <v>312.0</v>
      </c>
      <c r="D315" s="44">
        <v>5.0</v>
      </c>
      <c r="E315" s="287">
        <v>43530.0</v>
      </c>
      <c r="F315" s="162" t="str">
        <f>HYPERLINK("https://tirto.id/sidang-gugatan-korban-pelecehan-seksual-dewas-bpjs-tk-ditunda-diAA ","sumber")</f>
        <v>sumber</v>
      </c>
      <c r="G315" s="269" t="s">
        <v>33</v>
      </c>
      <c r="H315" s="45" t="s">
        <v>3622</v>
      </c>
      <c r="I315" s="44">
        <v>1.0</v>
      </c>
      <c r="J315" s="44">
        <v>1.0</v>
      </c>
      <c r="K315" s="164" t="s">
        <v>3623</v>
      </c>
      <c r="L315" s="44">
        <v>0.0</v>
      </c>
      <c r="M315" s="44">
        <v>1.0</v>
      </c>
      <c r="N315" s="44">
        <v>0.0</v>
      </c>
      <c r="O315" s="44">
        <v>0.0</v>
      </c>
      <c r="P315" s="44">
        <v>0.0</v>
      </c>
      <c r="Q315" s="44" t="s">
        <v>61</v>
      </c>
      <c r="R315" s="44" t="s">
        <v>61</v>
      </c>
      <c r="S315" s="164"/>
      <c r="T315" s="44">
        <v>0.0</v>
      </c>
      <c r="U315" s="44">
        <v>0.0</v>
      </c>
      <c r="V315" s="44">
        <v>0.0</v>
      </c>
      <c r="W315" s="45"/>
      <c r="X315" s="45"/>
      <c r="Y315" s="45"/>
      <c r="Z315" s="9"/>
    </row>
    <row r="316" ht="14.25" customHeight="1">
      <c r="A316" s="189">
        <v>1.0</v>
      </c>
      <c r="B316" s="245" t="s">
        <v>3624</v>
      </c>
      <c r="C316" s="55">
        <v>313.0</v>
      </c>
      <c r="D316" s="55">
        <v>4.0</v>
      </c>
      <c r="E316" s="296">
        <v>43534.0</v>
      </c>
      <c r="F316" s="171" t="str">
        <f>HYPERLINK("https://www.liputan6.com/regional/read/3912926/janji-wali-kota-kupang-untuk-mantan-psk-karang-dempel","sumber")</f>
        <v>sumber</v>
      </c>
      <c r="G316" s="277" t="s">
        <v>33</v>
      </c>
      <c r="H316" s="55">
        <v>212.0</v>
      </c>
      <c r="I316" s="55">
        <v>4.0</v>
      </c>
      <c r="J316" s="55">
        <v>1.0</v>
      </c>
      <c r="K316" s="172" t="s">
        <v>3625</v>
      </c>
      <c r="L316" s="55">
        <v>0.0</v>
      </c>
      <c r="M316" s="55">
        <v>0.0</v>
      </c>
      <c r="N316" s="55">
        <v>0.0</v>
      </c>
      <c r="O316" s="55">
        <v>0.0</v>
      </c>
      <c r="P316" s="55">
        <v>0.0</v>
      </c>
      <c r="Q316" s="55">
        <v>0.0</v>
      </c>
      <c r="R316" s="55">
        <v>0.0</v>
      </c>
      <c r="S316" s="172"/>
      <c r="T316" s="55">
        <v>0.0</v>
      </c>
      <c r="U316" s="55">
        <v>0.0</v>
      </c>
      <c r="V316" s="55">
        <v>0.0</v>
      </c>
      <c r="W316" s="46"/>
      <c r="X316" s="46"/>
      <c r="Y316" s="55"/>
      <c r="Z316" s="30"/>
    </row>
    <row r="317" ht="14.25" customHeight="1">
      <c r="A317" s="282">
        <v>1.0</v>
      </c>
      <c r="B317" s="283" t="s">
        <v>2534</v>
      </c>
      <c r="C317" s="44">
        <v>314.0</v>
      </c>
      <c r="D317" s="44">
        <v>10.0</v>
      </c>
      <c r="E317" s="287">
        <v>43537.0</v>
      </c>
      <c r="F317" s="162" t="str">
        <f>HYPERLINK("https://dunia.tempo.co/read/1184731/pbb-800-orang-banunu-dibantai-2-minggu-sebelum-pemilu-di-kongo ","sumber")</f>
        <v>sumber</v>
      </c>
      <c r="G317" s="269" t="s">
        <v>33</v>
      </c>
      <c r="H317" s="45" t="s">
        <v>3626</v>
      </c>
      <c r="I317" s="44">
        <v>1.0</v>
      </c>
      <c r="J317" s="44">
        <v>1.0</v>
      </c>
      <c r="K317" s="164" t="s">
        <v>3627</v>
      </c>
      <c r="L317" s="44">
        <v>0.0</v>
      </c>
      <c r="M317" s="44">
        <v>1.0</v>
      </c>
      <c r="N317" s="44">
        <v>0.0</v>
      </c>
      <c r="O317" s="44">
        <v>0.0</v>
      </c>
      <c r="P317" s="44">
        <v>0.0</v>
      </c>
      <c r="Q317" s="164" t="s">
        <v>90</v>
      </c>
      <c r="R317" s="164" t="s">
        <v>89</v>
      </c>
      <c r="S317" s="164"/>
      <c r="T317" s="44">
        <v>0.0</v>
      </c>
      <c r="U317" s="44">
        <v>0.0</v>
      </c>
      <c r="V317" s="44">
        <v>0.0</v>
      </c>
      <c r="W317" s="45"/>
      <c r="X317" s="45"/>
      <c r="Y317" s="45"/>
      <c r="Z317" s="9"/>
    </row>
    <row r="318" ht="14.25" customHeight="1">
      <c r="A318" s="282">
        <v>1.0</v>
      </c>
      <c r="B318" s="283" t="s">
        <v>3628</v>
      </c>
      <c r="C318" s="44">
        <v>315.0</v>
      </c>
      <c r="D318" s="44">
        <v>6.0</v>
      </c>
      <c r="E318" s="287">
        <v>43538.0</v>
      </c>
      <c r="F318" s="162" t="str">
        <f>HYPERLINK("https://internasional.kompas.com/read/2019/03/14/19424931/dikira-senang-ibunya-meninggal-seorang-pria-bunuh-istrinya ","sumber")</f>
        <v>sumber</v>
      </c>
      <c r="G318" s="269" t="s">
        <v>33</v>
      </c>
      <c r="H318" s="45" t="s">
        <v>3629</v>
      </c>
      <c r="I318" s="44">
        <v>1.0</v>
      </c>
      <c r="J318" s="44">
        <v>1.0</v>
      </c>
      <c r="K318" s="164" t="s">
        <v>3630</v>
      </c>
      <c r="L318" s="44">
        <v>0.0</v>
      </c>
      <c r="M318" s="44">
        <v>1.0</v>
      </c>
      <c r="N318" s="44">
        <v>0.0</v>
      </c>
      <c r="O318" s="44">
        <v>0.0</v>
      </c>
      <c r="P318" s="44">
        <v>0.0</v>
      </c>
      <c r="Q318" s="164" t="s">
        <v>61</v>
      </c>
      <c r="R318" s="44" t="s">
        <v>61</v>
      </c>
      <c r="S318" s="164"/>
      <c r="T318" s="44">
        <v>0.0</v>
      </c>
      <c r="U318" s="44">
        <v>0.0</v>
      </c>
      <c r="V318" s="44">
        <v>0.0</v>
      </c>
      <c r="W318" s="45"/>
      <c r="X318" s="45"/>
      <c r="Y318" s="45"/>
      <c r="Z318" s="9"/>
    </row>
    <row r="319" ht="14.25" customHeight="1">
      <c r="A319" s="282">
        <v>1.0</v>
      </c>
      <c r="B319" s="283" t="s">
        <v>3631</v>
      </c>
      <c r="C319" s="44">
        <v>316.0</v>
      </c>
      <c r="D319" s="44">
        <v>7.0</v>
      </c>
      <c r="E319" s="287">
        <v>43538.0</v>
      </c>
      <c r="F319" s="162" t="str">
        <f>HYPERLINK("http://www.tribunnews.com/section/2019/03/14/terbukti-terlibat-kasus-prostitusi-artis-jung-joon-young-lee-jong-hyun-sempat-membantah ","sumber")</f>
        <v>sumber</v>
      </c>
      <c r="G319" s="269" t="s">
        <v>33</v>
      </c>
      <c r="H319" s="45" t="s">
        <v>3632</v>
      </c>
      <c r="I319" s="44">
        <v>1.0</v>
      </c>
      <c r="J319" s="44">
        <v>1.0</v>
      </c>
      <c r="K319" s="164" t="s">
        <v>3633</v>
      </c>
      <c r="L319" s="44">
        <v>0.0</v>
      </c>
      <c r="M319" s="188">
        <v>0.0</v>
      </c>
      <c r="N319" s="44">
        <v>0.0</v>
      </c>
      <c r="O319" s="44">
        <v>0.0</v>
      </c>
      <c r="P319" s="44">
        <v>0.0</v>
      </c>
      <c r="Q319" s="44">
        <v>0.0</v>
      </c>
      <c r="R319" s="44">
        <v>0.0</v>
      </c>
      <c r="S319" s="164"/>
      <c r="T319" s="44">
        <v>0.0</v>
      </c>
      <c r="U319" s="44">
        <v>0.0</v>
      </c>
      <c r="V319" s="44">
        <v>0.0</v>
      </c>
      <c r="W319" s="45"/>
      <c r="X319" s="45"/>
      <c r="Y319" s="45"/>
      <c r="Z319" s="9"/>
    </row>
    <row r="320" ht="14.25" customHeight="1">
      <c r="A320" s="282">
        <v>1.0</v>
      </c>
      <c r="B320" s="283" t="s">
        <v>3634</v>
      </c>
      <c r="C320" s="44">
        <v>317.0</v>
      </c>
      <c r="D320" s="44">
        <v>6.0</v>
      </c>
      <c r="E320" s="287">
        <v>43539.0</v>
      </c>
      <c r="F320" s="162" t="str">
        <f>HYPERLINK("https://megapolitan.kompas.com/read/2019/03/15/07185021/8-terduga-pelaku-prostitusi-online-di-kebagusan-city-ditangkap ","sumber")</f>
        <v>sumber</v>
      </c>
      <c r="G320" s="269" t="s">
        <v>33</v>
      </c>
      <c r="H320" s="45" t="s">
        <v>3009</v>
      </c>
      <c r="I320" s="44">
        <v>1.0</v>
      </c>
      <c r="J320" s="44">
        <v>1.0</v>
      </c>
      <c r="K320" s="164" t="s">
        <v>3635</v>
      </c>
      <c r="L320" s="44">
        <v>0.0</v>
      </c>
      <c r="M320" s="44">
        <v>-1.0</v>
      </c>
      <c r="N320" s="44">
        <v>0.0</v>
      </c>
      <c r="O320" s="44">
        <v>0.0</v>
      </c>
      <c r="P320" s="44">
        <v>0.0</v>
      </c>
      <c r="Q320" s="44" t="s">
        <v>61</v>
      </c>
      <c r="R320" s="44" t="s">
        <v>61</v>
      </c>
      <c r="S320" s="164"/>
      <c r="T320" s="44">
        <v>0.0</v>
      </c>
      <c r="U320" s="44">
        <v>0.0</v>
      </c>
      <c r="V320" s="44">
        <v>0.0</v>
      </c>
      <c r="W320" s="45"/>
      <c r="X320" s="45"/>
      <c r="Y320" s="45"/>
      <c r="Z320" s="9"/>
    </row>
    <row r="321" ht="14.25" customHeight="1">
      <c r="A321" s="282">
        <v>1.0</v>
      </c>
      <c r="B321" s="283" t="s">
        <v>3636</v>
      </c>
      <c r="C321" s="44">
        <v>318.0</v>
      </c>
      <c r="D321" s="44">
        <v>3.0</v>
      </c>
      <c r="E321" s="287">
        <v>43540.0</v>
      </c>
      <c r="F321" s="162" t="str">
        <f>HYPERLINK("https://news.okezone.com/read/2019/03/16/18/2030736/teror-penembakan-di-selandia-baru-pelaku-terobsesi-supremasi-kulit-putih-atas-muslim ","sumber")</f>
        <v>sumber</v>
      </c>
      <c r="G321" s="269" t="s">
        <v>33</v>
      </c>
      <c r="H321" s="45" t="s">
        <v>3637</v>
      </c>
      <c r="I321" s="44">
        <v>1.0</v>
      </c>
      <c r="J321" s="44">
        <v>1.0</v>
      </c>
      <c r="K321" s="164" t="s">
        <v>3638</v>
      </c>
      <c r="L321" s="44">
        <v>0.0</v>
      </c>
      <c r="M321" s="44">
        <v>-1.0</v>
      </c>
      <c r="N321" s="44">
        <v>0.0</v>
      </c>
      <c r="O321" s="44">
        <v>0.0</v>
      </c>
      <c r="P321" s="44">
        <v>0.0</v>
      </c>
      <c r="Q321" s="44">
        <v>0.0</v>
      </c>
      <c r="R321" s="44">
        <v>0.0</v>
      </c>
      <c r="S321" s="164"/>
      <c r="T321" s="44">
        <v>0.0</v>
      </c>
      <c r="U321" s="44">
        <v>0.0</v>
      </c>
      <c r="V321" s="44">
        <v>0.0</v>
      </c>
      <c r="W321" s="45"/>
      <c r="X321" s="45"/>
      <c r="Y321" s="45"/>
      <c r="Z321" s="9"/>
    </row>
    <row r="322" ht="14.25" customHeight="1">
      <c r="A322" s="282">
        <v>1.0</v>
      </c>
      <c r="B322" s="283" t="s">
        <v>3639</v>
      </c>
      <c r="C322" s="44">
        <v>319.0</v>
      </c>
      <c r="D322" s="44">
        <v>10.0</v>
      </c>
      <c r="E322" s="287">
        <v>43547.0</v>
      </c>
      <c r="F322" s="162" t="str">
        <f>HYPERLINK("https://bisnis.tempo.co/read/1188403/20-korban-pinjaman-online-melapor-ada-yang-alami-pelecehan-seks ","sumber")</f>
        <v>sumber</v>
      </c>
      <c r="G322" s="269" t="s">
        <v>33</v>
      </c>
      <c r="H322" s="45" t="s">
        <v>3640</v>
      </c>
      <c r="I322" s="44">
        <v>1.0</v>
      </c>
      <c r="J322" s="44">
        <v>1.0</v>
      </c>
      <c r="K322" s="164" t="s">
        <v>3641</v>
      </c>
      <c r="L322" s="44">
        <v>0.0</v>
      </c>
      <c r="M322" s="44">
        <v>1.0</v>
      </c>
      <c r="N322" s="44">
        <v>0.0</v>
      </c>
      <c r="O322" s="44">
        <v>0.0</v>
      </c>
      <c r="P322" s="44">
        <v>0.0</v>
      </c>
      <c r="Q322" s="164" t="s">
        <v>3642</v>
      </c>
      <c r="R322" s="44" t="s">
        <v>242</v>
      </c>
      <c r="S322" s="164"/>
      <c r="T322" s="44">
        <v>0.0</v>
      </c>
      <c r="U322" s="44">
        <v>0.0</v>
      </c>
      <c r="V322" s="44">
        <v>0.0</v>
      </c>
      <c r="W322" s="45"/>
      <c r="X322" s="45"/>
      <c r="Y322" s="45"/>
      <c r="Z322" s="9"/>
    </row>
    <row r="323" ht="14.25" customHeight="1">
      <c r="A323" s="282">
        <v>1.0</v>
      </c>
      <c r="B323" s="283" t="s">
        <v>3643</v>
      </c>
      <c r="C323" s="44">
        <v>320.0</v>
      </c>
      <c r="D323" s="44">
        <v>2.0</v>
      </c>
      <c r="E323" s="287">
        <v>43549.0</v>
      </c>
      <c r="F323" s="162" t="str">
        <f>HYPERLINK("https://www.cnnindonesia.com/nasional/20190325141211-12-380433/dua-muncikari-prostitusi-online-disidang-di-surabaya ","sumber")</f>
        <v>sumber</v>
      </c>
      <c r="G323" s="269" t="s">
        <v>33</v>
      </c>
      <c r="H323" s="45" t="s">
        <v>3644</v>
      </c>
      <c r="I323" s="44">
        <v>1.0</v>
      </c>
      <c r="J323" s="44">
        <v>1.0</v>
      </c>
      <c r="K323" s="164" t="s">
        <v>3645</v>
      </c>
      <c r="L323" s="44">
        <v>0.0</v>
      </c>
      <c r="M323" s="44">
        <v>1.0</v>
      </c>
      <c r="N323" s="44">
        <v>0.0</v>
      </c>
      <c r="O323" s="44">
        <v>0.0</v>
      </c>
      <c r="P323" s="44">
        <v>0.0</v>
      </c>
      <c r="Q323" s="44" t="s">
        <v>53</v>
      </c>
      <c r="R323" s="44" t="s">
        <v>53</v>
      </c>
      <c r="S323" s="164"/>
      <c r="T323" s="44">
        <v>0.0</v>
      </c>
      <c r="U323" s="44">
        <v>0.0</v>
      </c>
      <c r="V323" s="44">
        <v>0.0</v>
      </c>
      <c r="W323" s="45"/>
      <c r="X323" s="45"/>
      <c r="Y323" s="45"/>
      <c r="Z323" s="9"/>
    </row>
    <row r="324" ht="14.25" customHeight="1">
      <c r="A324" s="282">
        <v>1.0</v>
      </c>
      <c r="B324" s="283" t="s">
        <v>3646</v>
      </c>
      <c r="C324" s="44">
        <v>321.0</v>
      </c>
      <c r="D324" s="44">
        <v>4.0</v>
      </c>
      <c r="E324" s="287">
        <v>43549.0</v>
      </c>
      <c r="F324" s="162" t="str">
        <f>HYPERLINK("https://www.liputan6.com/regional/read/3925873/dua-muncikari-penyalur-artis-vanessa-angel-pasrah-didakwa-melanggar-uu-ite ","sumber")</f>
        <v>sumber</v>
      </c>
      <c r="G324" s="269" t="s">
        <v>33</v>
      </c>
      <c r="H324" s="45" t="s">
        <v>3647</v>
      </c>
      <c r="I324" s="44">
        <v>1.0</v>
      </c>
      <c r="J324" s="44">
        <v>1.0</v>
      </c>
      <c r="K324" s="164" t="s">
        <v>3648</v>
      </c>
      <c r="L324" s="44">
        <v>0.0</v>
      </c>
      <c r="M324" s="44">
        <v>-1.0</v>
      </c>
      <c r="N324" s="44">
        <v>0.0</v>
      </c>
      <c r="O324" s="44">
        <v>0.0</v>
      </c>
      <c r="P324" s="44">
        <v>0.0</v>
      </c>
      <c r="Q324" s="44" t="s">
        <v>89</v>
      </c>
      <c r="R324" s="44" t="s">
        <v>89</v>
      </c>
      <c r="S324" s="164"/>
      <c r="T324" s="44">
        <v>0.0</v>
      </c>
      <c r="U324" s="44">
        <v>0.0</v>
      </c>
      <c r="V324" s="44">
        <v>0.0</v>
      </c>
      <c r="W324" s="45"/>
      <c r="X324" s="45"/>
      <c r="Y324" s="45"/>
      <c r="Z324" s="9"/>
    </row>
    <row r="325" ht="14.25" customHeight="1">
      <c r="A325" s="282">
        <v>1.0</v>
      </c>
      <c r="B325" s="283" t="s">
        <v>3649</v>
      </c>
      <c r="C325" s="44">
        <v>322.0</v>
      </c>
      <c r="D325" s="44">
        <v>6.0</v>
      </c>
      <c r="E325" s="287">
        <v>43550.0</v>
      </c>
      <c r="F325" s="162" t="str">
        <f>HYPERLINK("https://regional.kompas.com/read/2019/03/26/23132851/satu-murid-calon-pendeta-lolos-dari-pembunuhan-di-oki-polisi-tunggu ","sumber")</f>
        <v>sumber</v>
      </c>
      <c r="G325" s="269" t="s">
        <v>33</v>
      </c>
      <c r="H325" s="45" t="s">
        <v>3118</v>
      </c>
      <c r="I325" s="44">
        <v>1.0</v>
      </c>
      <c r="J325" s="44">
        <v>1.0</v>
      </c>
      <c r="K325" s="164" t="s">
        <v>3650</v>
      </c>
      <c r="L325" s="44">
        <v>0.0</v>
      </c>
      <c r="M325" s="44">
        <v>1.0</v>
      </c>
      <c r="N325" s="44">
        <v>0.0</v>
      </c>
      <c r="O325" s="44">
        <v>0.0</v>
      </c>
      <c r="P325" s="44">
        <v>0.0</v>
      </c>
      <c r="Q325" s="44">
        <v>0.0</v>
      </c>
      <c r="R325" s="44">
        <v>0.0</v>
      </c>
      <c r="S325" s="164"/>
      <c r="T325" s="44">
        <v>0.0</v>
      </c>
      <c r="U325" s="44">
        <v>0.0</v>
      </c>
      <c r="V325" s="44">
        <v>0.0</v>
      </c>
      <c r="W325" s="45"/>
      <c r="X325" s="45"/>
      <c r="Y325" s="45"/>
      <c r="Z325" s="9"/>
    </row>
    <row r="326" ht="14.25" customHeight="1">
      <c r="A326" s="282">
        <v>1.0</v>
      </c>
      <c r="B326" s="283" t="s">
        <v>3651</v>
      </c>
      <c r="C326" s="44">
        <v>323.0</v>
      </c>
      <c r="D326" s="44">
        <v>2.0</v>
      </c>
      <c r="E326" s="287">
        <v>43551.0</v>
      </c>
      <c r="F326" s="162" t="str">
        <f>HYPERLINK("https://www.cnnindonesia.com/hiburan/20190327174138-234-381231/jejak-seungri-dihapus-dari-situs-yg-entertainment ","sumber")</f>
        <v>sumber</v>
      </c>
      <c r="G326" s="269" t="s">
        <v>33</v>
      </c>
      <c r="H326" s="45" t="s">
        <v>3652</v>
      </c>
      <c r="I326" s="44">
        <v>1.0</v>
      </c>
      <c r="J326" s="44">
        <v>1.0</v>
      </c>
      <c r="K326" s="164"/>
      <c r="L326" s="44">
        <v>0.0</v>
      </c>
      <c r="M326" s="44">
        <v>1.0</v>
      </c>
      <c r="N326" s="44">
        <v>0.0</v>
      </c>
      <c r="O326" s="44">
        <v>0.0</v>
      </c>
      <c r="P326" s="44">
        <v>0.0</v>
      </c>
      <c r="Q326" s="44"/>
      <c r="R326" s="44"/>
      <c r="S326" s="164"/>
      <c r="T326" s="44">
        <v>0.0</v>
      </c>
      <c r="U326" s="44">
        <v>0.0</v>
      </c>
      <c r="V326" s="44">
        <v>0.0</v>
      </c>
      <c r="W326" s="45"/>
      <c r="X326" s="45"/>
      <c r="Y326" s="45"/>
      <c r="Z326" s="9"/>
    </row>
    <row r="327" ht="14.25" customHeight="1">
      <c r="A327" s="282">
        <v>1.0</v>
      </c>
      <c r="B327" s="283" t="s">
        <v>3653</v>
      </c>
      <c r="C327" s="44">
        <v>324.0</v>
      </c>
      <c r="D327" s="44">
        <v>6.0</v>
      </c>
      <c r="E327" s="287">
        <v>43551.0</v>
      </c>
      <c r="F327" s="162" t="str">
        <f>HYPERLINK("https://regional.kompas.com/read/2019/03/27/07415181/pembunuhan-sadis-calon-pendeta-di-oki-pelaku-pakai-topeng-hingga-murid ","sumber")</f>
        <v>sumber</v>
      </c>
      <c r="G327" s="269" t="s">
        <v>33</v>
      </c>
      <c r="H327" s="45" t="s">
        <v>3654</v>
      </c>
      <c r="I327" s="44">
        <v>1.0</v>
      </c>
      <c r="J327" s="44">
        <v>1.0</v>
      </c>
      <c r="K327" s="164" t="s">
        <v>3655</v>
      </c>
      <c r="L327" s="44">
        <v>0.0</v>
      </c>
      <c r="M327" s="44">
        <v>1.0</v>
      </c>
      <c r="N327" s="44">
        <v>0.0</v>
      </c>
      <c r="O327" s="44">
        <v>0.0</v>
      </c>
      <c r="P327" s="44">
        <v>0.0</v>
      </c>
      <c r="Q327" s="44" t="s">
        <v>53</v>
      </c>
      <c r="R327" s="44" t="s">
        <v>53</v>
      </c>
      <c r="S327" s="164"/>
      <c r="T327" s="44">
        <v>0.0</v>
      </c>
      <c r="U327" s="44">
        <v>0.0</v>
      </c>
      <c r="V327" s="44">
        <v>0.0</v>
      </c>
      <c r="W327" s="45"/>
      <c r="X327" s="45"/>
      <c r="Y327" s="45"/>
      <c r="Z327" s="9"/>
    </row>
    <row r="328" ht="14.25" customHeight="1">
      <c r="A328" s="282">
        <v>1.0</v>
      </c>
      <c r="B328" s="283" t="s">
        <v>3656</v>
      </c>
      <c r="C328" s="44">
        <v>325.0</v>
      </c>
      <c r="D328" s="44">
        <v>7.0</v>
      </c>
      <c r="E328" s="287">
        <v>43551.0</v>
      </c>
      <c r="F328" s="162" t="str">
        <f>HYPERLINK("http://www.tribunnews.com/regional/2019/03/27/update-terbaru-pembunuhan-calon-pendeta-melinda-zidemi-ada-cairan-sperma-yang-jadi-petunjuk ","sumber")</f>
        <v>sumber</v>
      </c>
      <c r="G328" s="269" t="s">
        <v>33</v>
      </c>
      <c r="H328" s="45" t="s">
        <v>3657</v>
      </c>
      <c r="I328" s="44">
        <v>1.0</v>
      </c>
      <c r="J328" s="44">
        <v>1.0</v>
      </c>
      <c r="K328" s="164" t="s">
        <v>3658</v>
      </c>
      <c r="L328" s="44">
        <v>0.0</v>
      </c>
      <c r="M328" s="188">
        <v>0.0</v>
      </c>
      <c r="N328" s="44">
        <v>-1.0</v>
      </c>
      <c r="O328" s="44">
        <v>0.0</v>
      </c>
      <c r="P328" s="44">
        <v>0.0</v>
      </c>
      <c r="Q328" s="44" t="s">
        <v>61</v>
      </c>
      <c r="R328" s="44" t="s">
        <v>61</v>
      </c>
      <c r="S328" s="164"/>
      <c r="T328" s="44">
        <v>0.0</v>
      </c>
      <c r="U328" s="44">
        <v>0.0</v>
      </c>
      <c r="V328" s="44">
        <v>0.0</v>
      </c>
      <c r="W328" s="45"/>
      <c r="X328" s="45"/>
      <c r="Y328" s="45"/>
      <c r="Z328" s="9"/>
    </row>
    <row r="329" ht="14.25" customHeight="1">
      <c r="A329" s="282">
        <v>1.0</v>
      </c>
      <c r="B329" s="283" t="s">
        <v>3659</v>
      </c>
      <c r="C329" s="44">
        <v>326.0</v>
      </c>
      <c r="D329" s="44">
        <v>9.0</v>
      </c>
      <c r="E329" s="287">
        <v>43552.0</v>
      </c>
      <c r="F329" s="162" t="str">
        <f>HYPERLINK("https://internasional.republika.co.id/berita/internasional/timur-tengah/pp2usp320/aktivis-ungkap-penyiksaan-selama-ditahan-saudi ","sumber")</f>
        <v>sumber</v>
      </c>
      <c r="G329" s="269" t="s">
        <v>33</v>
      </c>
      <c r="H329" s="45" t="s">
        <v>3660</v>
      </c>
      <c r="I329" s="44">
        <v>1.0</v>
      </c>
      <c r="J329" s="44">
        <v>1.0</v>
      </c>
      <c r="K329" s="164" t="s">
        <v>3661</v>
      </c>
      <c r="L329" s="44">
        <v>0.0</v>
      </c>
      <c r="M329" s="188">
        <v>0.0</v>
      </c>
      <c r="N329" s="44">
        <v>0.0</v>
      </c>
      <c r="O329" s="44">
        <v>0.0</v>
      </c>
      <c r="P329" s="44">
        <v>0.0</v>
      </c>
      <c r="Q329" s="44">
        <v>0.0</v>
      </c>
      <c r="R329" s="44">
        <v>1.0</v>
      </c>
      <c r="S329" s="164"/>
      <c r="T329" s="44">
        <v>0.0</v>
      </c>
      <c r="U329" s="44">
        <v>0.0</v>
      </c>
      <c r="V329" s="44">
        <v>0.0</v>
      </c>
      <c r="W329" s="45"/>
      <c r="X329" s="45"/>
      <c r="Y329" s="45"/>
      <c r="Z329" s="9"/>
    </row>
    <row r="330" ht="14.25" customHeight="1">
      <c r="A330" s="282">
        <v>1.0</v>
      </c>
      <c r="B330" s="283" t="s">
        <v>3662</v>
      </c>
      <c r="C330" s="44">
        <v>327.0</v>
      </c>
      <c r="D330" s="44">
        <v>7.0</v>
      </c>
      <c r="E330" s="287">
        <v>43553.0</v>
      </c>
      <c r="F330" s="162" t="str">
        <f>HYPERLINK("http://www.tribunnews.com/seleb/2019/03/29/kata-nicky-tirta-vanessa-angel-rajin-ibadah ","sumber")</f>
        <v>sumber</v>
      </c>
      <c r="G330" s="269" t="s">
        <v>33</v>
      </c>
      <c r="H330" s="45" t="s">
        <v>3663</v>
      </c>
      <c r="I330" s="44">
        <v>1.0</v>
      </c>
      <c r="J330" s="44">
        <v>1.0</v>
      </c>
      <c r="K330" s="164" t="s">
        <v>3664</v>
      </c>
      <c r="L330" s="44">
        <v>0.0</v>
      </c>
      <c r="M330" s="44">
        <v>-1.0</v>
      </c>
      <c r="N330" s="44">
        <v>0.0</v>
      </c>
      <c r="O330" s="44">
        <v>0.0</v>
      </c>
      <c r="P330" s="44">
        <v>0.0</v>
      </c>
      <c r="Q330" s="44">
        <v>0.0</v>
      </c>
      <c r="R330" s="44">
        <v>0.0</v>
      </c>
      <c r="S330" s="164"/>
      <c r="T330" s="44">
        <v>0.0</v>
      </c>
      <c r="U330" s="44">
        <v>-1.0</v>
      </c>
      <c r="V330" s="44">
        <v>0.0</v>
      </c>
      <c r="W330" s="45"/>
      <c r="X330" s="45"/>
      <c r="Y330" s="45"/>
      <c r="Z330" s="9"/>
    </row>
    <row r="331" ht="14.25" customHeight="1">
      <c r="A331" s="282">
        <v>1.0</v>
      </c>
      <c r="B331" s="283" t="s">
        <v>3665</v>
      </c>
      <c r="C331" s="44">
        <v>328.0</v>
      </c>
      <c r="D331" s="44">
        <v>2.0</v>
      </c>
      <c r="E331" s="287">
        <v>43554.0</v>
      </c>
      <c r="F331" s="162" t="str">
        <f>HYPERLINK("https://www.cnnindonesia.com/internasional/20190330051602-134-381943/paus-terbitkan-aturan-pencegah-pelecehan-seksual-anak ","sumber")</f>
        <v>sumber</v>
      </c>
      <c r="G331" s="269" t="s">
        <v>33</v>
      </c>
      <c r="H331" s="45" t="s">
        <v>3582</v>
      </c>
      <c r="I331" s="44">
        <v>4.0</v>
      </c>
      <c r="J331" s="44">
        <v>1.0</v>
      </c>
      <c r="K331" s="164" t="s">
        <v>3666</v>
      </c>
      <c r="L331" s="44">
        <v>0.0</v>
      </c>
      <c r="M331" s="44">
        <v>0.0</v>
      </c>
      <c r="N331" s="44">
        <v>0.0</v>
      </c>
      <c r="O331" s="44">
        <v>0.0</v>
      </c>
      <c r="P331" s="44">
        <v>0.0</v>
      </c>
      <c r="Q331" s="44">
        <v>0.0</v>
      </c>
      <c r="R331" s="44">
        <v>1.0</v>
      </c>
      <c r="S331" s="164"/>
      <c r="T331" s="44">
        <v>0.0</v>
      </c>
      <c r="U331" s="44">
        <v>0.0</v>
      </c>
      <c r="V331" s="44">
        <v>1.0</v>
      </c>
      <c r="W331" s="45"/>
      <c r="X331" s="45"/>
      <c r="Y331" s="45"/>
      <c r="Z331" s="9"/>
    </row>
    <row r="332" ht="14.25" customHeight="1">
      <c r="A332" s="282">
        <v>1.0</v>
      </c>
      <c r="B332" s="283" t="s">
        <v>3667</v>
      </c>
      <c r="C332" s="44">
        <v>329.0</v>
      </c>
      <c r="D332" s="44">
        <v>2.0</v>
      </c>
      <c r="E332" s="287">
        <v>43560.0</v>
      </c>
      <c r="F332" s="162" t="str">
        <f>HYPERLINK("https://www.cnnindonesia.com/teknologi/20190404162247-185-383430/australia-ancam-denda-hingga-penjara-bos-perusahaan-medsos ","sumber")</f>
        <v>sumber</v>
      </c>
      <c r="G332" s="269" t="s">
        <v>33</v>
      </c>
      <c r="H332" s="45" t="s">
        <v>3668</v>
      </c>
      <c r="I332" s="44">
        <v>4.0</v>
      </c>
      <c r="J332" s="300">
        <v>43834.0</v>
      </c>
      <c r="K332" s="164" t="s">
        <v>3669</v>
      </c>
      <c r="L332" s="44">
        <v>0.0</v>
      </c>
      <c r="M332" s="44">
        <v>0.0</v>
      </c>
      <c r="N332" s="44">
        <v>0.0</v>
      </c>
      <c r="O332" s="44">
        <v>0.0</v>
      </c>
      <c r="P332" s="44">
        <v>0.0</v>
      </c>
      <c r="Q332" s="187" t="s">
        <v>89</v>
      </c>
      <c r="R332" s="187" t="s">
        <v>1305</v>
      </c>
      <c r="S332" s="164"/>
      <c r="T332" s="44">
        <v>0.0</v>
      </c>
      <c r="U332" s="44">
        <v>0.0</v>
      </c>
      <c r="V332" s="44">
        <v>1.0</v>
      </c>
      <c r="W332" s="45"/>
      <c r="X332" s="45"/>
      <c r="Y332" s="45"/>
      <c r="Z332" s="9"/>
    </row>
    <row r="333" ht="14.25" customHeight="1">
      <c r="A333" s="282">
        <v>1.0</v>
      </c>
      <c r="B333" s="283" t="s">
        <v>2562</v>
      </c>
      <c r="C333" s="44">
        <v>330.0</v>
      </c>
      <c r="D333" s="44">
        <v>8.0</v>
      </c>
      <c r="E333" s="287">
        <v>43562.0</v>
      </c>
      <c r="F333" s="162" t="str">
        <f>HYPERLINK("https://www.suara.com/bola/2019/04/07/141520/persija-tetap-prioritaskan-marko-simic-tapi ","sumber")</f>
        <v>sumber</v>
      </c>
      <c r="G333" s="269" t="s">
        <v>33</v>
      </c>
      <c r="H333" s="45" t="s">
        <v>3670</v>
      </c>
      <c r="I333" s="44">
        <v>1.0</v>
      </c>
      <c r="J333" s="44">
        <v>1.0</v>
      </c>
      <c r="K333" s="164" t="s">
        <v>3671</v>
      </c>
      <c r="L333" s="44">
        <v>0.0</v>
      </c>
      <c r="M333" s="44">
        <v>-1.0</v>
      </c>
      <c r="N333" s="44">
        <v>0.0</v>
      </c>
      <c r="O333" s="44">
        <v>0.0</v>
      </c>
      <c r="P333" s="44">
        <v>0.0</v>
      </c>
      <c r="Q333" s="44">
        <v>0.0</v>
      </c>
      <c r="R333" s="44">
        <v>-1.0</v>
      </c>
      <c r="S333" s="164"/>
      <c r="T333" s="44">
        <v>0.0</v>
      </c>
      <c r="U333" s="44">
        <v>-1.0</v>
      </c>
      <c r="V333" s="44">
        <v>0.0</v>
      </c>
      <c r="W333" s="45"/>
      <c r="X333" s="45"/>
      <c r="Y333" s="45"/>
      <c r="Z333" s="9"/>
    </row>
    <row r="334" ht="14.25" customHeight="1">
      <c r="A334" s="282">
        <v>1.0</v>
      </c>
      <c r="B334" s="283" t="s">
        <v>3672</v>
      </c>
      <c r="C334" s="44">
        <v>331.0</v>
      </c>
      <c r="D334" s="44">
        <v>6.0</v>
      </c>
      <c r="E334" s="287">
        <v>43565.0</v>
      </c>
      <c r="F334" s="162" t="str">
        <f>HYPERLINK("https://regional.kompas.com/read/2019/04/10/14070381/gadis-12-tahun-yang-dicabuli-tetangga-hingga-hamil-belum-ditangani-p2tp2a ","sumber")</f>
        <v>sumber</v>
      </c>
      <c r="G334" s="269" t="s">
        <v>33</v>
      </c>
      <c r="H334" s="45" t="s">
        <v>3038</v>
      </c>
      <c r="I334" s="44">
        <v>1.0</v>
      </c>
      <c r="J334" s="44">
        <v>1.0</v>
      </c>
      <c r="K334" s="164" t="s">
        <v>3673</v>
      </c>
      <c r="L334" s="44">
        <v>0.0</v>
      </c>
      <c r="M334" s="44">
        <v>1.0</v>
      </c>
      <c r="N334" s="44">
        <v>0.0</v>
      </c>
      <c r="O334" s="44">
        <v>0.0</v>
      </c>
      <c r="P334" s="44">
        <v>0.0</v>
      </c>
      <c r="Q334" s="44" t="s">
        <v>100</v>
      </c>
      <c r="R334" s="44" t="s">
        <v>100</v>
      </c>
      <c r="S334" s="164" t="s">
        <v>3674</v>
      </c>
      <c r="T334" s="44">
        <v>2.0</v>
      </c>
      <c r="U334" s="44">
        <v>0.0</v>
      </c>
      <c r="V334" s="44">
        <v>0.0</v>
      </c>
      <c r="W334" s="45"/>
      <c r="X334" s="45"/>
      <c r="Y334" s="45"/>
      <c r="Z334" s="9"/>
    </row>
    <row r="335" ht="14.25" customHeight="1">
      <c r="A335" s="189">
        <v>1.0</v>
      </c>
      <c r="B335" s="245" t="s">
        <v>3675</v>
      </c>
      <c r="C335" s="55">
        <v>332.0</v>
      </c>
      <c r="D335" s="55">
        <v>1.0</v>
      </c>
      <c r="E335" s="289">
        <v>43559.0</v>
      </c>
      <c r="F335" s="171" t="str">
        <f>HYPERLINK("https://news.detik.com/berita-jawa-timur/d-4496667/dukun-cabul-di-jember-cabuli-4-siswi-smp-satu-di-antaranya-hamil","sumber")</f>
        <v>sumber</v>
      </c>
      <c r="G335" s="277" t="s">
        <v>33</v>
      </c>
      <c r="H335" s="55">
        <v>301.0</v>
      </c>
      <c r="I335" s="55">
        <v>1.0</v>
      </c>
      <c r="J335" s="55">
        <v>1.0</v>
      </c>
      <c r="K335" s="172" t="s">
        <v>3676</v>
      </c>
      <c r="L335" s="55">
        <v>0.0</v>
      </c>
      <c r="M335" s="55">
        <v>-1.0</v>
      </c>
      <c r="N335" s="55">
        <v>0.0</v>
      </c>
      <c r="O335" s="55">
        <v>0.0</v>
      </c>
      <c r="P335" s="55">
        <v>0.0</v>
      </c>
      <c r="Q335" s="55">
        <v>0.0</v>
      </c>
      <c r="R335" s="55">
        <v>0.0</v>
      </c>
      <c r="S335" s="172" t="s">
        <v>3677</v>
      </c>
      <c r="T335" s="55">
        <v>6.0</v>
      </c>
      <c r="U335" s="55">
        <v>0.0</v>
      </c>
      <c r="V335" s="55">
        <v>0.0</v>
      </c>
      <c r="W335" s="46"/>
      <c r="X335" s="46"/>
      <c r="Y335" s="55"/>
      <c r="Z335" s="30"/>
    </row>
    <row r="336" ht="14.25" customHeight="1">
      <c r="A336" s="282">
        <v>1.0</v>
      </c>
      <c r="B336" s="283" t="s">
        <v>3678</v>
      </c>
      <c r="C336" s="44">
        <v>333.0</v>
      </c>
      <c r="D336" s="44">
        <v>7.0</v>
      </c>
      <c r="E336" s="287">
        <v>43567.0</v>
      </c>
      <c r="F336" s="162" t="str">
        <f>HYPERLINK("http://www.tribunnews.com/seleb/2019/04/12/unggah-video-vanessa-angel-bernyanyi-dan-tampil-religius-di-lapas-bibi-semoga-tuhan-makin-sayang ","sumber")</f>
        <v>sumber</v>
      </c>
      <c r="G336" s="269" t="s">
        <v>33</v>
      </c>
      <c r="H336" s="45" t="s">
        <v>3679</v>
      </c>
      <c r="I336" s="44">
        <v>2.0</v>
      </c>
      <c r="J336" s="44">
        <v>1.0</v>
      </c>
      <c r="K336" s="164" t="s">
        <v>3680</v>
      </c>
      <c r="L336" s="44">
        <v>0.0</v>
      </c>
      <c r="M336" s="44">
        <v>0.0</v>
      </c>
      <c r="N336" s="44">
        <v>-1.0</v>
      </c>
      <c r="O336" s="44">
        <v>0.0</v>
      </c>
      <c r="P336" s="44">
        <v>0.0</v>
      </c>
      <c r="Q336" s="44" t="s">
        <v>53</v>
      </c>
      <c r="R336" s="44" t="s">
        <v>53</v>
      </c>
      <c r="S336" s="164"/>
      <c r="T336" s="44">
        <v>0.0</v>
      </c>
      <c r="U336" s="44">
        <v>-1.0</v>
      </c>
      <c r="V336" s="44">
        <v>0.0</v>
      </c>
      <c r="W336" s="45"/>
      <c r="X336" s="45"/>
      <c r="Y336" s="45"/>
      <c r="Z336" s="9"/>
    </row>
    <row r="337" ht="14.25" customHeight="1">
      <c r="A337" s="282">
        <v>1.0</v>
      </c>
      <c r="B337" s="283" t="s">
        <v>3681</v>
      </c>
      <c r="C337" s="44">
        <v>334.0</v>
      </c>
      <c r="D337" s="44">
        <v>10.0</v>
      </c>
      <c r="E337" s="287">
        <v>43576.0</v>
      </c>
      <c r="F337" s="162" t="str">
        <f>HYPERLINK("https://dunia.tempo.co/read/1197664/ketua-mahkamah-agung-india-dituduh-lakukan-pelecehan-seksual ","sumber")</f>
        <v>sumber</v>
      </c>
      <c r="G337" s="269" t="s">
        <v>33</v>
      </c>
      <c r="H337" s="45" t="s">
        <v>3682</v>
      </c>
      <c r="I337" s="44">
        <v>1.0</v>
      </c>
      <c r="J337" s="44">
        <v>1.0</v>
      </c>
      <c r="K337" s="164" t="s">
        <v>3683</v>
      </c>
      <c r="L337" s="44">
        <v>0.0</v>
      </c>
      <c r="M337" s="188">
        <v>0.0</v>
      </c>
      <c r="N337" s="44">
        <v>0.0</v>
      </c>
      <c r="O337" s="44">
        <v>0.0</v>
      </c>
      <c r="P337" s="44">
        <v>0.0</v>
      </c>
      <c r="Q337" s="44" t="s">
        <v>61</v>
      </c>
      <c r="R337" s="44" t="s">
        <v>85</v>
      </c>
      <c r="S337" s="164"/>
      <c r="T337" s="44">
        <v>0.0</v>
      </c>
      <c r="U337" s="44">
        <v>-1.0</v>
      </c>
      <c r="V337" s="44">
        <v>0.0</v>
      </c>
      <c r="W337" s="45"/>
      <c r="X337" s="45"/>
      <c r="Y337" s="45"/>
      <c r="Z337" s="9"/>
    </row>
    <row r="338" ht="14.25" customHeight="1">
      <c r="A338" s="282">
        <v>1.0</v>
      </c>
      <c r="B338" s="283" t="s">
        <v>1676</v>
      </c>
      <c r="C338" s="44">
        <v>335.0</v>
      </c>
      <c r="D338" s="44">
        <v>5.0</v>
      </c>
      <c r="E338" s="287">
        <v>43579.0</v>
      </c>
      <c r="F338" s="162" t="str">
        <f>HYPERLINK("https://tirto.id/perempuan-penyedia-transportasi-daring-waspadai-pelecehan-seksual-dm2P ","sumber")</f>
        <v>sumber</v>
      </c>
      <c r="G338" s="269" t="s">
        <v>33</v>
      </c>
      <c r="H338" s="45" t="s">
        <v>3436</v>
      </c>
      <c r="I338" s="44">
        <v>2.0</v>
      </c>
      <c r="J338" s="44">
        <v>1.0</v>
      </c>
      <c r="K338" s="164" t="s">
        <v>3684</v>
      </c>
      <c r="L338" s="44">
        <v>0.0</v>
      </c>
      <c r="M338" s="44">
        <v>0.0</v>
      </c>
      <c r="N338" s="44">
        <v>0.0</v>
      </c>
      <c r="O338" s="44">
        <v>0.0</v>
      </c>
      <c r="P338" s="44">
        <v>0.0</v>
      </c>
      <c r="Q338" s="44">
        <v>1.0</v>
      </c>
      <c r="R338" s="44">
        <v>1.0</v>
      </c>
      <c r="S338" s="164"/>
      <c r="T338" s="44">
        <v>0.0</v>
      </c>
      <c r="U338" s="44">
        <v>0.0</v>
      </c>
      <c r="V338" s="44">
        <v>1.0</v>
      </c>
      <c r="W338" s="45"/>
      <c r="X338" s="45"/>
      <c r="Y338" s="45"/>
      <c r="Z338" s="9"/>
    </row>
    <row r="339" ht="14.25" customHeight="1">
      <c r="A339" s="282">
        <v>1.0</v>
      </c>
      <c r="B339" s="283" t="s">
        <v>3685</v>
      </c>
      <c r="C339" s="44">
        <v>336.0</v>
      </c>
      <c r="D339" s="44">
        <v>10.0</v>
      </c>
      <c r="E339" s="287">
        <v>43580.0</v>
      </c>
      <c r="F339" s="162" t="str">
        <f>HYPERLINK("https://bisnis.tempo.co/read/1199330/pelecehan-di-kereta-viral-kai-kedua-pihak-sepakat-damai ","sumber")</f>
        <v>sumber</v>
      </c>
      <c r="G339" s="269" t="s">
        <v>33</v>
      </c>
      <c r="H339" s="45" t="s">
        <v>3585</v>
      </c>
      <c r="I339" s="44">
        <v>1.0</v>
      </c>
      <c r="J339" s="44">
        <v>1.0</v>
      </c>
      <c r="K339" s="164" t="s">
        <v>3686</v>
      </c>
      <c r="L339" s="44">
        <v>0.0</v>
      </c>
      <c r="M339" s="44">
        <v>1.0</v>
      </c>
      <c r="N339" s="44">
        <v>-1.0</v>
      </c>
      <c r="O339" s="44">
        <v>0.0</v>
      </c>
      <c r="P339" s="44">
        <v>0.0</v>
      </c>
      <c r="Q339" s="44" t="s">
        <v>119</v>
      </c>
      <c r="R339" s="44" t="s">
        <v>61</v>
      </c>
      <c r="S339" s="164"/>
      <c r="T339" s="44">
        <v>0.0</v>
      </c>
      <c r="U339" s="44">
        <v>0.0</v>
      </c>
      <c r="V339" s="44">
        <v>0.0</v>
      </c>
      <c r="W339" s="45"/>
      <c r="X339" s="45"/>
      <c r="Y339" s="45"/>
      <c r="Z339" s="9"/>
    </row>
    <row r="340" ht="14.25" customHeight="1">
      <c r="A340" s="254">
        <v>1.0</v>
      </c>
      <c r="B340" s="310" t="s">
        <v>3687</v>
      </c>
      <c r="C340" s="311">
        <v>332.0</v>
      </c>
      <c r="D340" s="311">
        <v>1.0</v>
      </c>
      <c r="E340" s="312">
        <v>43568.0</v>
      </c>
      <c r="F340" s="313" t="str">
        <f>HYPERLINK("https://regional.kompas.com/read/2019/04/13/15212691/5-fakta-prostitusi-online-2-siswi-smp-di-ambon-anggota-tni-terlibat-hingga","sumber")</f>
        <v>sumber</v>
      </c>
      <c r="G340" s="311" t="s">
        <v>33</v>
      </c>
      <c r="H340" s="314">
        <v>231.0</v>
      </c>
      <c r="I340" s="311">
        <v>1.0</v>
      </c>
      <c r="J340" s="311">
        <v>1.0</v>
      </c>
      <c r="K340" s="315" t="s">
        <v>3688</v>
      </c>
      <c r="L340" s="316">
        <v>0.0</v>
      </c>
      <c r="M340" s="316">
        <v>-1.0</v>
      </c>
      <c r="N340" s="316">
        <v>0.0</v>
      </c>
      <c r="O340" s="316">
        <v>0.0</v>
      </c>
      <c r="P340" s="316">
        <v>0.0</v>
      </c>
      <c r="Q340" s="302" t="s">
        <v>61</v>
      </c>
      <c r="R340" s="316" t="s">
        <v>61</v>
      </c>
      <c r="S340" s="316" t="s">
        <v>3689</v>
      </c>
      <c r="T340" s="316">
        <v>4.0</v>
      </c>
      <c r="U340" s="316">
        <v>0.0</v>
      </c>
      <c r="V340" s="316">
        <v>0.0</v>
      </c>
      <c r="W340" s="317"/>
      <c r="X340" s="317"/>
      <c r="Y340" s="311"/>
      <c r="Z340" s="318"/>
    </row>
    <row r="341" ht="14.25" customHeight="1">
      <c r="A341" s="282">
        <v>1.0</v>
      </c>
      <c r="B341" s="283" t="s">
        <v>3690</v>
      </c>
      <c r="C341" s="44">
        <v>338.0</v>
      </c>
      <c r="D341" s="44">
        <v>7.0</v>
      </c>
      <c r="E341" s="287">
        <v>43582.0</v>
      </c>
      <c r="F341" s="162" t="str">
        <f>HYPERLINK("http://www.tribunnews.com/regional/2019/04/27/siswi-sd-berusia-7-tahun-jadi-korban-pencabulan-tiga-siswa-smp ","sumber")</f>
        <v>sumber</v>
      </c>
      <c r="G341" s="269" t="s">
        <v>33</v>
      </c>
      <c r="H341" s="45" t="s">
        <v>3691</v>
      </c>
      <c r="I341" s="44">
        <v>1.0</v>
      </c>
      <c r="J341" s="44">
        <v>1.0</v>
      </c>
      <c r="K341" s="164" t="s">
        <v>3692</v>
      </c>
      <c r="L341" s="44">
        <v>0.0</v>
      </c>
      <c r="M341" s="44">
        <v>1.0</v>
      </c>
      <c r="N341" s="44">
        <v>0.0</v>
      </c>
      <c r="O341" s="44">
        <v>0.0</v>
      </c>
      <c r="P341" s="44">
        <v>0.0</v>
      </c>
      <c r="Q341" s="44" t="s">
        <v>61</v>
      </c>
      <c r="R341" s="44" t="s">
        <v>61</v>
      </c>
      <c r="S341" s="164" t="s">
        <v>3693</v>
      </c>
      <c r="T341" s="44">
        <v>2.0</v>
      </c>
      <c r="U341" s="44">
        <v>0.0</v>
      </c>
      <c r="V341" s="44">
        <v>0.0</v>
      </c>
      <c r="W341" s="45"/>
      <c r="X341" s="45"/>
      <c r="Y341" s="45"/>
      <c r="Z341" s="9"/>
    </row>
    <row r="342" ht="14.25" customHeight="1">
      <c r="A342" s="189">
        <v>1.0</v>
      </c>
      <c r="B342" s="245" t="s">
        <v>3694</v>
      </c>
      <c r="C342" s="55">
        <v>339.0</v>
      </c>
      <c r="D342" s="55">
        <v>7.0</v>
      </c>
      <c r="E342" s="289">
        <v>43593.0</v>
      </c>
      <c r="F342" s="171" t="str">
        <f>HYPERLINK("http://www.tribunnews.com/internasional/2019/05/08/payudara-anaknya-disetrika-setelah-sang-putri-melahirkan-di-usia-14-tahun","sumber")</f>
        <v>sumber</v>
      </c>
      <c r="G342" s="277" t="s">
        <v>33</v>
      </c>
      <c r="H342" s="55">
        <v>64.0</v>
      </c>
      <c r="I342" s="55">
        <v>1.0</v>
      </c>
      <c r="J342" s="55">
        <v>1.0</v>
      </c>
      <c r="K342" s="172" t="s">
        <v>3695</v>
      </c>
      <c r="L342" s="55">
        <v>0.0</v>
      </c>
      <c r="M342" s="55">
        <v>1.0</v>
      </c>
      <c r="N342" s="55">
        <v>0.0</v>
      </c>
      <c r="O342" s="55">
        <v>0.0</v>
      </c>
      <c r="P342" s="55">
        <v>0.0</v>
      </c>
      <c r="Q342" s="55" t="s">
        <v>119</v>
      </c>
      <c r="R342" s="55" t="s">
        <v>192</v>
      </c>
      <c r="S342" s="172"/>
      <c r="T342" s="55">
        <v>0.0</v>
      </c>
      <c r="U342" s="55">
        <v>0.0</v>
      </c>
      <c r="V342" s="55">
        <v>1.0</v>
      </c>
      <c r="W342" s="46"/>
      <c r="X342" s="46"/>
      <c r="Y342" s="55"/>
      <c r="Z342" s="30"/>
    </row>
    <row r="343" ht="14.25" customHeight="1">
      <c r="A343" s="282">
        <v>1.0</v>
      </c>
      <c r="B343" s="283" t="s">
        <v>3696</v>
      </c>
      <c r="C343" s="44">
        <v>340.0</v>
      </c>
      <c r="D343" s="44">
        <v>10.0</v>
      </c>
      <c r="E343" s="287">
        <v>43587.0</v>
      </c>
      <c r="F343" s="162" t="str">
        <f>HYPERLINK("https://seleb.tempo.co/read/1201207/netizen-sesalkan-hotman-paris-ungkit-kasus-cut-tari-ariel-noah ","sumber")</f>
        <v>sumber</v>
      </c>
      <c r="G343" s="269" t="s">
        <v>33</v>
      </c>
      <c r="H343" s="45" t="s">
        <v>3697</v>
      </c>
      <c r="I343" s="44">
        <v>1.0</v>
      </c>
      <c r="J343" s="44">
        <v>1.0</v>
      </c>
      <c r="K343" s="164" t="s">
        <v>3698</v>
      </c>
      <c r="L343" s="44">
        <v>0.0</v>
      </c>
      <c r="M343" s="44">
        <v>1.0</v>
      </c>
      <c r="N343" s="44">
        <v>-1.0</v>
      </c>
      <c r="O343" s="44">
        <v>0.0</v>
      </c>
      <c r="P343" s="44">
        <v>0.0</v>
      </c>
      <c r="Q343" s="44" t="s">
        <v>61</v>
      </c>
      <c r="R343" s="44" t="s">
        <v>173</v>
      </c>
      <c r="S343" s="164"/>
      <c r="T343" s="44">
        <v>0.0</v>
      </c>
      <c r="U343" s="44">
        <v>-1.0</v>
      </c>
      <c r="V343" s="44">
        <v>0.0</v>
      </c>
      <c r="W343" s="45"/>
      <c r="X343" s="45"/>
      <c r="Y343" s="45"/>
      <c r="Z343" s="9"/>
    </row>
    <row r="344" ht="14.25" customHeight="1">
      <c r="A344" s="282">
        <v>1.0</v>
      </c>
      <c r="B344" s="283" t="s">
        <v>3699</v>
      </c>
      <c r="C344" s="44">
        <v>341.0</v>
      </c>
      <c r="D344" s="44">
        <v>1.0</v>
      </c>
      <c r="E344" s="287">
        <v>43591.0</v>
      </c>
      <c r="F344" s="162" t="str">
        <f>HYPERLINK("https://news.detik.com/berita-jawa-timur/d-4538383/sedih-karena-puasa-di-penjara-vanessa-angel-menangis-usai-sidang ","sumber")</f>
        <v>sumber</v>
      </c>
      <c r="G344" s="269" t="s">
        <v>33</v>
      </c>
      <c r="H344" s="45" t="s">
        <v>3562</v>
      </c>
      <c r="I344" s="44">
        <v>2.0</v>
      </c>
      <c r="J344" s="44">
        <v>1.0</v>
      </c>
      <c r="K344" s="164" t="s">
        <v>3700</v>
      </c>
      <c r="L344" s="44">
        <v>0.0</v>
      </c>
      <c r="M344" s="44">
        <v>0.0</v>
      </c>
      <c r="N344" s="44">
        <v>0.0</v>
      </c>
      <c r="O344" s="44">
        <v>0.0</v>
      </c>
      <c r="P344" s="44">
        <v>0.0</v>
      </c>
      <c r="Q344" s="44" t="s">
        <v>210</v>
      </c>
      <c r="R344" s="44" t="s">
        <v>61</v>
      </c>
      <c r="S344" s="164"/>
      <c r="T344" s="44">
        <v>0.0</v>
      </c>
      <c r="U344" s="44">
        <v>0.0</v>
      </c>
      <c r="V344" s="44">
        <v>0.0</v>
      </c>
      <c r="W344" s="45"/>
      <c r="X344" s="45"/>
      <c r="Y344" s="45"/>
      <c r="Z344" s="9"/>
    </row>
    <row r="345" ht="14.25" customHeight="1">
      <c r="A345" s="282">
        <v>1.0</v>
      </c>
      <c r="B345" s="283" t="s">
        <v>3701</v>
      </c>
      <c r="C345" s="44">
        <v>342.0</v>
      </c>
      <c r="D345" s="44">
        <v>5.0</v>
      </c>
      <c r="E345" s="287">
        <v>43591.0</v>
      </c>
      <c r="F345" s="162" t="str">
        <f>HYPERLINK("https://tirto.id/pada-1-ramadan-massa-kanpmi-buka-puasa-di-depan-kemenristekdikti-driJ ","sumber")</f>
        <v>sumber</v>
      </c>
      <c r="G345" s="269" t="s">
        <v>33</v>
      </c>
      <c r="H345" s="45" t="s">
        <v>3702</v>
      </c>
      <c r="I345" s="44">
        <v>1.0</v>
      </c>
      <c r="J345" s="44">
        <v>1.0</v>
      </c>
      <c r="K345" s="164" t="s">
        <v>3703</v>
      </c>
      <c r="L345" s="44">
        <v>0.0</v>
      </c>
      <c r="M345" s="44">
        <v>-1.0</v>
      </c>
      <c r="N345" s="44">
        <v>0.0</v>
      </c>
      <c r="O345" s="44">
        <v>0.0</v>
      </c>
      <c r="P345" s="44">
        <v>0.0</v>
      </c>
      <c r="Q345" s="44">
        <v>1.0</v>
      </c>
      <c r="R345" s="44">
        <v>1.0</v>
      </c>
      <c r="S345" s="164"/>
      <c r="T345" s="44">
        <v>0.0</v>
      </c>
      <c r="U345" s="44">
        <v>0.0</v>
      </c>
      <c r="V345" s="44">
        <v>0.0</v>
      </c>
      <c r="W345" s="45"/>
      <c r="X345" s="45"/>
      <c r="Y345" s="45"/>
      <c r="Z345" s="9"/>
    </row>
    <row r="346" ht="14.25" customHeight="1">
      <c r="A346" s="282">
        <v>1.0</v>
      </c>
      <c r="B346" s="283" t="s">
        <v>3704</v>
      </c>
      <c r="C346" s="44">
        <v>343.0</v>
      </c>
      <c r="D346" s="44">
        <v>3.0</v>
      </c>
      <c r="E346" s="287">
        <v>43594.0</v>
      </c>
      <c r="F346" s="162" t="str">
        <f>HYPERLINK("https://news.okezone.com/read/2019/05/09/519/2053745/vanessa-angel-harap-masalahnya-cepat-selesai ","sumber")</f>
        <v>sumber</v>
      </c>
      <c r="G346" s="269" t="s">
        <v>33</v>
      </c>
      <c r="H346" s="45" t="s">
        <v>3562</v>
      </c>
      <c r="I346" s="44">
        <v>1.0</v>
      </c>
      <c r="J346" s="44">
        <v>1.0</v>
      </c>
      <c r="K346" s="164" t="s">
        <v>3700</v>
      </c>
      <c r="L346" s="44">
        <v>0.0</v>
      </c>
      <c r="M346" s="44">
        <v>1.0</v>
      </c>
      <c r="N346" s="44">
        <v>0.0</v>
      </c>
      <c r="O346" s="44">
        <v>0.0</v>
      </c>
      <c r="P346" s="44">
        <v>0.0</v>
      </c>
      <c r="Q346" s="44" t="s">
        <v>210</v>
      </c>
      <c r="R346" s="44" t="s">
        <v>214</v>
      </c>
      <c r="S346" s="164"/>
      <c r="T346" s="44">
        <v>0.0</v>
      </c>
      <c r="U346" s="44">
        <v>0.0</v>
      </c>
      <c r="V346" s="44">
        <v>0.0</v>
      </c>
      <c r="W346" s="45"/>
      <c r="X346" s="45"/>
      <c r="Y346" s="45"/>
      <c r="Z346" s="9"/>
    </row>
    <row r="347" ht="14.25" customHeight="1">
      <c r="A347" s="282">
        <v>1.0</v>
      </c>
      <c r="B347" s="283" t="s">
        <v>3705</v>
      </c>
      <c r="C347" s="44">
        <v>344.0</v>
      </c>
      <c r="D347" s="44">
        <v>9.0</v>
      </c>
      <c r="E347" s="287">
        <v>43594.0</v>
      </c>
      <c r="F347" s="162" t="str">
        <f>HYPERLINK("https://internasional.republika.co.id/berita/internasional/abc-australia-network/pr8aq6382/kontroversi-hukuman-mati-bagi-homoseksual-di-brunei ","sumber")</f>
        <v>sumber</v>
      </c>
      <c r="G347" s="269" t="s">
        <v>33</v>
      </c>
      <c r="H347" s="45" t="s">
        <v>3536</v>
      </c>
      <c r="I347" s="44">
        <v>4.0</v>
      </c>
      <c r="J347" s="44">
        <v>3.0</v>
      </c>
      <c r="K347" s="164" t="s">
        <v>3706</v>
      </c>
      <c r="L347" s="44">
        <v>0.0</v>
      </c>
      <c r="M347" s="44">
        <v>0.0</v>
      </c>
      <c r="N347" s="44">
        <v>0.0</v>
      </c>
      <c r="O347" s="44">
        <v>0.0</v>
      </c>
      <c r="P347" s="44">
        <v>0.0</v>
      </c>
      <c r="Q347" s="164" t="s">
        <v>3707</v>
      </c>
      <c r="R347" s="44" t="s">
        <v>3708</v>
      </c>
      <c r="S347" s="164" t="s">
        <v>3709</v>
      </c>
      <c r="T347" s="44">
        <v>1.0</v>
      </c>
      <c r="U347" s="44">
        <v>0.0</v>
      </c>
      <c r="V347" s="44">
        <v>1.0</v>
      </c>
      <c r="W347" s="45"/>
      <c r="X347" s="45"/>
      <c r="Y347" s="45"/>
      <c r="Z347" s="9"/>
    </row>
    <row r="348" ht="14.25" customHeight="1">
      <c r="A348" s="214">
        <v>2.0</v>
      </c>
      <c r="B348" s="285" t="s">
        <v>3710</v>
      </c>
      <c r="C348" s="47">
        <v>345.0</v>
      </c>
      <c r="D348" s="47">
        <v>5.0</v>
      </c>
      <c r="E348" s="288">
        <v>43594.0</v>
      </c>
      <c r="F348" s="156" t="str">
        <f>HYPERLINK("https://tirto.id/tepatkah-bachtiar-nasir-ditetapkan-tersangka-pencucian-uang-dvax ","sumber")</f>
        <v>sumber</v>
      </c>
      <c r="G348" s="274" t="s">
        <v>33</v>
      </c>
      <c r="H348" s="48" t="s">
        <v>3711</v>
      </c>
      <c r="I348" s="47">
        <v>1.0</v>
      </c>
      <c r="J348" s="47">
        <v>1.0</v>
      </c>
      <c r="K348" s="157"/>
      <c r="L348" s="48"/>
      <c r="M348" s="48"/>
      <c r="N348" s="48"/>
      <c r="O348" s="48"/>
      <c r="P348" s="48"/>
      <c r="Q348" s="48"/>
      <c r="R348" s="48"/>
      <c r="S348" s="165"/>
      <c r="T348" s="48"/>
      <c r="U348" s="48"/>
      <c r="V348" s="48"/>
      <c r="W348" s="48"/>
      <c r="X348" s="48"/>
      <c r="Y348" s="47"/>
      <c r="Z348" s="43"/>
    </row>
    <row r="349" ht="14.25" customHeight="1">
      <c r="A349" s="282">
        <v>1.0</v>
      </c>
      <c r="B349" s="283" t="s">
        <v>3712</v>
      </c>
      <c r="C349" s="44">
        <v>346.0</v>
      </c>
      <c r="D349" s="44">
        <v>1.0</v>
      </c>
      <c r="E349" s="287">
        <v>43596.0</v>
      </c>
      <c r="F349" s="162" t="str">
        <f>HYPERLINK("https://sport.detik.com/sepakbola/liga-indonesia/d-4545017/simic-datang-silvio-escobar-bakal-dipinjamkan-ke-klub-lain ","sumber")</f>
        <v>sumber</v>
      </c>
      <c r="G349" s="269" t="s">
        <v>33</v>
      </c>
      <c r="H349" s="45" t="s">
        <v>3107</v>
      </c>
      <c r="I349" s="44">
        <v>2.0</v>
      </c>
      <c r="J349" s="44">
        <v>1.0</v>
      </c>
      <c r="K349" s="164" t="s">
        <v>3713</v>
      </c>
      <c r="L349" s="44">
        <v>0.0</v>
      </c>
      <c r="M349" s="44">
        <v>0.0</v>
      </c>
      <c r="N349" s="44">
        <v>0.0</v>
      </c>
      <c r="O349" s="44">
        <v>0.0</v>
      </c>
      <c r="P349" s="44">
        <v>0.0</v>
      </c>
      <c r="Q349" s="44" t="s">
        <v>61</v>
      </c>
      <c r="R349" s="44" t="s">
        <v>61</v>
      </c>
      <c r="S349" s="164"/>
      <c r="T349" s="44">
        <v>0.0</v>
      </c>
      <c r="U349" s="44">
        <v>-1.0</v>
      </c>
      <c r="V349" s="44">
        <v>0.0</v>
      </c>
      <c r="W349" s="45"/>
      <c r="X349" s="45"/>
      <c r="Y349" s="45"/>
      <c r="Z349" s="9"/>
    </row>
    <row r="350" ht="14.25" customHeight="1">
      <c r="A350" s="282">
        <v>1.0</v>
      </c>
      <c r="B350" s="283" t="s">
        <v>3714</v>
      </c>
      <c r="C350" s="44">
        <v>347.0</v>
      </c>
      <c r="D350" s="44">
        <v>8.0</v>
      </c>
      <c r="E350" s="287">
        <v>43596.0</v>
      </c>
      <c r="F350" s="162" t="str">
        <f>HYPERLINK("https://www.suara.com/bola/2019/05/11/154108/kasus-di-australia-jadi-peringatan-terakhir-untuk-marko-simic ","sumber")</f>
        <v>sumber</v>
      </c>
      <c r="G350" s="269" t="s">
        <v>33</v>
      </c>
      <c r="H350" s="45" t="s">
        <v>3715</v>
      </c>
      <c r="I350" s="44">
        <v>2.0</v>
      </c>
      <c r="J350" s="44">
        <v>1.0</v>
      </c>
      <c r="K350" s="164" t="s">
        <v>3671</v>
      </c>
      <c r="L350" s="44">
        <v>0.0</v>
      </c>
      <c r="M350" s="44">
        <v>0.0</v>
      </c>
      <c r="N350" s="44">
        <v>0.0</v>
      </c>
      <c r="O350" s="44">
        <v>0.0</v>
      </c>
      <c r="P350" s="44">
        <v>0.0</v>
      </c>
      <c r="Q350" s="44">
        <v>0.0</v>
      </c>
      <c r="R350" s="44">
        <v>0.0</v>
      </c>
      <c r="S350" s="164"/>
      <c r="T350" s="44">
        <v>0.0</v>
      </c>
      <c r="U350" s="44">
        <v>0.0</v>
      </c>
      <c r="V350" s="44">
        <v>0.0</v>
      </c>
      <c r="W350" s="45"/>
      <c r="X350" s="45"/>
      <c r="Y350" s="45"/>
      <c r="Z350" s="9"/>
    </row>
    <row r="351" ht="14.25" customHeight="1">
      <c r="A351" s="282">
        <v>1.0</v>
      </c>
      <c r="B351" s="283" t="s">
        <v>3716</v>
      </c>
      <c r="C351" s="44">
        <v>348.0</v>
      </c>
      <c r="D351" s="44">
        <v>10.0</v>
      </c>
      <c r="E351" s="287">
        <v>43599.0</v>
      </c>
      <c r="F351" s="162" t="str">
        <f>HYPERLINK("https://nasional.tempo.co/read/1205132/keanehan-kasus-vanessa-angel-misteri-rian-subroto ","sumber")</f>
        <v>sumber</v>
      </c>
      <c r="G351" s="269" t="s">
        <v>33</v>
      </c>
      <c r="H351" s="45" t="s">
        <v>3717</v>
      </c>
      <c r="I351" s="44">
        <v>1.0</v>
      </c>
      <c r="J351" s="44">
        <v>1.0</v>
      </c>
      <c r="K351" s="164" t="s">
        <v>3718</v>
      </c>
      <c r="L351" s="44">
        <v>0.0</v>
      </c>
      <c r="M351" s="44">
        <v>1.0</v>
      </c>
      <c r="N351" s="44">
        <v>0.0</v>
      </c>
      <c r="O351" s="44">
        <v>0.0</v>
      </c>
      <c r="P351" s="44">
        <v>0.0</v>
      </c>
      <c r="Q351" s="164" t="s">
        <v>202</v>
      </c>
      <c r="R351" s="164" t="s">
        <v>3719</v>
      </c>
      <c r="S351" s="164"/>
      <c r="T351" s="44">
        <v>0.0</v>
      </c>
      <c r="U351" s="44">
        <v>0.0</v>
      </c>
      <c r="V351" s="44">
        <v>0.0</v>
      </c>
      <c r="W351" s="45"/>
      <c r="X351" s="45"/>
      <c r="Y351" s="45"/>
      <c r="Z351" s="9"/>
    </row>
    <row r="352" ht="14.25" customHeight="1">
      <c r="A352" s="282">
        <v>1.0</v>
      </c>
      <c r="B352" s="283" t="s">
        <v>3720</v>
      </c>
      <c r="C352" s="44">
        <v>349.0</v>
      </c>
      <c r="D352" s="44">
        <v>6.0</v>
      </c>
      <c r="E352" s="287">
        <v>43604.0</v>
      </c>
      <c r="F352" s="162" t="str">
        <f>HYPERLINK("https://internasional.kompas.com/read/2019/05/19/11430271/remaja-14-di-india-tahun-diperkosa-3-pria-setelah-dijual-keluarganya-rp ","sumber")</f>
        <v>sumber</v>
      </c>
      <c r="G352" s="269" t="s">
        <v>33</v>
      </c>
      <c r="H352" s="45" t="s">
        <v>3721</v>
      </c>
      <c r="I352" s="44">
        <v>1.0</v>
      </c>
      <c r="J352" s="44">
        <v>1.0</v>
      </c>
      <c r="K352" s="164" t="s">
        <v>3722</v>
      </c>
      <c r="L352" s="44">
        <v>0.0</v>
      </c>
      <c r="M352" s="44">
        <v>-1.0</v>
      </c>
      <c r="N352" s="44">
        <v>0.0</v>
      </c>
      <c r="O352" s="44">
        <v>0.0</v>
      </c>
      <c r="P352" s="44">
        <v>0.0</v>
      </c>
      <c r="Q352" s="44">
        <v>0.0</v>
      </c>
      <c r="R352" s="44">
        <v>0.0</v>
      </c>
      <c r="S352" s="164"/>
      <c r="T352" s="44">
        <v>0.0</v>
      </c>
      <c r="U352" s="44">
        <v>0.0</v>
      </c>
      <c r="V352" s="44">
        <v>0.0</v>
      </c>
      <c r="W352" s="45"/>
      <c r="X352" s="45"/>
      <c r="Y352" s="45"/>
      <c r="Z352" s="9"/>
    </row>
    <row r="353" ht="14.25" customHeight="1">
      <c r="A353" s="282">
        <v>1.0</v>
      </c>
      <c r="B353" s="283" t="s">
        <v>3723</v>
      </c>
      <c r="C353" s="44">
        <v>350.0</v>
      </c>
      <c r="D353" s="44">
        <v>2.0</v>
      </c>
      <c r="E353" s="287">
        <v>43623.0</v>
      </c>
      <c r="F353" s="162" t="str">
        <f>HYPERLINK("https://www.cnnindonesia.com/olahraga/20190606131423-142-401350/neymar-absen-brasil-diklaim-bisa-juara-copa-america-2019 ","sumber")</f>
        <v>sumber</v>
      </c>
      <c r="G353" s="269" t="s">
        <v>33</v>
      </c>
      <c r="H353" s="45" t="s">
        <v>3724</v>
      </c>
      <c r="I353" s="44">
        <v>2.0</v>
      </c>
      <c r="J353" s="44">
        <v>1.0</v>
      </c>
      <c r="K353" s="164" t="s">
        <v>3725</v>
      </c>
      <c r="L353" s="44">
        <v>0.0</v>
      </c>
      <c r="M353" s="44">
        <v>0.0</v>
      </c>
      <c r="N353" s="44">
        <v>0.0</v>
      </c>
      <c r="O353" s="44">
        <v>0.0</v>
      </c>
      <c r="P353" s="44">
        <v>0.0</v>
      </c>
      <c r="Q353" s="44">
        <v>0.0</v>
      </c>
      <c r="R353" s="44">
        <v>0.0</v>
      </c>
      <c r="S353" s="164"/>
      <c r="T353" s="44">
        <v>0.0</v>
      </c>
      <c r="U353" s="44">
        <v>-1.0</v>
      </c>
      <c r="V353" s="44">
        <v>0.0</v>
      </c>
      <c r="W353" s="45"/>
      <c r="X353" s="45"/>
      <c r="Y353" s="45"/>
      <c r="Z353" s="9"/>
    </row>
    <row r="354" ht="14.25" customHeight="1">
      <c r="A354" s="189">
        <v>1.0</v>
      </c>
      <c r="B354" s="245" t="s">
        <v>3726</v>
      </c>
      <c r="C354" s="55">
        <v>351.0</v>
      </c>
      <c r="D354" s="55">
        <v>9.0</v>
      </c>
      <c r="E354" s="289">
        <v>43630.0</v>
      </c>
      <c r="F354" s="171" t="str">
        <f>HYPERLINK("https://bola.republika.co.id/berita/sepakbola/freekick/pt2h3b438/kasus-pelecehan-seksual-neymar-penuhi-panggilan-kepolisian","sumber")</f>
        <v>sumber</v>
      </c>
      <c r="G354" s="277" t="s">
        <v>33</v>
      </c>
      <c r="H354" s="55">
        <v>266.0</v>
      </c>
      <c r="I354" s="55">
        <v>1.0</v>
      </c>
      <c r="J354" s="55">
        <v>1.0</v>
      </c>
      <c r="K354" s="172" t="s">
        <v>3727</v>
      </c>
      <c r="L354" s="55">
        <v>0.0</v>
      </c>
      <c r="M354" s="55">
        <v>-1.0</v>
      </c>
      <c r="N354" s="55">
        <v>0.0</v>
      </c>
      <c r="O354" s="55">
        <v>0.0</v>
      </c>
      <c r="P354" s="55">
        <v>0.0</v>
      </c>
      <c r="Q354" s="55" t="s">
        <v>61</v>
      </c>
      <c r="R354" s="55" t="s">
        <v>61</v>
      </c>
      <c r="S354" s="172"/>
      <c r="T354" s="55">
        <v>0.0</v>
      </c>
      <c r="U354" s="55">
        <v>0.0</v>
      </c>
      <c r="V354" s="55">
        <v>0.0</v>
      </c>
      <c r="W354" s="46"/>
      <c r="X354" s="46"/>
      <c r="Y354" s="55"/>
      <c r="Z354" s="30"/>
    </row>
    <row r="355" ht="14.25" customHeight="1">
      <c r="A355" s="282">
        <v>1.0</v>
      </c>
      <c r="B355" s="283" t="s">
        <v>3728</v>
      </c>
      <c r="C355" s="44">
        <v>352.0</v>
      </c>
      <c r="D355" s="44">
        <v>5.0</v>
      </c>
      <c r="E355" s="287">
        <v>43629.0</v>
      </c>
      <c r="F355" s="162" t="str">
        <f>HYPERLINK("https://tirto.id/macet-semrawut-korupsi-solusi-pemkot-depok-jadi-kota-religius-ecj4 ","sumber")</f>
        <v>sumber</v>
      </c>
      <c r="G355" s="269" t="s">
        <v>33</v>
      </c>
      <c r="H355" s="45" t="s">
        <v>3729</v>
      </c>
      <c r="I355" s="44">
        <v>4.0</v>
      </c>
      <c r="J355" s="44">
        <v>3.0</v>
      </c>
      <c r="K355" s="164" t="s">
        <v>3730</v>
      </c>
      <c r="L355" s="44">
        <v>0.0</v>
      </c>
      <c r="M355" s="44">
        <v>0.0</v>
      </c>
      <c r="N355" s="44">
        <v>0.0</v>
      </c>
      <c r="O355" s="44">
        <v>0.0</v>
      </c>
      <c r="P355" s="44">
        <v>0.0</v>
      </c>
      <c r="Q355" s="164" t="s">
        <v>3731</v>
      </c>
      <c r="R355" s="164" t="s">
        <v>3732</v>
      </c>
      <c r="S355" s="164"/>
      <c r="T355" s="44">
        <v>0.0</v>
      </c>
      <c r="U355" s="44">
        <v>0.0</v>
      </c>
      <c r="V355" s="44">
        <v>1.0</v>
      </c>
      <c r="W355" s="45"/>
      <c r="X355" s="45"/>
      <c r="Y355" s="45"/>
      <c r="Z355" s="9"/>
    </row>
    <row r="356" ht="14.25" customHeight="1">
      <c r="A356" s="282">
        <v>1.0</v>
      </c>
      <c r="B356" s="283" t="s">
        <v>3733</v>
      </c>
      <c r="C356" s="44">
        <v>353.0</v>
      </c>
      <c r="D356" s="44">
        <v>5.0</v>
      </c>
      <c r="E356" s="287">
        <v>43630.0</v>
      </c>
      <c r="F356" s="162" t="str">
        <f>HYPERLINK("https://tirto.id/penyintas-desak-pemerintah-jepang-revisi-hukum-kekerasan-seksual-ecpl ","sumber")</f>
        <v>sumber</v>
      </c>
      <c r="G356" s="269" t="s">
        <v>33</v>
      </c>
      <c r="H356" s="45" t="s">
        <v>3355</v>
      </c>
      <c r="I356" s="44">
        <v>4.0</v>
      </c>
      <c r="J356" s="44">
        <v>1.0</v>
      </c>
      <c r="K356" s="164" t="s">
        <v>3734</v>
      </c>
      <c r="L356" s="44">
        <v>0.0</v>
      </c>
      <c r="M356" s="44">
        <v>0.0</v>
      </c>
      <c r="N356" s="44">
        <v>0.0</v>
      </c>
      <c r="O356" s="44">
        <v>0.0</v>
      </c>
      <c r="P356" s="44">
        <v>0.0</v>
      </c>
      <c r="Q356" s="44" t="s">
        <v>3735</v>
      </c>
      <c r="R356" s="164" t="s">
        <v>3736</v>
      </c>
      <c r="S356" s="164"/>
      <c r="T356" s="44">
        <v>0.0</v>
      </c>
      <c r="U356" s="44">
        <v>0.0</v>
      </c>
      <c r="V356" s="44">
        <v>1.0</v>
      </c>
      <c r="W356" s="45"/>
      <c r="X356" s="45"/>
      <c r="Y356" s="45"/>
      <c r="Z356" s="9"/>
    </row>
    <row r="357" ht="14.25" customHeight="1">
      <c r="A357" s="282">
        <v>1.0</v>
      </c>
      <c r="B357" s="283" t="s">
        <v>3737</v>
      </c>
      <c r="C357" s="44">
        <v>354.0</v>
      </c>
      <c r="D357" s="44">
        <v>4.0</v>
      </c>
      <c r="E357" s="287">
        <v>43634.0</v>
      </c>
      <c r="F357" s="162" t="str">
        <f>HYPERLINK("https://www.liputan6.com/bola/read/3992603/barcelona-ngotot-belum-akui-transfer-antoine-griezmann ","sumber")</f>
        <v>sumber</v>
      </c>
      <c r="G357" s="269" t="s">
        <v>33</v>
      </c>
      <c r="H357" s="45" t="s">
        <v>3227</v>
      </c>
      <c r="I357" s="44">
        <v>2.0</v>
      </c>
      <c r="J357" s="44">
        <v>1.0</v>
      </c>
      <c r="K357" s="164" t="s">
        <v>3738</v>
      </c>
      <c r="L357" s="44">
        <v>0.0</v>
      </c>
      <c r="M357" s="44">
        <v>0.0</v>
      </c>
      <c r="N357" s="44">
        <v>0.0</v>
      </c>
      <c r="O357" s="44">
        <v>0.0</v>
      </c>
      <c r="P357" s="44">
        <v>0.0</v>
      </c>
      <c r="Q357" s="44">
        <v>0.0</v>
      </c>
      <c r="R357" s="44">
        <v>0.0</v>
      </c>
      <c r="S357" s="164"/>
      <c r="T357" s="44">
        <v>0.0</v>
      </c>
      <c r="U357" s="44">
        <v>0.0</v>
      </c>
      <c r="V357" s="44">
        <v>0.0</v>
      </c>
      <c r="W357" s="45"/>
      <c r="X357" s="45"/>
      <c r="Y357" s="45"/>
      <c r="Z357" s="9"/>
    </row>
    <row r="358" ht="14.25" customHeight="1">
      <c r="A358" s="282">
        <v>1.0</v>
      </c>
      <c r="B358" s="283" t="s">
        <v>3739</v>
      </c>
      <c r="C358" s="44">
        <v>355.0</v>
      </c>
      <c r="D358" s="44">
        <v>3.0</v>
      </c>
      <c r="E358" s="287">
        <v>43635.0</v>
      </c>
      <c r="F358" s="162" t="str">
        <f>HYPERLINK("https://news.okezone.com/read/2019/06/18/512/2068043/lokalisasi-hendak-ditutup-muncikari-kalau-ingin-esek-esek-apa-mampu-ke-hotel-terus ","sumber")</f>
        <v>sumber</v>
      </c>
      <c r="G358" s="269" t="s">
        <v>33</v>
      </c>
      <c r="H358" s="45" t="s">
        <v>3668</v>
      </c>
      <c r="I358" s="44">
        <v>4.0</v>
      </c>
      <c r="J358" s="44">
        <v>1.0</v>
      </c>
      <c r="K358" s="164" t="s">
        <v>3740</v>
      </c>
      <c r="L358" s="44">
        <v>0.0</v>
      </c>
      <c r="M358" s="44">
        <v>0.0</v>
      </c>
      <c r="N358" s="44">
        <v>0.0</v>
      </c>
      <c r="O358" s="44">
        <v>0.0</v>
      </c>
      <c r="P358" s="44">
        <v>-1.0</v>
      </c>
      <c r="Q358" s="44" t="s">
        <v>210</v>
      </c>
      <c r="R358" s="44" t="s">
        <v>100</v>
      </c>
      <c r="S358" s="164" t="s">
        <v>3741</v>
      </c>
      <c r="T358" s="44">
        <v>6.0</v>
      </c>
      <c r="U358" s="44">
        <v>-1.0</v>
      </c>
      <c r="V358" s="44">
        <v>0.0</v>
      </c>
      <c r="W358" s="45"/>
      <c r="X358" s="45"/>
      <c r="Y358" s="45"/>
      <c r="Z358" s="9"/>
    </row>
    <row r="359" ht="14.25" customHeight="1">
      <c r="A359" s="282">
        <v>1.0</v>
      </c>
      <c r="B359" s="283" t="s">
        <v>3742</v>
      </c>
      <c r="C359" s="44">
        <v>356.0</v>
      </c>
      <c r="D359" s="44">
        <v>4.0</v>
      </c>
      <c r="E359" s="287">
        <v>43636.0</v>
      </c>
      <c r="F359" s="162" t="str">
        <f>HYPERLINK("https://www.liputan6.com/global/read/3994354/dijanjikan-rp-127-miliar-via-online-seorang-remaja-as-tega-membunuh-teman-dekat ","sumber")</f>
        <v>sumber</v>
      </c>
      <c r="G359" s="269" t="s">
        <v>33</v>
      </c>
      <c r="H359" s="45" t="s">
        <v>3743</v>
      </c>
      <c r="I359" s="44">
        <v>1.0</v>
      </c>
      <c r="J359" s="44">
        <v>1.0</v>
      </c>
      <c r="K359" s="164" t="s">
        <v>3744</v>
      </c>
      <c r="L359" s="44">
        <v>0.0</v>
      </c>
      <c r="M359" s="44">
        <v>1.0</v>
      </c>
      <c r="N359" s="44">
        <v>0.0</v>
      </c>
      <c r="O359" s="44">
        <v>0.0</v>
      </c>
      <c r="P359" s="44">
        <v>0.0</v>
      </c>
      <c r="Q359" s="164" t="s">
        <v>89</v>
      </c>
      <c r="R359" s="164" t="s">
        <v>89</v>
      </c>
      <c r="S359" s="164"/>
      <c r="T359" s="44">
        <v>0.0</v>
      </c>
      <c r="U359" s="44">
        <v>0.0</v>
      </c>
      <c r="V359" s="44">
        <v>0.0</v>
      </c>
      <c r="W359" s="45"/>
      <c r="X359" s="45"/>
      <c r="Y359" s="45"/>
      <c r="Z359" s="9"/>
    </row>
    <row r="360" ht="14.25" customHeight="1">
      <c r="A360" s="282">
        <v>1.0</v>
      </c>
      <c r="B360" s="283" t="s">
        <v>1714</v>
      </c>
      <c r="C360" s="44">
        <v>357.0</v>
      </c>
      <c r="D360" s="44">
        <v>4.0</v>
      </c>
      <c r="E360" s="287">
        <v>43638.0</v>
      </c>
      <c r="F360" s="162" t="str">
        <f>HYPERLINK("https://www.liputan6.com/global/read/3995398/pakistan-akan-bentuk-seribu-sidang-pengadilan-tentang-kekerasan-pada-perempuan ","sumber")</f>
        <v>sumber</v>
      </c>
      <c r="G360" s="269" t="s">
        <v>33</v>
      </c>
      <c r="H360" s="45" t="s">
        <v>3745</v>
      </c>
      <c r="I360" s="44">
        <v>4.0</v>
      </c>
      <c r="J360" s="44">
        <v>1.0</v>
      </c>
      <c r="K360" s="164" t="s">
        <v>3746</v>
      </c>
      <c r="L360" s="44">
        <v>0.0</v>
      </c>
      <c r="M360" s="44">
        <v>0.0</v>
      </c>
      <c r="N360" s="44">
        <v>0.0</v>
      </c>
      <c r="O360" s="44">
        <v>0.0</v>
      </c>
      <c r="P360" s="44">
        <v>0.0</v>
      </c>
      <c r="Q360" s="187" t="s">
        <v>3747</v>
      </c>
      <c r="R360" s="187" t="s">
        <v>3748</v>
      </c>
      <c r="S360" s="164"/>
      <c r="T360" s="44">
        <v>0.0</v>
      </c>
      <c r="U360" s="44">
        <v>0.0</v>
      </c>
      <c r="V360" s="44">
        <v>1.0</v>
      </c>
      <c r="W360" s="45"/>
      <c r="X360" s="45"/>
      <c r="Y360" s="45"/>
      <c r="Z360" s="9"/>
    </row>
    <row r="361" ht="14.25" customHeight="1">
      <c r="A361" s="282">
        <v>1.0</v>
      </c>
      <c r="B361" s="283" t="s">
        <v>3749</v>
      </c>
      <c r="C361" s="44">
        <v>358.0</v>
      </c>
      <c r="D361" s="44">
        <v>3.0</v>
      </c>
      <c r="E361" s="287">
        <v>43639.0</v>
      </c>
      <c r="F361" s="162" t="str">
        <f>HYPERLINK("https://celebrity.okezone.com/read/2019/06/22/33/2069673/kdrt-dan-restu-alasan-aurelie-moeremans-memilih-jadi-janda-muda ","sumber")</f>
        <v>sumber</v>
      </c>
      <c r="G361" s="269" t="s">
        <v>33</v>
      </c>
      <c r="H361" s="45" t="s">
        <v>3367</v>
      </c>
      <c r="I361" s="44">
        <v>2.0</v>
      </c>
      <c r="J361" s="44">
        <v>1.0</v>
      </c>
      <c r="K361" s="164" t="s">
        <v>3750</v>
      </c>
      <c r="L361" s="44">
        <v>0.0</v>
      </c>
      <c r="M361" s="44">
        <v>0.0</v>
      </c>
      <c r="N361" s="44">
        <v>0.0</v>
      </c>
      <c r="O361" s="44">
        <v>0.0</v>
      </c>
      <c r="P361" s="44">
        <v>0.0</v>
      </c>
      <c r="Q361" s="44" t="s">
        <v>210</v>
      </c>
      <c r="R361" s="44" t="s">
        <v>61</v>
      </c>
      <c r="S361" s="164"/>
      <c r="T361" s="44">
        <v>0.0</v>
      </c>
      <c r="U361" s="44">
        <v>-1.0</v>
      </c>
      <c r="V361" s="44">
        <v>0.0</v>
      </c>
      <c r="W361" s="45"/>
      <c r="X361" s="45"/>
      <c r="Y361" s="45"/>
      <c r="Z361" s="9"/>
    </row>
    <row r="362" ht="14.25" customHeight="1">
      <c r="A362" s="282">
        <v>1.0</v>
      </c>
      <c r="B362" s="283" t="s">
        <v>3751</v>
      </c>
      <c r="C362" s="44">
        <v>359.0</v>
      </c>
      <c r="D362" s="44">
        <v>5.0</v>
      </c>
      <c r="E362" s="287">
        <v>43639.0</v>
      </c>
      <c r="F362" s="162" t="str">
        <f>HYPERLINK("https://tirto.id/sejarah-isteri-sedar-pelopor-gerakan-feminisme-di-indonesia-ecNd ","sumber")</f>
        <v>sumber</v>
      </c>
      <c r="G362" s="269" t="s">
        <v>33</v>
      </c>
      <c r="H362" s="45" t="s">
        <v>3752</v>
      </c>
      <c r="I362" s="44">
        <v>2.0</v>
      </c>
      <c r="J362" s="44">
        <v>1.0</v>
      </c>
      <c r="K362" s="164" t="s">
        <v>3753</v>
      </c>
      <c r="L362" s="44">
        <v>0.0</v>
      </c>
      <c r="M362" s="44">
        <v>0.0</v>
      </c>
      <c r="N362" s="44">
        <v>0.0</v>
      </c>
      <c r="O362" s="44">
        <v>0.0</v>
      </c>
      <c r="P362" s="44">
        <v>0.0</v>
      </c>
      <c r="Q362" s="164" t="s">
        <v>3754</v>
      </c>
      <c r="R362" s="164" t="s">
        <v>3755</v>
      </c>
      <c r="S362" s="164"/>
      <c r="T362" s="44">
        <v>0.0</v>
      </c>
      <c r="U362" s="44">
        <v>0.0</v>
      </c>
      <c r="V362" s="44">
        <v>1.0</v>
      </c>
      <c r="W362" s="45"/>
      <c r="X362" s="45"/>
      <c r="Y362" s="45"/>
      <c r="Z362" s="9"/>
    </row>
    <row r="363" ht="14.25" customHeight="1">
      <c r="A363" s="282">
        <v>1.0</v>
      </c>
      <c r="B363" s="283" t="s">
        <v>3756</v>
      </c>
      <c r="C363" s="44">
        <v>360.0</v>
      </c>
      <c r="D363" s="44">
        <v>7.0</v>
      </c>
      <c r="E363" s="287">
        <v>43644.0</v>
      </c>
      <c r="F363" s="162" t="str">
        <f>HYPERLINK("http://www.tribunnews.com/metropolitan/2019/06/28/polisi-ringkus-muncikari-pijat-plus-plus-gay ","sumber")</f>
        <v>sumber</v>
      </c>
      <c r="G363" s="269" t="s">
        <v>33</v>
      </c>
      <c r="H363" s="45" t="s">
        <v>3064</v>
      </c>
      <c r="I363" s="44">
        <v>1.0</v>
      </c>
      <c r="J363" s="44">
        <v>3.0</v>
      </c>
      <c r="K363" s="164" t="s">
        <v>3757</v>
      </c>
      <c r="L363" s="44">
        <v>0.0</v>
      </c>
      <c r="M363" s="44">
        <v>-1.0</v>
      </c>
      <c r="N363" s="44">
        <v>0.0</v>
      </c>
      <c r="O363" s="44">
        <v>0.0</v>
      </c>
      <c r="P363" s="44">
        <v>0.0</v>
      </c>
      <c r="Q363" s="44">
        <v>0.0</v>
      </c>
      <c r="R363" s="44">
        <v>0.0</v>
      </c>
      <c r="S363" s="164" t="s">
        <v>748</v>
      </c>
      <c r="T363" s="44">
        <v>1.0</v>
      </c>
      <c r="U363" s="44">
        <v>0.0</v>
      </c>
      <c r="V363" s="44">
        <v>0.0</v>
      </c>
      <c r="W363" s="45"/>
      <c r="X363" s="45"/>
      <c r="Y363" s="45"/>
      <c r="Z363" s="9"/>
    </row>
    <row r="364" ht="14.25" customHeight="1">
      <c r="A364" s="282">
        <v>1.0</v>
      </c>
      <c r="B364" s="283" t="s">
        <v>3758</v>
      </c>
      <c r="C364" s="44">
        <v>361.0</v>
      </c>
      <c r="D364" s="44">
        <v>6.0</v>
      </c>
      <c r="E364" s="287">
        <v>43645.0</v>
      </c>
      <c r="F364" s="162" t="str">
        <f>HYPERLINK("https://entertainment.kompas.com/read/2019/06/29/124928510/terima-putusan-hakim-tapi-vanessa-angel-kurang-puas-dengan-hasilnya ","sumber")</f>
        <v>sumber</v>
      </c>
      <c r="G364" s="269" t="s">
        <v>33</v>
      </c>
      <c r="H364" s="45" t="s">
        <v>3759</v>
      </c>
      <c r="I364" s="44">
        <v>1.0</v>
      </c>
      <c r="J364" s="44">
        <v>1.0</v>
      </c>
      <c r="K364" s="164" t="s">
        <v>3567</v>
      </c>
      <c r="L364" s="44">
        <v>0.0</v>
      </c>
      <c r="M364" s="44">
        <v>-1.0</v>
      </c>
      <c r="N364" s="44">
        <v>0.0</v>
      </c>
      <c r="O364" s="44">
        <v>0.0</v>
      </c>
      <c r="P364" s="44">
        <v>0.0</v>
      </c>
      <c r="Q364" s="44">
        <v>0.0</v>
      </c>
      <c r="R364" s="44">
        <v>0.0</v>
      </c>
      <c r="S364" s="164"/>
      <c r="T364" s="44">
        <v>0.0</v>
      </c>
      <c r="U364" s="44">
        <v>0.0</v>
      </c>
      <c r="V364" s="44">
        <v>0.0</v>
      </c>
      <c r="W364" s="45"/>
      <c r="X364" s="45"/>
      <c r="Y364" s="45"/>
      <c r="Z364" s="9"/>
    </row>
    <row r="365" ht="14.25" customHeight="1">
      <c r="A365" s="282">
        <v>1.0</v>
      </c>
      <c r="B365" s="283" t="s">
        <v>3760</v>
      </c>
      <c r="C365" s="44">
        <v>362.0</v>
      </c>
      <c r="D365" s="44">
        <v>7.0</v>
      </c>
      <c r="E365" s="287">
        <v>43645.0</v>
      </c>
      <c r="F365" s="162" t="str">
        <f>HYPERLINK("http://www.tribunnews.com/seleb/2019/06/29/curhatan-saipul-jamil-yang-nangis-tiap-lihat-tv-dalam-penjara-saya-pernah-di-situ-sekarang-di-sini ","sumber")</f>
        <v>sumber</v>
      </c>
      <c r="G365" s="269" t="s">
        <v>33</v>
      </c>
      <c r="H365" s="45" t="s">
        <v>3761</v>
      </c>
      <c r="I365" s="44">
        <v>1.0</v>
      </c>
      <c r="J365" s="44">
        <v>1.0</v>
      </c>
      <c r="K365" s="164" t="s">
        <v>3762</v>
      </c>
      <c r="L365" s="44">
        <v>0.0</v>
      </c>
      <c r="M365" s="44">
        <v>-1.0</v>
      </c>
      <c r="N365" s="44">
        <v>0.0</v>
      </c>
      <c r="O365" s="44">
        <v>0.0</v>
      </c>
      <c r="P365" s="44">
        <v>-1.0</v>
      </c>
      <c r="Q365" s="44" t="s">
        <v>53</v>
      </c>
      <c r="R365" s="44" t="s">
        <v>53</v>
      </c>
      <c r="S365" s="164"/>
      <c r="T365" s="44">
        <v>0.0</v>
      </c>
      <c r="U365" s="44">
        <v>-1.0</v>
      </c>
      <c r="V365" s="44">
        <v>0.0</v>
      </c>
      <c r="W365" s="45"/>
      <c r="X365" s="45"/>
      <c r="Y365" s="45"/>
      <c r="Z365" s="9"/>
    </row>
    <row r="366" ht="14.25" customHeight="1">
      <c r="A366" s="282">
        <v>1.0</v>
      </c>
      <c r="B366" s="283" t="s">
        <v>3763</v>
      </c>
      <c r="C366" s="44">
        <v>363.0</v>
      </c>
      <c r="D366" s="44">
        <v>7.0</v>
      </c>
      <c r="E366" s="287">
        <v>43651.0</v>
      </c>
      <c r="F366" s="162" t="str">
        <f>HYPERLINK("http://www.tribunnews.com/nasional/2019/07/05/jokowi-tunggu-surat-permohonan-amnesti-baiq-nuril ","sumber")</f>
        <v>sumber</v>
      </c>
      <c r="G366" s="269" t="s">
        <v>33</v>
      </c>
      <c r="H366" s="45" t="s">
        <v>3436</v>
      </c>
      <c r="I366" s="44">
        <v>1.0</v>
      </c>
      <c r="J366" s="44">
        <v>1.0</v>
      </c>
      <c r="K366" s="164" t="s">
        <v>3764</v>
      </c>
      <c r="L366" s="44">
        <v>0.0</v>
      </c>
      <c r="M366" s="44">
        <v>1.0</v>
      </c>
      <c r="N366" s="44">
        <v>0.0</v>
      </c>
      <c r="O366" s="44">
        <v>0.0</v>
      </c>
      <c r="P366" s="44">
        <v>0.0</v>
      </c>
      <c r="Q366" s="187" t="s">
        <v>53</v>
      </c>
      <c r="R366" s="187" t="s">
        <v>2230</v>
      </c>
      <c r="S366" s="164" t="s">
        <v>3765</v>
      </c>
      <c r="T366" s="44">
        <v>2.0</v>
      </c>
      <c r="U366" s="44">
        <v>0.0</v>
      </c>
      <c r="V366" s="44">
        <v>0.0</v>
      </c>
      <c r="W366" s="45"/>
      <c r="X366" s="45"/>
      <c r="Y366" s="45"/>
      <c r="Z366" s="9"/>
    </row>
    <row r="367" ht="14.25" customHeight="1">
      <c r="A367" s="282">
        <v>1.0</v>
      </c>
      <c r="B367" s="283" t="s">
        <v>3766</v>
      </c>
      <c r="C367" s="44">
        <v>364.0</v>
      </c>
      <c r="D367" s="44">
        <v>10.0</v>
      </c>
      <c r="E367" s="287">
        <v>43652.0</v>
      </c>
      <c r="F367" s="162" t="str">
        <f>HYPERLINK("https://nasional.tempo.co/read/1221791/kurang-rp125-juta-penggalangan-dana-denda-baiq-nuril-dibuka-lagi ","sumber")</f>
        <v>sumber</v>
      </c>
      <c r="G367" s="269" t="s">
        <v>33</v>
      </c>
      <c r="H367" s="45" t="s">
        <v>3767</v>
      </c>
      <c r="I367" s="44">
        <v>1.0</v>
      </c>
      <c r="J367" s="44">
        <v>1.0</v>
      </c>
      <c r="K367" s="164" t="s">
        <v>3768</v>
      </c>
      <c r="L367" s="44">
        <v>0.0</v>
      </c>
      <c r="M367" s="44">
        <v>1.0</v>
      </c>
      <c r="N367" s="44">
        <v>0.0</v>
      </c>
      <c r="O367" s="44">
        <v>0.0</v>
      </c>
      <c r="P367" s="44">
        <v>0.0</v>
      </c>
      <c r="Q367" s="44">
        <v>1.0</v>
      </c>
      <c r="R367" s="44">
        <v>1.0</v>
      </c>
      <c r="S367" s="164"/>
      <c r="T367" s="44">
        <v>0.0</v>
      </c>
      <c r="U367" s="44">
        <v>0.0</v>
      </c>
      <c r="V367" s="44">
        <v>0.0</v>
      </c>
      <c r="W367" s="45"/>
      <c r="X367" s="45"/>
      <c r="Y367" s="45"/>
      <c r="Z367" s="9"/>
    </row>
    <row r="368" ht="14.25" customHeight="1">
      <c r="A368" s="282">
        <v>1.0</v>
      </c>
      <c r="B368" s="283" t="s">
        <v>3769</v>
      </c>
      <c r="C368" s="44">
        <v>365.0</v>
      </c>
      <c r="D368" s="44">
        <v>5.0</v>
      </c>
      <c r="E368" s="287">
        <v>43652.0</v>
      </c>
      <c r="F368" s="162" t="str">
        <f>HYPERLINK("https://tirto.id/hukuman-penjara-baiq-nuril-disebut-pukulan-telak-bagi-pemerintah-ri-edHY ","sumber")</f>
        <v>sumber</v>
      </c>
      <c r="G368" s="269" t="s">
        <v>33</v>
      </c>
      <c r="H368" s="45" t="s">
        <v>3770</v>
      </c>
      <c r="I368" s="44">
        <v>1.0</v>
      </c>
      <c r="J368" s="44">
        <v>1.0</v>
      </c>
      <c r="K368" s="164" t="s">
        <v>3771</v>
      </c>
      <c r="L368" s="44">
        <v>0.0</v>
      </c>
      <c r="M368" s="44">
        <v>1.0</v>
      </c>
      <c r="N368" s="44">
        <v>0.0</v>
      </c>
      <c r="O368" s="44">
        <v>0.0</v>
      </c>
      <c r="P368" s="44">
        <v>0.0</v>
      </c>
      <c r="Q368" s="44">
        <v>1.0</v>
      </c>
      <c r="R368" s="44">
        <v>1.0</v>
      </c>
      <c r="S368" s="164"/>
      <c r="T368" s="44">
        <v>0.0</v>
      </c>
      <c r="U368" s="44">
        <v>0.0</v>
      </c>
      <c r="V368" s="44">
        <v>1.0</v>
      </c>
      <c r="W368" s="45"/>
      <c r="X368" s="45"/>
      <c r="Y368" s="45"/>
      <c r="Z368" s="9"/>
    </row>
    <row r="369" ht="14.25" customHeight="1">
      <c r="A369" s="282">
        <v>1.0</v>
      </c>
      <c r="B369" s="283" t="s">
        <v>3772</v>
      </c>
      <c r="C369" s="44">
        <v>366.0</v>
      </c>
      <c r="D369" s="44">
        <v>7.0</v>
      </c>
      <c r="E369" s="287">
        <v>43654.0</v>
      </c>
      <c r="F369" s="162" t="str">
        <f>HYPERLINK("https://www.tribunnews.com/nasional/2019/07/08/berita-terkini-kasus-baiq-nuril-menkumham-sebut-jokowi-beri-perhatian-serius-segera-beri-amnesti ","sumber")</f>
        <v>sumber</v>
      </c>
      <c r="G369" s="269" t="s">
        <v>33</v>
      </c>
      <c r="H369" s="45" t="s">
        <v>3773</v>
      </c>
      <c r="I369" s="44">
        <v>1.0</v>
      </c>
      <c r="J369" s="44">
        <v>1.0</v>
      </c>
      <c r="K369" s="164" t="s">
        <v>3774</v>
      </c>
      <c r="L369" s="44">
        <v>0.0</v>
      </c>
      <c r="M369" s="44">
        <v>1.0</v>
      </c>
      <c r="N369" s="44">
        <v>0.0</v>
      </c>
      <c r="O369" s="44">
        <v>0.0</v>
      </c>
      <c r="P369" s="44">
        <v>0.0</v>
      </c>
      <c r="Q369" s="187" t="s">
        <v>53</v>
      </c>
      <c r="R369" s="187" t="s">
        <v>1682</v>
      </c>
      <c r="S369" s="164"/>
      <c r="T369" s="44">
        <v>0.0</v>
      </c>
      <c r="U369" s="44">
        <v>0.0</v>
      </c>
      <c r="V369" s="44">
        <v>0.0</v>
      </c>
      <c r="W369" s="45"/>
      <c r="X369" s="45"/>
      <c r="Y369" s="45"/>
      <c r="Z369" s="9"/>
    </row>
    <row r="370" ht="14.25" customHeight="1">
      <c r="A370" s="282">
        <v>1.0</v>
      </c>
      <c r="B370" s="283" t="s">
        <v>3775</v>
      </c>
      <c r="C370" s="44">
        <v>367.0</v>
      </c>
      <c r="D370" s="44">
        <v>1.0</v>
      </c>
      <c r="E370" s="287">
        <v>43658.0</v>
      </c>
      <c r="F370" s="162" t="str">
        <f>HYPERLINK("https://news.detik.com/berita-jawa-tengah/d-4621521/keterlaluan-remaja-di-tegal-ini-tega-sodomi-seorang-balita ","sumber")</f>
        <v>sumber</v>
      </c>
      <c r="G370" s="269" t="s">
        <v>33</v>
      </c>
      <c r="H370" s="45" t="s">
        <v>3776</v>
      </c>
      <c r="I370" s="44">
        <v>1.0</v>
      </c>
      <c r="J370" s="44">
        <v>3.0</v>
      </c>
      <c r="K370" s="164" t="s">
        <v>3777</v>
      </c>
      <c r="L370" s="44">
        <v>0.0</v>
      </c>
      <c r="M370" s="44">
        <v>-1.0</v>
      </c>
      <c r="N370" s="44">
        <v>0.0</v>
      </c>
      <c r="O370" s="44">
        <v>0.0</v>
      </c>
      <c r="P370" s="44">
        <v>-1.0</v>
      </c>
      <c r="Q370" s="44">
        <v>0.0</v>
      </c>
      <c r="R370" s="44">
        <v>0.0</v>
      </c>
      <c r="S370" s="164" t="s">
        <v>3778</v>
      </c>
      <c r="T370" s="44">
        <v>2.0</v>
      </c>
      <c r="U370" s="44">
        <v>0.0</v>
      </c>
      <c r="V370" s="44">
        <v>0.0</v>
      </c>
      <c r="W370" s="45"/>
      <c r="X370" s="45"/>
      <c r="Y370" s="45"/>
      <c r="Z370" s="9"/>
    </row>
    <row r="371" ht="14.25" customHeight="1">
      <c r="A371" s="214">
        <v>2.0</v>
      </c>
      <c r="B371" s="285" t="s">
        <v>3779</v>
      </c>
      <c r="C371" s="47">
        <v>368.0</v>
      </c>
      <c r="D371" s="47">
        <v>6.0</v>
      </c>
      <c r="E371" s="288">
        <v>43660.0</v>
      </c>
      <c r="F371" s="156" t="str">
        <f>HYPERLINK("https://entertainment.kompas.com/read/2019/07/14/165300310/soal-kdrt-kuasa-hukum-minta-nikita-mirzani-dan-dipo-latief ","sumber")</f>
        <v>sumber</v>
      </c>
      <c r="G371" s="274" t="s">
        <v>33</v>
      </c>
      <c r="H371" s="48" t="s">
        <v>2992</v>
      </c>
      <c r="I371" s="47">
        <v>1.0</v>
      </c>
      <c r="J371" s="47">
        <v>5.0</v>
      </c>
      <c r="K371" s="165"/>
      <c r="L371" s="48"/>
      <c r="M371" s="48"/>
      <c r="N371" s="48"/>
      <c r="O371" s="48"/>
      <c r="P371" s="48"/>
      <c r="Q371" s="48"/>
      <c r="R371" s="48"/>
      <c r="S371" s="157"/>
      <c r="T371" s="48"/>
      <c r="U371" s="48"/>
      <c r="V371" s="48"/>
      <c r="W371" s="48"/>
      <c r="X371" s="48"/>
      <c r="Y371" s="47"/>
      <c r="Z371" s="43"/>
    </row>
    <row r="372" ht="14.25" customHeight="1">
      <c r="A372" s="189">
        <v>1.0</v>
      </c>
      <c r="B372" s="77" t="s">
        <v>3780</v>
      </c>
      <c r="C372" s="55">
        <v>369.0</v>
      </c>
      <c r="D372" s="55">
        <v>6.0</v>
      </c>
      <c r="E372" s="296">
        <v>43662.0</v>
      </c>
      <c r="F372" s="171" t="str">
        <f>HYPERLINK("https://regional.kompas.com/read/2019/07/16/16251131/santri-korban-pencabulan-pimpinan-pesantren-di-aceh-didampingi-psikolog","sumber")</f>
        <v>sumber</v>
      </c>
      <c r="G372" s="277" t="s">
        <v>33</v>
      </c>
      <c r="H372" s="55">
        <v>187.0</v>
      </c>
      <c r="I372" s="55">
        <v>1.0</v>
      </c>
      <c r="J372" s="55">
        <v>1.0</v>
      </c>
      <c r="K372" s="172" t="s">
        <v>3781</v>
      </c>
      <c r="L372" s="55">
        <v>0.0</v>
      </c>
      <c r="M372" s="55">
        <v>1.0</v>
      </c>
      <c r="N372" s="55">
        <v>0.0</v>
      </c>
      <c r="O372" s="55">
        <v>0.0</v>
      </c>
      <c r="P372" s="55">
        <v>0.0</v>
      </c>
      <c r="Q372" s="55">
        <v>0.0</v>
      </c>
      <c r="R372" s="55">
        <v>1.0</v>
      </c>
      <c r="S372" s="172" t="s">
        <v>3674</v>
      </c>
      <c r="T372" s="55">
        <v>2.0</v>
      </c>
      <c r="U372" s="55">
        <v>0.0</v>
      </c>
      <c r="V372" s="55">
        <v>0.0</v>
      </c>
      <c r="W372" s="46"/>
      <c r="X372" s="46"/>
      <c r="Y372" s="55"/>
      <c r="Z372" s="30"/>
    </row>
    <row r="373" ht="14.25" customHeight="1">
      <c r="A373" s="189">
        <v>1.0</v>
      </c>
      <c r="B373" s="245" t="s">
        <v>3782</v>
      </c>
      <c r="C373" s="55">
        <v>370.0</v>
      </c>
      <c r="D373" s="55">
        <v>3.0</v>
      </c>
      <c r="E373" s="289">
        <v>43677.0</v>
      </c>
      <c r="F373" s="171" t="str">
        <f>HYPERLINK("https://celebrity.okezone.com/read/2019/07/30/33/2085453/cupi-cupita-akui-sering-alami-pelecehan-seksual","sumber")</f>
        <v>sumber</v>
      </c>
      <c r="G373" s="277" t="s">
        <v>33</v>
      </c>
      <c r="H373" s="55">
        <v>274.0</v>
      </c>
      <c r="I373" s="55">
        <v>2.0</v>
      </c>
      <c r="J373" s="55">
        <v>1.0</v>
      </c>
      <c r="K373" s="172" t="s">
        <v>3783</v>
      </c>
      <c r="L373" s="55">
        <v>0.0</v>
      </c>
      <c r="M373" s="55">
        <v>0.0</v>
      </c>
      <c r="N373" s="55">
        <v>0.0</v>
      </c>
      <c r="O373" s="55">
        <v>0.0</v>
      </c>
      <c r="P373" s="55">
        <v>0.0</v>
      </c>
      <c r="Q373" s="55">
        <v>2.0</v>
      </c>
      <c r="R373" s="55">
        <v>0.0</v>
      </c>
      <c r="S373" s="172" t="s">
        <v>3784</v>
      </c>
      <c r="T373" s="55">
        <v>1.0</v>
      </c>
      <c r="U373" s="55">
        <v>0.0</v>
      </c>
      <c r="V373" s="55">
        <v>0.0</v>
      </c>
      <c r="W373" s="46"/>
      <c r="X373" s="46"/>
      <c r="Y373" s="55"/>
      <c r="Z373" s="30"/>
    </row>
    <row r="374" ht="14.25" customHeight="1">
      <c r="A374" s="282">
        <v>1.0</v>
      </c>
      <c r="B374" s="283" t="s">
        <v>292</v>
      </c>
      <c r="C374" s="44">
        <v>371.0</v>
      </c>
      <c r="D374" s="44">
        <v>4.0</v>
      </c>
      <c r="E374" s="287">
        <v>43664.0</v>
      </c>
      <c r="F374" s="162" t="str">
        <f>HYPERLINK("https://www.liputan6.com/showbiz/read/4015795/saat-ditangkap-polisi-kang-ji-hwan-sedang-asyik-karaoke ","sumber")</f>
        <v>sumber</v>
      </c>
      <c r="G374" s="269" t="s">
        <v>33</v>
      </c>
      <c r="H374" s="45" t="s">
        <v>3023</v>
      </c>
      <c r="I374" s="44">
        <v>1.0</v>
      </c>
      <c r="J374" s="44">
        <v>1.0</v>
      </c>
      <c r="K374" s="164" t="s">
        <v>3633</v>
      </c>
      <c r="L374" s="44">
        <v>0.0</v>
      </c>
      <c r="M374" s="44">
        <v>-1.0</v>
      </c>
      <c r="N374" s="44">
        <v>0.0</v>
      </c>
      <c r="O374" s="44">
        <v>0.0</v>
      </c>
      <c r="P374" s="44">
        <v>0.0</v>
      </c>
      <c r="Q374" s="44">
        <v>0.0</v>
      </c>
      <c r="R374" s="44">
        <v>0.0</v>
      </c>
      <c r="S374" s="164"/>
      <c r="T374" s="44">
        <v>0.0</v>
      </c>
      <c r="U374" s="44">
        <v>0.0</v>
      </c>
      <c r="V374" s="44">
        <v>0.0</v>
      </c>
      <c r="W374" s="45"/>
      <c r="X374" s="45"/>
      <c r="Y374" s="45"/>
      <c r="Z374" s="9"/>
    </row>
    <row r="375" ht="14.25" customHeight="1">
      <c r="A375" s="189">
        <v>1.0</v>
      </c>
      <c r="B375" s="245" t="s">
        <v>3785</v>
      </c>
      <c r="C375" s="55">
        <v>372.0</v>
      </c>
      <c r="D375" s="55">
        <v>9.0</v>
      </c>
      <c r="E375" s="289">
        <v>43652.0</v>
      </c>
      <c r="F375" s="171" t="str">
        <f>HYPERLINK("https://nasional.republika.co.id/berita/pu7v2b459/ruu-pks-kembali-didesak-untuk-lekas-disahkan","sumber")</f>
        <v>sumber</v>
      </c>
      <c r="G375" s="277" t="s">
        <v>33</v>
      </c>
      <c r="H375" s="55">
        <v>38.0</v>
      </c>
      <c r="I375" s="55">
        <v>4.0</v>
      </c>
      <c r="J375" s="55">
        <v>1.0</v>
      </c>
      <c r="K375" s="172" t="s">
        <v>3786</v>
      </c>
      <c r="L375" s="55">
        <v>0.0</v>
      </c>
      <c r="M375" s="55">
        <v>0.0</v>
      </c>
      <c r="N375" s="55">
        <v>0.0</v>
      </c>
      <c r="O375" s="55">
        <v>0.0</v>
      </c>
      <c r="P375" s="55">
        <v>0.0</v>
      </c>
      <c r="Q375" s="55" t="s">
        <v>100</v>
      </c>
      <c r="R375" s="55" t="s">
        <v>100</v>
      </c>
      <c r="S375" s="172" t="s">
        <v>3787</v>
      </c>
      <c r="T375" s="55">
        <v>1.0</v>
      </c>
      <c r="U375" s="55">
        <v>0.0</v>
      </c>
      <c r="V375" s="55">
        <v>0.0</v>
      </c>
      <c r="W375" s="46"/>
      <c r="X375" s="46"/>
      <c r="Y375" s="55"/>
      <c r="Z375" s="30"/>
    </row>
    <row r="376" ht="14.25" customHeight="1">
      <c r="A376" s="282">
        <v>1.0</v>
      </c>
      <c r="B376" s="283" t="s">
        <v>3788</v>
      </c>
      <c r="C376" s="44">
        <v>373.0</v>
      </c>
      <c r="D376" s="44">
        <v>2.0</v>
      </c>
      <c r="E376" s="287">
        <v>43667.0</v>
      </c>
      <c r="F376" s="162" t="str">
        <f>HYPERLINK("https://www.cnnindonesia.com/nasional/20190720194005-12-413996/komisi-i-dpr-sebut-revisi-uu-ite-tak-masuk-prolegnas ","sumber")</f>
        <v>sumber</v>
      </c>
      <c r="G376" s="269" t="s">
        <v>33</v>
      </c>
      <c r="H376" s="45" t="s">
        <v>3789</v>
      </c>
      <c r="I376" s="44">
        <v>4.0</v>
      </c>
      <c r="J376" s="44">
        <v>1.0</v>
      </c>
      <c r="K376" s="164" t="s">
        <v>3790</v>
      </c>
      <c r="L376" s="44">
        <v>0.0</v>
      </c>
      <c r="M376" s="44">
        <v>0.0</v>
      </c>
      <c r="N376" s="44">
        <v>0.0</v>
      </c>
      <c r="O376" s="44">
        <v>0.0</v>
      </c>
      <c r="P376" s="44">
        <v>0.0</v>
      </c>
      <c r="Q376" s="44" t="s">
        <v>61</v>
      </c>
      <c r="R376" s="44" t="s">
        <v>100</v>
      </c>
      <c r="S376" s="164"/>
      <c r="T376" s="44">
        <v>0.0</v>
      </c>
      <c r="U376" s="44">
        <v>0.0</v>
      </c>
      <c r="V376" s="44">
        <v>0.0</v>
      </c>
      <c r="W376" s="45"/>
      <c r="X376" s="45"/>
      <c r="Y376" s="45"/>
      <c r="Z376" s="9"/>
    </row>
    <row r="377" ht="14.25" customHeight="1">
      <c r="A377" s="189">
        <v>1.0</v>
      </c>
      <c r="B377" s="245" t="s">
        <v>3791</v>
      </c>
      <c r="C377" s="55">
        <v>374.0</v>
      </c>
      <c r="D377" s="55">
        <v>9.0</v>
      </c>
      <c r="E377" s="289">
        <v>43653.0</v>
      </c>
      <c r="F377" s="171" t="str">
        <f>HYPERLINK("https://nasional.republika.co.id/berita/pu8ib6377/baiq-nuril-yang-mendunia","sumber")</f>
        <v>sumber</v>
      </c>
      <c r="G377" s="277" t="s">
        <v>33</v>
      </c>
      <c r="H377" s="55">
        <v>183.0</v>
      </c>
      <c r="I377" s="55">
        <v>1.0</v>
      </c>
      <c r="J377" s="55">
        <v>1.0</v>
      </c>
      <c r="K377" s="172" t="s">
        <v>3786</v>
      </c>
      <c r="L377" s="55">
        <v>0.0</v>
      </c>
      <c r="M377" s="55">
        <v>1.0</v>
      </c>
      <c r="N377" s="55">
        <v>0.0</v>
      </c>
      <c r="O377" s="55">
        <v>0.0</v>
      </c>
      <c r="P377" s="55">
        <v>0.0</v>
      </c>
      <c r="Q377" s="55" t="s">
        <v>100</v>
      </c>
      <c r="R377" s="55" t="s">
        <v>100</v>
      </c>
      <c r="S377" s="172"/>
      <c r="T377" s="55">
        <v>0.0</v>
      </c>
      <c r="U377" s="55">
        <v>0.0</v>
      </c>
      <c r="V377" s="55">
        <v>0.0</v>
      </c>
      <c r="W377" s="46"/>
      <c r="X377" s="46"/>
      <c r="Y377" s="55"/>
      <c r="Z377" s="30"/>
    </row>
    <row r="378" ht="14.25" customHeight="1">
      <c r="A378" s="282">
        <v>1.0</v>
      </c>
      <c r="B378" s="283" t="s">
        <v>3792</v>
      </c>
      <c r="C378" s="44">
        <v>375.0</v>
      </c>
      <c r="D378" s="44">
        <v>4.0</v>
      </c>
      <c r="E378" s="287">
        <v>43669.0</v>
      </c>
      <c r="F378" s="162" t="str">
        <f>HYPERLINK("https://www.liputan6.com/global/read/4019230/protes-massa-terbesar-di-puerto-rico-desak-gubernur-lengser ","sumber")</f>
        <v>sumber</v>
      </c>
      <c r="G378" s="269" t="s">
        <v>33</v>
      </c>
      <c r="H378" s="45" t="s">
        <v>3793</v>
      </c>
      <c r="I378" s="44">
        <v>1.0</v>
      </c>
      <c r="J378" s="44">
        <v>3.0</v>
      </c>
      <c r="K378" s="164" t="s">
        <v>3794</v>
      </c>
      <c r="L378" s="44">
        <v>0.0</v>
      </c>
      <c r="M378" s="44">
        <v>1.0</v>
      </c>
      <c r="N378" s="44">
        <v>0.0</v>
      </c>
      <c r="O378" s="44">
        <v>0.0</v>
      </c>
      <c r="P378" s="44">
        <v>0.0</v>
      </c>
      <c r="Q378" s="164" t="s">
        <v>202</v>
      </c>
      <c r="R378" s="164" t="s">
        <v>202</v>
      </c>
      <c r="S378" s="164"/>
      <c r="T378" s="44">
        <v>0.0</v>
      </c>
      <c r="U378" s="44">
        <v>0.0</v>
      </c>
      <c r="V378" s="44">
        <v>0.0</v>
      </c>
      <c r="W378" s="45"/>
      <c r="X378" s="45"/>
      <c r="Y378" s="45"/>
      <c r="Z378" s="9"/>
    </row>
    <row r="379" ht="14.25" customHeight="1">
      <c r="A379" s="282">
        <v>1.0</v>
      </c>
      <c r="B379" s="283" t="s">
        <v>3795</v>
      </c>
      <c r="C379" s="44">
        <v>376.0</v>
      </c>
      <c r="D379" s="44">
        <v>5.0</v>
      </c>
      <c r="E379" s="287">
        <v>43671.0</v>
      </c>
      <c r="F379" s="162" t="str">
        <f>HYPERLINK("https://tirto.id/ruu-pks-cepat-selesai-jika-tak-dicampuri-kepentingan-politik-ee2n ","sumber")</f>
        <v>sumber</v>
      </c>
      <c r="G379" s="269" t="s">
        <v>33</v>
      </c>
      <c r="H379" s="45" t="s">
        <v>3054</v>
      </c>
      <c r="I379" s="44">
        <v>4.0</v>
      </c>
      <c r="J379" s="44">
        <v>1.0</v>
      </c>
      <c r="K379" s="164" t="s">
        <v>3796</v>
      </c>
      <c r="L379" s="44">
        <v>0.0</v>
      </c>
      <c r="M379" s="44">
        <v>0.0</v>
      </c>
      <c r="N379" s="44">
        <v>0.0</v>
      </c>
      <c r="O379" s="44">
        <v>0.0</v>
      </c>
      <c r="P379" s="44">
        <v>0.0</v>
      </c>
      <c r="Q379" s="44">
        <v>0.0</v>
      </c>
      <c r="R379" s="44">
        <v>1.0</v>
      </c>
      <c r="S379" s="164"/>
      <c r="T379" s="44">
        <v>0.0</v>
      </c>
      <c r="U379" s="44">
        <v>0.0</v>
      </c>
      <c r="V379" s="44">
        <v>1.0</v>
      </c>
      <c r="W379" s="45"/>
      <c r="X379" s="45"/>
      <c r="Y379" s="45"/>
      <c r="Z379" s="9"/>
    </row>
    <row r="380" ht="14.25" customHeight="1">
      <c r="A380" s="282">
        <v>1.0</v>
      </c>
      <c r="B380" s="283" t="s">
        <v>3797</v>
      </c>
      <c r="C380" s="44">
        <v>377.0</v>
      </c>
      <c r="D380" s="44">
        <v>8.0</v>
      </c>
      <c r="E380" s="287">
        <v>43672.0</v>
      </c>
      <c r="F380" s="162" t="str">
        <f>HYPERLINK("https://www.suara.com/news/2019/07/26/071000/anies-terapkan-kebijakan-ahok-sindiran-kocak-ditjen-pajak-soal-gaji8juta ","sumber")</f>
        <v>sumber</v>
      </c>
      <c r="G380" s="269" t="s">
        <v>33</v>
      </c>
      <c r="H380" s="45" t="s">
        <v>3798</v>
      </c>
      <c r="I380" s="44">
        <v>1.0</v>
      </c>
      <c r="J380" s="44">
        <v>1.0</v>
      </c>
      <c r="K380" s="164" t="s">
        <v>3799</v>
      </c>
      <c r="L380" s="44">
        <v>0.0</v>
      </c>
      <c r="M380" s="44">
        <v>-1.0</v>
      </c>
      <c r="N380" s="44">
        <v>0.0</v>
      </c>
      <c r="O380" s="44">
        <v>0.0</v>
      </c>
      <c r="P380" s="44">
        <v>0.0</v>
      </c>
      <c r="Q380" s="44">
        <v>0.0</v>
      </c>
      <c r="R380" s="44">
        <v>0.0</v>
      </c>
      <c r="S380" s="164"/>
      <c r="T380" s="44">
        <v>0.0</v>
      </c>
      <c r="U380" s="44">
        <v>0.0</v>
      </c>
      <c r="V380" s="44">
        <v>0.0</v>
      </c>
      <c r="W380" s="45"/>
      <c r="X380" s="45"/>
      <c r="Y380" s="45"/>
      <c r="Z380" s="9"/>
    </row>
    <row r="381" ht="14.25" customHeight="1">
      <c r="A381" s="282">
        <v>1.0</v>
      </c>
      <c r="B381" s="283" t="s">
        <v>3800</v>
      </c>
      <c r="C381" s="44">
        <v>378.0</v>
      </c>
      <c r="D381" s="44">
        <v>2.0</v>
      </c>
      <c r="E381" s="287">
        <v>43673.0</v>
      </c>
      <c r="F381" s="162" t="str">
        <f>HYPERLINK("https://www.cnnindonesia.com/gaya-hidup/20190726155924-282-415815/fotografer-kim-kardashian-dan-vs-terseret-kasus-predator-seks ","sumber")</f>
        <v>sumber</v>
      </c>
      <c r="G381" s="269" t="s">
        <v>33</v>
      </c>
      <c r="H381" s="45" t="s">
        <v>3711</v>
      </c>
      <c r="I381" s="44">
        <v>1.0</v>
      </c>
      <c r="J381" s="44">
        <v>1.0</v>
      </c>
      <c r="K381" s="164" t="s">
        <v>3801</v>
      </c>
      <c r="L381" s="44">
        <v>0.0</v>
      </c>
      <c r="M381" s="44">
        <v>1.0</v>
      </c>
      <c r="N381" s="44">
        <v>0.0</v>
      </c>
      <c r="O381" s="44">
        <v>0.0</v>
      </c>
      <c r="P381" s="44">
        <v>0.0</v>
      </c>
      <c r="Q381" s="164" t="s">
        <v>3802</v>
      </c>
      <c r="R381" s="164" t="s">
        <v>3803</v>
      </c>
      <c r="S381" s="164"/>
      <c r="T381" s="44">
        <v>0.0</v>
      </c>
      <c r="U381" s="44">
        <v>0.0</v>
      </c>
      <c r="V381" s="44">
        <v>1.0</v>
      </c>
      <c r="W381" s="45"/>
      <c r="X381" s="45"/>
      <c r="Y381" s="45"/>
      <c r="Z381" s="9"/>
    </row>
    <row r="382" ht="14.25" customHeight="1">
      <c r="A382" s="282">
        <v>1.0</v>
      </c>
      <c r="B382" s="283" t="s">
        <v>3804</v>
      </c>
      <c r="C382" s="44">
        <v>379.0</v>
      </c>
      <c r="D382" s="44">
        <v>8.0</v>
      </c>
      <c r="E382" s="287">
        <v>43673.0</v>
      </c>
      <c r="F382" s="162" t="str">
        <f>HYPERLINK("https://www.suara.com/news/2019/07/27/154616/selamatkan-korban-pelecehan-di-kereta-aksi-pria-ini-panen-sanjungan ","sumber")</f>
        <v>sumber</v>
      </c>
      <c r="G382" s="269" t="s">
        <v>33</v>
      </c>
      <c r="H382" s="45" t="s">
        <v>3023</v>
      </c>
      <c r="I382" s="44">
        <v>1.0</v>
      </c>
      <c r="J382" s="44">
        <v>1.0</v>
      </c>
      <c r="K382" s="164" t="s">
        <v>3805</v>
      </c>
      <c r="L382" s="44">
        <v>0.0</v>
      </c>
      <c r="M382" s="188">
        <v>0.0</v>
      </c>
      <c r="N382" s="44">
        <v>0.0</v>
      </c>
      <c r="O382" s="44">
        <v>0.0</v>
      </c>
      <c r="P382" s="44">
        <v>0.0</v>
      </c>
      <c r="Q382" s="44" t="s">
        <v>202</v>
      </c>
      <c r="R382" s="44" t="s">
        <v>202</v>
      </c>
      <c r="S382" s="164"/>
      <c r="T382" s="44">
        <v>0.0</v>
      </c>
      <c r="U382" s="44">
        <v>0.0</v>
      </c>
      <c r="V382" s="44">
        <v>0.0</v>
      </c>
      <c r="W382" s="45"/>
      <c r="X382" s="45"/>
      <c r="Y382" s="45"/>
      <c r="Z382" s="9"/>
    </row>
    <row r="383" ht="14.25" customHeight="1">
      <c r="A383" s="282">
        <v>1.0</v>
      </c>
      <c r="B383" s="283" t="s">
        <v>3806</v>
      </c>
      <c r="C383" s="44">
        <v>380.0</v>
      </c>
      <c r="D383" s="44">
        <v>7.0</v>
      </c>
      <c r="E383" s="287">
        <v>43679.0</v>
      </c>
      <c r="F383" s="162" t="str">
        <f>HYPERLINK("https://www.tribunnews.com/regional/2019/08/02/seorang-pria-gagal-perkosa-lisa-kenalannya-di-sosmed-setelah-diinterogasi-ternyata-sama-sama-lelaki ","sumber")</f>
        <v>sumber</v>
      </c>
      <c r="G383" s="269" t="s">
        <v>33</v>
      </c>
      <c r="H383" s="45" t="s">
        <v>3807</v>
      </c>
      <c r="I383" s="44">
        <v>1.0</v>
      </c>
      <c r="J383" s="44">
        <v>5.0</v>
      </c>
      <c r="K383" s="164" t="s">
        <v>3808</v>
      </c>
      <c r="L383" s="44">
        <v>0.0</v>
      </c>
      <c r="M383" s="44">
        <v>-1.0</v>
      </c>
      <c r="N383" s="44">
        <v>-1.0</v>
      </c>
      <c r="O383" s="44">
        <v>0.0</v>
      </c>
      <c r="P383" s="44">
        <v>0.0</v>
      </c>
      <c r="Q383" s="44" t="s">
        <v>119</v>
      </c>
      <c r="R383" s="44" t="s">
        <v>61</v>
      </c>
      <c r="S383" s="164"/>
      <c r="T383" s="44">
        <v>0.0</v>
      </c>
      <c r="U383" s="44">
        <v>0.0</v>
      </c>
      <c r="V383" s="44">
        <v>0.0</v>
      </c>
      <c r="W383" s="45"/>
      <c r="X383" s="45"/>
      <c r="Y383" s="45"/>
      <c r="Z383" s="9"/>
    </row>
    <row r="384" ht="14.25" customHeight="1">
      <c r="A384" s="189">
        <v>1.0</v>
      </c>
      <c r="B384" s="245" t="s">
        <v>3809</v>
      </c>
      <c r="C384" s="55">
        <v>381.0</v>
      </c>
      <c r="D384" s="55">
        <v>5.0</v>
      </c>
      <c r="E384" s="289">
        <v>43708.0</v>
      </c>
      <c r="F384" s="171" t="str">
        <f>HYPERLINK("https://tirto.id/hukuman-kebiri-masih-dimasalahkan-kok-aparat-diberi-penghargaan-ehe3","sumber")</f>
        <v>sumber</v>
      </c>
      <c r="G384" s="277" t="s">
        <v>33</v>
      </c>
      <c r="H384" s="55">
        <v>631.0</v>
      </c>
      <c r="I384" s="55">
        <v>4.0</v>
      </c>
      <c r="J384" s="55">
        <v>1.0</v>
      </c>
      <c r="K384" s="172" t="s">
        <v>3810</v>
      </c>
      <c r="L384" s="55">
        <v>0.0</v>
      </c>
      <c r="M384" s="55">
        <v>0.0</v>
      </c>
      <c r="N384" s="55">
        <v>0.0</v>
      </c>
      <c r="O384" s="55">
        <v>0.0</v>
      </c>
      <c r="P384" s="55">
        <v>0.0</v>
      </c>
      <c r="Q384" s="302" t="s">
        <v>3811</v>
      </c>
      <c r="R384" s="302" t="s">
        <v>3812</v>
      </c>
      <c r="S384" s="172"/>
      <c r="T384" s="55">
        <v>0.0</v>
      </c>
      <c r="U384" s="55">
        <v>0.0</v>
      </c>
      <c r="V384" s="55">
        <v>1.0</v>
      </c>
      <c r="W384" s="46"/>
      <c r="X384" s="46"/>
      <c r="Y384" s="55"/>
      <c r="Z384" s="30"/>
    </row>
    <row r="385" ht="14.25" customHeight="1">
      <c r="A385" s="214">
        <v>2.0</v>
      </c>
      <c r="B385" s="285" t="s">
        <v>3813</v>
      </c>
      <c r="C385" s="47">
        <v>382.0</v>
      </c>
      <c r="D385" s="47">
        <v>5.0</v>
      </c>
      <c r="E385" s="288">
        <v>43697.0</v>
      </c>
      <c r="F385" s="156" t="str">
        <f>HYPERLINK("https://tirto.id/rusuh-di-papua-barat-karena-rasisme-bukan-yang-lain-egAf ","sumber")</f>
        <v>sumber</v>
      </c>
      <c r="G385" s="274" t="s">
        <v>33</v>
      </c>
      <c r="H385" s="48" t="s">
        <v>3814</v>
      </c>
      <c r="I385" s="47">
        <v>1.0</v>
      </c>
      <c r="J385" s="47">
        <v>5.0</v>
      </c>
      <c r="K385" s="165"/>
      <c r="L385" s="48"/>
      <c r="M385" s="48"/>
      <c r="N385" s="48"/>
      <c r="O385" s="48"/>
      <c r="P385" s="48"/>
      <c r="Q385" s="48"/>
      <c r="R385" s="48"/>
      <c r="S385" s="165"/>
      <c r="T385" s="48"/>
      <c r="U385" s="48"/>
      <c r="V385" s="48"/>
      <c r="W385" s="48"/>
      <c r="X385" s="48"/>
      <c r="Y385" s="47"/>
      <c r="Z385" s="43"/>
    </row>
    <row r="386" ht="14.25" customHeight="1">
      <c r="A386" s="282">
        <v>1.0</v>
      </c>
      <c r="B386" s="283" t="s">
        <v>1777</v>
      </c>
      <c r="C386" s="44">
        <v>383.0</v>
      </c>
      <c r="D386" s="44">
        <v>10.0</v>
      </c>
      <c r="E386" s="287">
        <v>43701.0</v>
      </c>
      <c r="F386" s="162" t="str">
        <f>HYPERLINK("https://dunia.tempo.co/read/1239776/google-melarang-karyawan-diskusi-politik ","sumber")</f>
        <v>sumber</v>
      </c>
      <c r="G386" s="269" t="s">
        <v>33</v>
      </c>
      <c r="H386" s="45" t="s">
        <v>3815</v>
      </c>
      <c r="I386" s="44">
        <v>2.0</v>
      </c>
      <c r="J386" s="44">
        <v>1.0</v>
      </c>
      <c r="K386" s="164" t="s">
        <v>3816</v>
      </c>
      <c r="L386" s="44">
        <v>0.0</v>
      </c>
      <c r="M386" s="44">
        <v>0.0</v>
      </c>
      <c r="N386" s="44">
        <v>0.0</v>
      </c>
      <c r="O386" s="44">
        <v>0.0</v>
      </c>
      <c r="P386" s="44">
        <v>0.0</v>
      </c>
      <c r="Q386" s="44">
        <v>0.0</v>
      </c>
      <c r="R386" s="44">
        <v>0.0</v>
      </c>
      <c r="S386" s="164"/>
      <c r="T386" s="44">
        <v>0.0</v>
      </c>
      <c r="U386" s="44">
        <v>0.0</v>
      </c>
      <c r="V386" s="44">
        <v>0.0</v>
      </c>
      <c r="W386" s="45"/>
      <c r="X386" s="45"/>
      <c r="Y386" s="45"/>
      <c r="Z386" s="9"/>
    </row>
    <row r="387" ht="14.25" customHeight="1">
      <c r="A387" s="282">
        <v>1.0</v>
      </c>
      <c r="B387" s="283" t="s">
        <v>305</v>
      </c>
      <c r="C387" s="44">
        <v>384.0</v>
      </c>
      <c r="D387" s="44">
        <v>1.0</v>
      </c>
      <c r="E387" s="287">
        <v>43702.0</v>
      </c>
      <c r="F387" s="162" t="str">
        <f>HYPERLINK("https://news.detik.com/berita/d-4680262/lpsk-sayangkan-anggaran-turun-drastis-permohonan-layanan-naik-signifikan ","sumber")</f>
        <v>sumber</v>
      </c>
      <c r="G387" s="269" t="s">
        <v>33</v>
      </c>
      <c r="H387" s="45" t="s">
        <v>3282</v>
      </c>
      <c r="I387" s="44">
        <v>4.0</v>
      </c>
      <c r="J387" s="44">
        <v>1.0</v>
      </c>
      <c r="K387" s="164" t="s">
        <v>3817</v>
      </c>
      <c r="L387" s="44">
        <v>0.0</v>
      </c>
      <c r="M387" s="44">
        <v>0.0</v>
      </c>
      <c r="N387" s="44">
        <v>0.0</v>
      </c>
      <c r="O387" s="44">
        <v>0.0</v>
      </c>
      <c r="P387" s="44">
        <v>0.0</v>
      </c>
      <c r="Q387" s="44" t="s">
        <v>192</v>
      </c>
      <c r="R387" s="44" t="s">
        <v>192</v>
      </c>
      <c r="S387" s="164"/>
      <c r="T387" s="44">
        <v>0.0</v>
      </c>
      <c r="U387" s="44">
        <v>0.0</v>
      </c>
      <c r="V387" s="44">
        <v>0.0</v>
      </c>
      <c r="W387" s="45"/>
      <c r="X387" s="45"/>
      <c r="Y387" s="45"/>
      <c r="Z387" s="9"/>
    </row>
    <row r="388" ht="14.25" customHeight="1">
      <c r="A388" s="282">
        <v>1.0</v>
      </c>
      <c r="B388" s="283" t="s">
        <v>3818</v>
      </c>
      <c r="C388" s="44">
        <v>385.0</v>
      </c>
      <c r="D388" s="44">
        <v>6.0</v>
      </c>
      <c r="E388" s="287">
        <v>43704.0</v>
      </c>
      <c r="F388" s="162" t="str">
        <f>HYPERLINK("https://nasional.kompas.com/read/2019/08/27/19030451/banyak-legislator-tak-hadir-dpr-dinilai-tak-serius-bahas-ruu-pks ","sumber")</f>
        <v>sumber</v>
      </c>
      <c r="G388" s="269" t="s">
        <v>33</v>
      </c>
      <c r="H388" s="45" t="s">
        <v>3819</v>
      </c>
      <c r="I388" s="44">
        <v>4.0</v>
      </c>
      <c r="J388" s="44">
        <v>1.0</v>
      </c>
      <c r="K388" s="164" t="s">
        <v>3820</v>
      </c>
      <c r="L388" s="44">
        <v>0.0</v>
      </c>
      <c r="M388" s="44">
        <v>0.0</v>
      </c>
      <c r="N388" s="44">
        <v>0.0</v>
      </c>
      <c r="O388" s="44">
        <v>0.0</v>
      </c>
      <c r="P388" s="44">
        <v>0.0</v>
      </c>
      <c r="Q388" s="44">
        <v>1.0</v>
      </c>
      <c r="R388" s="44">
        <v>1.0</v>
      </c>
      <c r="S388" s="164"/>
      <c r="T388" s="44">
        <v>0.0</v>
      </c>
      <c r="U388" s="44">
        <v>0.0</v>
      </c>
      <c r="V388" s="44">
        <v>0.0</v>
      </c>
      <c r="W388" s="45"/>
      <c r="X388" s="45"/>
      <c r="Y388" s="45"/>
      <c r="Z388" s="9"/>
    </row>
    <row r="389" ht="14.25" customHeight="1">
      <c r="A389" s="189">
        <v>1.0</v>
      </c>
      <c r="B389" s="77" t="s">
        <v>3821</v>
      </c>
      <c r="C389" s="55">
        <v>386.0</v>
      </c>
      <c r="D389" s="55">
        <v>4.0</v>
      </c>
      <c r="E389" s="289">
        <v>43680.0</v>
      </c>
      <c r="F389" s="171" t="str">
        <f>HYPERLINK("https://www.liputan6.com/news/read/4028808/polisi-bekuk-pelaku-pembunuhan-mahasiswi-di-sukabumi","sumber")</f>
        <v>sumber</v>
      </c>
      <c r="G389" s="277" t="s">
        <v>33</v>
      </c>
      <c r="H389" s="55">
        <v>128.0</v>
      </c>
      <c r="I389" s="55">
        <v>1.0</v>
      </c>
      <c r="J389" s="55">
        <v>1.0</v>
      </c>
      <c r="K389" s="172" t="s">
        <v>3822</v>
      </c>
      <c r="L389" s="55">
        <v>0.0</v>
      </c>
      <c r="M389" s="55">
        <v>-1.0</v>
      </c>
      <c r="N389" s="55">
        <v>0.0</v>
      </c>
      <c r="O389" s="55">
        <v>0.0</v>
      </c>
      <c r="P389" s="55">
        <v>0.0</v>
      </c>
      <c r="Q389" s="55">
        <v>0.0</v>
      </c>
      <c r="R389" s="55">
        <v>0.0</v>
      </c>
      <c r="S389" s="172"/>
      <c r="T389" s="55">
        <v>0.0</v>
      </c>
      <c r="U389" s="55">
        <v>0.0</v>
      </c>
      <c r="V389" s="55">
        <v>0.0</v>
      </c>
      <c r="W389" s="46"/>
      <c r="X389" s="46"/>
      <c r="Y389" s="55"/>
      <c r="Z389" s="30"/>
    </row>
    <row r="390" ht="14.25" customHeight="1">
      <c r="A390" s="282">
        <v>1.0</v>
      </c>
      <c r="B390" s="283" t="s">
        <v>3823</v>
      </c>
      <c r="C390" s="44">
        <v>387.0</v>
      </c>
      <c r="D390" s="44">
        <v>7.0</v>
      </c>
      <c r="E390" s="287">
        <v>43708.0</v>
      </c>
      <c r="F390" s="162" t="str">
        <f>HYPERLINK("https://www.tribunnews.com/seleb/2019/08/31/nikita-mirzani-labrak-elza-syarief-di-hotman-paris-show-berbuntut-umpatan-pelacur-dan-sampah ","sumber")</f>
        <v>sumber</v>
      </c>
      <c r="G390" s="269" t="s">
        <v>33</v>
      </c>
      <c r="H390" s="45" t="s">
        <v>3566</v>
      </c>
      <c r="I390" s="44">
        <v>2.0</v>
      </c>
      <c r="J390" s="44">
        <v>1.0</v>
      </c>
      <c r="K390" s="164" t="s">
        <v>3824</v>
      </c>
      <c r="L390" s="44">
        <v>0.0</v>
      </c>
      <c r="M390" s="44">
        <v>0.0</v>
      </c>
      <c r="N390" s="44">
        <v>0.0</v>
      </c>
      <c r="O390" s="44">
        <v>0.0</v>
      </c>
      <c r="P390" s="44">
        <v>0.0</v>
      </c>
      <c r="Q390" s="44" t="s">
        <v>119</v>
      </c>
      <c r="R390" s="44" t="s">
        <v>62</v>
      </c>
      <c r="S390" s="164"/>
      <c r="T390" s="44">
        <v>0.0</v>
      </c>
      <c r="U390" s="44">
        <v>-1.0</v>
      </c>
      <c r="V390" s="44">
        <v>0.0</v>
      </c>
      <c r="W390" s="45"/>
      <c r="X390" s="45"/>
      <c r="Y390" s="45"/>
      <c r="Z390" s="9"/>
    </row>
    <row r="391" ht="14.25" customHeight="1">
      <c r="A391" s="282">
        <v>1.0</v>
      </c>
      <c r="B391" s="283" t="s">
        <v>324</v>
      </c>
      <c r="C391" s="44">
        <v>388.0</v>
      </c>
      <c r="D391" s="44">
        <v>1.0</v>
      </c>
      <c r="E391" s="287">
        <v>43709.0</v>
      </c>
      <c r="F391" s="162" t="str">
        <f>HYPERLINK("https://hot.detik.com/celeb/d-4688854/doddy-soedrajat-disebut-menjual-vanessa-angel-lewat-prostitusi-online ","sumber")</f>
        <v>sumber</v>
      </c>
      <c r="G391" s="269" t="s">
        <v>33</v>
      </c>
      <c r="H391" s="45" t="s">
        <v>3161</v>
      </c>
      <c r="I391" s="44">
        <v>1.0</v>
      </c>
      <c r="J391" s="44">
        <v>1.0</v>
      </c>
      <c r="K391" s="164" t="s">
        <v>3825</v>
      </c>
      <c r="L391" s="44">
        <v>0.0</v>
      </c>
      <c r="M391" s="44">
        <v>-1.0</v>
      </c>
      <c r="N391" s="44">
        <v>0.0</v>
      </c>
      <c r="O391" s="44">
        <v>0.0</v>
      </c>
      <c r="P391" s="44">
        <v>0.0</v>
      </c>
      <c r="Q391" s="44">
        <v>0.0</v>
      </c>
      <c r="R391" s="44">
        <v>-1.0</v>
      </c>
      <c r="S391" s="164"/>
      <c r="T391" s="44">
        <v>0.0</v>
      </c>
      <c r="U391" s="44">
        <v>-1.0</v>
      </c>
      <c r="V391" s="44">
        <v>0.0</v>
      </c>
      <c r="W391" s="45"/>
      <c r="X391" s="45"/>
      <c r="Y391" s="45"/>
      <c r="Z391" s="9"/>
    </row>
    <row r="392" ht="14.25" customHeight="1">
      <c r="A392" s="282">
        <v>1.0</v>
      </c>
      <c r="B392" s="283" t="s">
        <v>3826</v>
      </c>
      <c r="C392" s="44">
        <v>389.0</v>
      </c>
      <c r="D392" s="44">
        <v>2.0</v>
      </c>
      <c r="E392" s="287">
        <v>43710.0</v>
      </c>
      <c r="F392" s="162" t="str">
        <f>HYPERLINK("https://www.cnnindonesia.com/olahraga/20190902042736-142-426654/psg-larang-fan-ejek-neymar ","sumber")</f>
        <v>sumber</v>
      </c>
      <c r="G392" s="269" t="s">
        <v>33</v>
      </c>
      <c r="H392" s="45" t="s">
        <v>3827</v>
      </c>
      <c r="I392" s="44">
        <v>2.0</v>
      </c>
      <c r="J392" s="44">
        <v>1.0</v>
      </c>
      <c r="K392" s="164" t="s">
        <v>3828</v>
      </c>
      <c r="L392" s="44">
        <v>0.0</v>
      </c>
      <c r="M392" s="44">
        <v>0.0</v>
      </c>
      <c r="N392" s="44">
        <v>0.0</v>
      </c>
      <c r="O392" s="44">
        <v>0.0</v>
      </c>
      <c r="P392" s="44">
        <v>0.0</v>
      </c>
      <c r="Q392" s="44">
        <v>0.0</v>
      </c>
      <c r="R392" s="44">
        <v>0.0</v>
      </c>
      <c r="S392" s="164"/>
      <c r="T392" s="44">
        <v>0.0</v>
      </c>
      <c r="U392" s="44">
        <v>-1.0</v>
      </c>
      <c r="V392" s="44">
        <v>0.0</v>
      </c>
      <c r="W392" s="45"/>
      <c r="X392" s="45"/>
      <c r="Y392" s="45"/>
      <c r="Z392" s="9"/>
    </row>
    <row r="393" ht="14.25" customHeight="1">
      <c r="A393" s="282">
        <v>1.0</v>
      </c>
      <c r="B393" s="283" t="s">
        <v>3829</v>
      </c>
      <c r="C393" s="44">
        <v>390.0</v>
      </c>
      <c r="D393" s="44">
        <v>3.0</v>
      </c>
      <c r="E393" s="287">
        <v>43711.0</v>
      </c>
      <c r="F393" s="162" t="str">
        <f>HYPERLINK("https://celebrity.okezone.com/read/2019/09/03/33/2099954/hot-gosip-livi-zheng-dihujat-netizen-hingga-sopir-jessica-iskandar-diteror-kuntilanak ","sumber")</f>
        <v>sumber</v>
      </c>
      <c r="G393" s="269" t="s">
        <v>33</v>
      </c>
      <c r="H393" s="45" t="s">
        <v>3607</v>
      </c>
      <c r="I393" s="44">
        <v>2.0</v>
      </c>
      <c r="J393" s="44">
        <v>1.0</v>
      </c>
      <c r="K393" s="164" t="s">
        <v>3830</v>
      </c>
      <c r="L393" s="44">
        <v>0.0</v>
      </c>
      <c r="M393" s="44">
        <v>0.0</v>
      </c>
      <c r="N393" s="44">
        <v>0.0</v>
      </c>
      <c r="O393" s="44">
        <v>0.0</v>
      </c>
      <c r="P393" s="44">
        <v>0.0</v>
      </c>
      <c r="Q393" s="44">
        <v>0.0</v>
      </c>
      <c r="R393" s="44">
        <v>-1.0</v>
      </c>
      <c r="S393" s="164" t="s">
        <v>3831</v>
      </c>
      <c r="T393" s="44">
        <v>2.0</v>
      </c>
      <c r="U393" s="44">
        <v>-1.0</v>
      </c>
      <c r="V393" s="44">
        <v>0.0</v>
      </c>
      <c r="W393" s="45"/>
      <c r="X393" s="45"/>
      <c r="Y393" s="45"/>
      <c r="Z393" s="9"/>
    </row>
    <row r="394" ht="14.25" customHeight="1">
      <c r="A394" s="282">
        <v>1.0</v>
      </c>
      <c r="B394" s="283" t="s">
        <v>3832</v>
      </c>
      <c r="C394" s="44">
        <v>391.0</v>
      </c>
      <c r="D394" s="44">
        <v>6.0</v>
      </c>
      <c r="E394" s="287">
        <v>43712.0</v>
      </c>
      <c r="F394" s="162" t="str">
        <f>HYPERLINK("https://nasional.kompas.com/read/2019/09/04/05502121/komisi-viii-dan-komisi-iii-akan-sinkronisasi-ruu-pks-dengan-rkhup ","sumber")</f>
        <v>sumber</v>
      </c>
      <c r="G394" s="269" t="s">
        <v>33</v>
      </c>
      <c r="H394" s="45" t="s">
        <v>3715</v>
      </c>
      <c r="I394" s="44">
        <v>4.0</v>
      </c>
      <c r="J394" s="44">
        <v>1.0</v>
      </c>
      <c r="K394" s="164" t="s">
        <v>3833</v>
      </c>
      <c r="L394" s="44">
        <v>0.0</v>
      </c>
      <c r="M394" s="44">
        <v>0.0</v>
      </c>
      <c r="N394" s="44">
        <v>0.0</v>
      </c>
      <c r="O394" s="44">
        <v>0.0</v>
      </c>
      <c r="P394" s="44">
        <v>0.0</v>
      </c>
      <c r="Q394" s="44" t="s">
        <v>61</v>
      </c>
      <c r="R394" s="44" t="s">
        <v>61</v>
      </c>
      <c r="S394" s="164"/>
      <c r="T394" s="44">
        <v>0.0</v>
      </c>
      <c r="U394" s="44">
        <v>0.0</v>
      </c>
      <c r="V394" s="44">
        <v>0.0</v>
      </c>
      <c r="W394" s="45"/>
      <c r="X394" s="45"/>
      <c r="Y394" s="45"/>
      <c r="Z394" s="9"/>
    </row>
    <row r="395" ht="14.25" customHeight="1">
      <c r="A395" s="282">
        <v>1.0</v>
      </c>
      <c r="B395" s="283" t="s">
        <v>3834</v>
      </c>
      <c r="C395" s="44">
        <v>392.0</v>
      </c>
      <c r="D395" s="44">
        <v>1.0</v>
      </c>
      <c r="E395" s="287">
        <v>43734.0</v>
      </c>
      <c r="F395" s="162" t="str">
        <f>HYPERLINK("https://news.detik.com/berita/d-4722997/f-pks-dpr-bersyukur-pengesahan-ruu-p-ks-ditunda ","sumber")</f>
        <v>sumber</v>
      </c>
      <c r="G395" s="269" t="s">
        <v>33</v>
      </c>
      <c r="H395" s="45" t="s">
        <v>3835</v>
      </c>
      <c r="I395" s="44">
        <v>4.0</v>
      </c>
      <c r="J395" s="44">
        <v>1.0</v>
      </c>
      <c r="K395" s="164" t="s">
        <v>3836</v>
      </c>
      <c r="L395" s="44">
        <v>0.0</v>
      </c>
      <c r="M395" s="44">
        <v>0.0</v>
      </c>
      <c r="N395" s="44">
        <v>0.0</v>
      </c>
      <c r="O395" s="44">
        <v>0.0</v>
      </c>
      <c r="P395" s="44">
        <v>0.0</v>
      </c>
      <c r="Q395" s="44" t="s">
        <v>61</v>
      </c>
      <c r="R395" s="44" t="s">
        <v>62</v>
      </c>
      <c r="S395" s="164"/>
      <c r="T395" s="44">
        <v>0.0</v>
      </c>
      <c r="U395" s="44">
        <v>0.0</v>
      </c>
      <c r="V395" s="44">
        <v>0.0</v>
      </c>
      <c r="W395" s="45"/>
      <c r="X395" s="45"/>
      <c r="Y395" s="45"/>
      <c r="Z395" s="9"/>
    </row>
    <row r="396" ht="14.25" customHeight="1">
      <c r="A396" s="222">
        <v>2.0</v>
      </c>
      <c r="B396" s="319" t="s">
        <v>3837</v>
      </c>
      <c r="C396" s="47">
        <v>393.0</v>
      </c>
      <c r="D396" s="47">
        <v>6.0</v>
      </c>
      <c r="E396" s="320">
        <v>43743.0</v>
      </c>
      <c r="F396" s="156" t="str">
        <f>HYPERLINK("https://internasional.kompas.com/read/2019/10/05/15565391/korban-tewas-demonstrasi-di-irak-capai-73-orang ","sumber")</f>
        <v>sumber</v>
      </c>
      <c r="G396" s="274" t="s">
        <v>33</v>
      </c>
      <c r="H396" s="47">
        <v>261.0</v>
      </c>
      <c r="I396" s="47">
        <v>1.0</v>
      </c>
      <c r="J396" s="47">
        <v>5.0</v>
      </c>
      <c r="K396" s="157"/>
      <c r="L396" s="48"/>
      <c r="M396" s="48"/>
      <c r="N396" s="48"/>
      <c r="O396" s="48"/>
      <c r="P396" s="48"/>
      <c r="Q396" s="48"/>
      <c r="R396" s="48"/>
      <c r="S396" s="165"/>
      <c r="T396" s="48"/>
      <c r="U396" s="48"/>
      <c r="V396" s="48"/>
      <c r="W396" s="48"/>
      <c r="X396" s="48"/>
      <c r="Y396" s="48"/>
      <c r="Z396" s="43"/>
    </row>
    <row r="397" ht="14.25" customHeight="1">
      <c r="A397" s="211">
        <v>1.0</v>
      </c>
      <c r="B397" s="321" t="s">
        <v>3838</v>
      </c>
      <c r="C397" s="44">
        <v>394.0</v>
      </c>
      <c r="D397" s="44">
        <v>10.0</v>
      </c>
      <c r="E397" s="322">
        <v>43744.0</v>
      </c>
      <c r="F397" s="162" t="str">
        <f>HYPERLINK("https://dunia.tempo.co/read/1256249/viral-pengemis-di-lebanon-punya-tabungan-rp-12-miliar ","sumber")</f>
        <v>sumber</v>
      </c>
      <c r="G397" s="269" t="s">
        <v>33</v>
      </c>
      <c r="H397" s="297">
        <v>271.0</v>
      </c>
      <c r="I397" s="44">
        <v>1.0</v>
      </c>
      <c r="J397" s="44">
        <v>4.0</v>
      </c>
      <c r="K397" s="164" t="s">
        <v>3839</v>
      </c>
      <c r="L397" s="44">
        <v>0.0</v>
      </c>
      <c r="M397" s="188">
        <v>0.0</v>
      </c>
      <c r="N397" s="44">
        <v>0.0</v>
      </c>
      <c r="O397" s="44">
        <v>0.0</v>
      </c>
      <c r="P397" s="44">
        <v>0.0</v>
      </c>
      <c r="Q397" s="44" t="s">
        <v>61</v>
      </c>
      <c r="R397" s="44" t="s">
        <v>61</v>
      </c>
      <c r="S397" s="164"/>
      <c r="T397" s="44">
        <v>0.0</v>
      </c>
      <c r="U397" s="44">
        <v>0.0</v>
      </c>
      <c r="V397" s="44">
        <v>0.0</v>
      </c>
      <c r="W397" s="45"/>
      <c r="X397" s="45"/>
      <c r="Y397" s="45"/>
      <c r="Z397" s="9"/>
    </row>
    <row r="398" ht="14.25" customHeight="1">
      <c r="A398" s="211">
        <v>1.0</v>
      </c>
      <c r="B398" s="321" t="s">
        <v>3840</v>
      </c>
      <c r="C398" s="44">
        <v>395.0</v>
      </c>
      <c r="D398" s="44">
        <v>2.0</v>
      </c>
      <c r="E398" s="322">
        <v>43787.0</v>
      </c>
      <c r="F398" s="162" t="str">
        <f>HYPERLINK("https://www.cnnindonesia.com/nasional/20191117193811-12-449138/imparsial-hukum-bias-mayoritas-intoleransi-dapat-legitimasi ","sumber")</f>
        <v>sumber</v>
      </c>
      <c r="G398" s="269" t="s">
        <v>33</v>
      </c>
      <c r="H398" s="297">
        <v>528.0</v>
      </c>
      <c r="I398" s="44">
        <v>4.0</v>
      </c>
      <c r="J398" s="44">
        <v>4.0</v>
      </c>
      <c r="K398" s="164" t="s">
        <v>3841</v>
      </c>
      <c r="L398" s="44">
        <v>0.0</v>
      </c>
      <c r="M398" s="44">
        <v>0.0</v>
      </c>
      <c r="N398" s="44">
        <v>0.0</v>
      </c>
      <c r="O398" s="44">
        <v>0.0</v>
      </c>
      <c r="P398" s="44">
        <v>0.0</v>
      </c>
      <c r="Q398" s="44" t="s">
        <v>392</v>
      </c>
      <c r="R398" s="44" t="s">
        <v>392</v>
      </c>
      <c r="S398" s="164"/>
      <c r="T398" s="44">
        <v>0.0</v>
      </c>
      <c r="U398" s="44">
        <v>0.0</v>
      </c>
      <c r="V398" s="44">
        <v>1.0</v>
      </c>
      <c r="W398" s="45"/>
      <c r="X398" s="45"/>
      <c r="Y398" s="45"/>
      <c r="Z398" s="9"/>
    </row>
    <row r="399" ht="14.25" customHeight="1">
      <c r="A399" s="211">
        <v>1.0</v>
      </c>
      <c r="B399" s="321" t="s">
        <v>3842</v>
      </c>
      <c r="C399" s="44">
        <v>396.0</v>
      </c>
      <c r="D399" s="44">
        <v>6.0</v>
      </c>
      <c r="E399" s="322">
        <v>43788.0</v>
      </c>
      <c r="F399" s="162" t="str">
        <f>HYPERLINK("https://regional.kompas.com/read/2019/11/19/08080001/pembubaran-upacara-piodalan-bupati-bantul--semua-agama-statusnya-sama-tidak ","sumber")</f>
        <v>sumber</v>
      </c>
      <c r="G399" s="269" t="s">
        <v>33</v>
      </c>
      <c r="H399" s="297">
        <v>437.0</v>
      </c>
      <c r="I399" s="44">
        <v>1.0</v>
      </c>
      <c r="J399" s="44">
        <v>4.0</v>
      </c>
      <c r="K399" s="164" t="s">
        <v>3843</v>
      </c>
      <c r="L399" s="44">
        <v>0.0</v>
      </c>
      <c r="M399" s="44">
        <v>1.0</v>
      </c>
      <c r="N399" s="44">
        <v>0.0</v>
      </c>
      <c r="O399" s="44">
        <v>0.0</v>
      </c>
      <c r="P399" s="44">
        <v>0.0</v>
      </c>
      <c r="Q399" s="164" t="s">
        <v>1689</v>
      </c>
      <c r="R399" s="164" t="s">
        <v>1586</v>
      </c>
      <c r="S399" s="164"/>
      <c r="T399" s="44">
        <v>0.0</v>
      </c>
      <c r="U399" s="44">
        <v>0.0</v>
      </c>
      <c r="V399" s="44">
        <v>0.0</v>
      </c>
      <c r="W399" s="45"/>
      <c r="X399" s="45"/>
      <c r="Y399" s="45"/>
      <c r="Z399" s="9"/>
    </row>
    <row r="400" ht="14.25" customHeight="1">
      <c r="A400" s="211">
        <v>1.0</v>
      </c>
      <c r="B400" s="321" t="s">
        <v>3844</v>
      </c>
      <c r="C400" s="44">
        <v>397.0</v>
      </c>
      <c r="D400" s="44">
        <v>4.0</v>
      </c>
      <c r="E400" s="322">
        <v>43790.0</v>
      </c>
      <c r="F400" s="162" t="str">
        <f>HYPERLINK("https://www.liputan6.com/global/read/4116399/demo-irak-kembali-telan-korban-2-orang-tewas-dalam-unjuk-rasa-terbaru ","sumber")</f>
        <v>sumber</v>
      </c>
      <c r="G400" s="269" t="s">
        <v>33</v>
      </c>
      <c r="H400" s="297">
        <v>674.0</v>
      </c>
      <c r="I400" s="44">
        <v>1.0</v>
      </c>
      <c r="J400" s="44">
        <v>4.0</v>
      </c>
      <c r="K400" s="164" t="s">
        <v>3845</v>
      </c>
      <c r="L400" s="44">
        <v>0.0</v>
      </c>
      <c r="M400" s="44">
        <v>1.0</v>
      </c>
      <c r="N400" s="44">
        <v>0.0</v>
      </c>
      <c r="O400" s="44">
        <v>0.0</v>
      </c>
      <c r="P400" s="44">
        <v>0.0</v>
      </c>
      <c r="Q400" s="187" t="s">
        <v>90</v>
      </c>
      <c r="R400" s="187" t="s">
        <v>89</v>
      </c>
      <c r="S400" s="164"/>
      <c r="T400" s="44">
        <v>0.0</v>
      </c>
      <c r="U400" s="44">
        <v>0.0</v>
      </c>
      <c r="V400" s="44">
        <v>0.0</v>
      </c>
      <c r="W400" s="45"/>
      <c r="X400" s="45"/>
      <c r="Y400" s="45"/>
      <c r="Z400" s="9"/>
    </row>
    <row r="401" ht="14.25" customHeight="1">
      <c r="A401" s="214">
        <v>2.0</v>
      </c>
      <c r="B401" s="323" t="s">
        <v>3846</v>
      </c>
      <c r="C401" s="47">
        <v>398.0</v>
      </c>
      <c r="D401" s="47">
        <v>9.0</v>
      </c>
      <c r="E401" s="324">
        <v>43793.0</v>
      </c>
      <c r="F401" s="156" t="str">
        <f>HYPERLINK("https://republika.co.id/berita/q1gy86313/beastudi-etospttep-yakin-pendidikan-indonesia-membaik ","sumber")</f>
        <v>sumber</v>
      </c>
      <c r="G401" s="274" t="s">
        <v>33</v>
      </c>
      <c r="H401" s="214">
        <v>434.0</v>
      </c>
      <c r="I401" s="47">
        <v>3.0</v>
      </c>
      <c r="J401" s="47">
        <v>5.0</v>
      </c>
      <c r="K401" s="157"/>
      <c r="L401" s="48"/>
      <c r="M401" s="48"/>
      <c r="N401" s="48"/>
      <c r="O401" s="48"/>
      <c r="P401" s="48"/>
      <c r="Q401" s="48"/>
      <c r="R401" s="48"/>
      <c r="S401" s="165"/>
      <c r="T401" s="48"/>
      <c r="U401" s="48"/>
      <c r="V401" s="48"/>
      <c r="W401" s="48"/>
      <c r="X401" s="48"/>
      <c r="Y401" s="48"/>
      <c r="Z401" s="43"/>
    </row>
    <row r="402" ht="14.25" customHeight="1">
      <c r="A402" s="211">
        <v>1.0</v>
      </c>
      <c r="B402" s="321" t="s">
        <v>3847</v>
      </c>
      <c r="C402" s="44">
        <v>399.0</v>
      </c>
      <c r="D402" s="44">
        <v>6.0</v>
      </c>
      <c r="E402" s="322">
        <v>43812.0</v>
      </c>
      <c r="F402" s="162" t="str">
        <f>HYPERLINK("https://regional.kompas.com/read/2019/12/13/15451041/puluhan-pengungsi-syiah-di-sidoarjo-masuk-daftar-penerima-pkh-2020 ","sumber")</f>
        <v>sumber</v>
      </c>
      <c r="G402" s="269" t="s">
        <v>33</v>
      </c>
      <c r="H402" s="297">
        <v>274.0</v>
      </c>
      <c r="I402" s="44">
        <v>4.0</v>
      </c>
      <c r="J402" s="44">
        <v>4.0</v>
      </c>
      <c r="K402" s="164" t="s">
        <v>3848</v>
      </c>
      <c r="L402" s="44">
        <v>0.0</v>
      </c>
      <c r="M402" s="44">
        <v>0.0</v>
      </c>
      <c r="N402" s="44">
        <v>0.0</v>
      </c>
      <c r="O402" s="44">
        <v>0.0</v>
      </c>
      <c r="P402" s="44">
        <v>0.0</v>
      </c>
      <c r="Q402" s="44" t="s">
        <v>61</v>
      </c>
      <c r="R402" s="44" t="s">
        <v>61</v>
      </c>
      <c r="S402" s="164" t="s">
        <v>3849</v>
      </c>
      <c r="T402" s="44">
        <v>1.0</v>
      </c>
      <c r="U402" s="44">
        <v>0.0</v>
      </c>
      <c r="V402" s="44">
        <v>0.0</v>
      </c>
      <c r="W402" s="45"/>
      <c r="X402" s="45"/>
      <c r="Y402" s="45"/>
      <c r="Z402" s="9"/>
    </row>
    <row r="403" ht="14.25" customHeight="1">
      <c r="A403" s="211">
        <v>1.0</v>
      </c>
      <c r="B403" s="321" t="s">
        <v>3850</v>
      </c>
      <c r="C403" s="44">
        <v>400.0</v>
      </c>
      <c r="D403" s="44">
        <v>2.0</v>
      </c>
      <c r="E403" s="322">
        <v>43815.0</v>
      </c>
      <c r="F403" s="162" t="str">
        <f>HYPERLINK("https://www.cnnindonesia.com/gaya-hidup/20191216133316-269-457377/memento-revolusi-di-kulit-kaum-muda-irak ","sumber")</f>
        <v>sumber</v>
      </c>
      <c r="G403" s="269" t="s">
        <v>33</v>
      </c>
      <c r="H403" s="297">
        <v>627.0</v>
      </c>
      <c r="I403" s="44">
        <v>1.0</v>
      </c>
      <c r="J403" s="44">
        <v>4.0</v>
      </c>
      <c r="K403" s="164" t="s">
        <v>3851</v>
      </c>
      <c r="L403" s="44">
        <v>0.0</v>
      </c>
      <c r="M403" s="44">
        <v>1.0</v>
      </c>
      <c r="N403" s="44">
        <v>0.0</v>
      </c>
      <c r="O403" s="44">
        <v>0.0</v>
      </c>
      <c r="P403" s="44">
        <v>0.0</v>
      </c>
      <c r="Q403" s="286" t="s">
        <v>89</v>
      </c>
      <c r="R403" s="44" t="s">
        <v>89</v>
      </c>
      <c r="S403" s="164"/>
      <c r="T403" s="44">
        <v>0.0</v>
      </c>
      <c r="U403" s="44">
        <v>0.0</v>
      </c>
      <c r="V403" s="44">
        <v>0.0</v>
      </c>
      <c r="W403" s="45"/>
      <c r="X403" s="45"/>
      <c r="Y403" s="45"/>
      <c r="Z403" s="9"/>
    </row>
    <row r="404" ht="14.25" customHeight="1">
      <c r="A404" s="211">
        <v>1.0</v>
      </c>
      <c r="B404" s="321" t="s">
        <v>3852</v>
      </c>
      <c r="C404" s="44">
        <v>401.0</v>
      </c>
      <c r="D404" s="44">
        <v>7.0</v>
      </c>
      <c r="E404" s="322">
        <v>43817.0</v>
      </c>
      <c r="F404" s="162" t="str">
        <f>HYPERLINK("https://www.tribunnews.com/nasional/2019/12/18/mahfud-md-ungkap-kemungkinan-pelanggaran-ham-di-era-jokowi-ada-beberapa-tapi-belum-kesimpulan ","sumber")</f>
        <v>sumber</v>
      </c>
      <c r="G404" s="269" t="s">
        <v>33</v>
      </c>
      <c r="H404" s="297">
        <v>175.0</v>
      </c>
      <c r="I404" s="44">
        <v>1.0</v>
      </c>
      <c r="J404" s="44">
        <v>4.0</v>
      </c>
      <c r="K404" s="164" t="s">
        <v>3853</v>
      </c>
      <c r="L404" s="44">
        <v>0.0</v>
      </c>
      <c r="M404" s="44">
        <v>-1.0</v>
      </c>
      <c r="N404" s="44">
        <v>0.0</v>
      </c>
      <c r="O404" s="44">
        <v>0.0</v>
      </c>
      <c r="P404" s="44">
        <v>0.0</v>
      </c>
      <c r="Q404" s="44">
        <v>0.0</v>
      </c>
      <c r="R404" s="44">
        <v>-1.0</v>
      </c>
      <c r="S404" s="164"/>
      <c r="T404" s="44">
        <v>0.0</v>
      </c>
      <c r="U404" s="44">
        <v>0.0</v>
      </c>
      <c r="V404" s="44">
        <v>1.0</v>
      </c>
      <c r="W404" s="45"/>
      <c r="X404" s="45"/>
      <c r="Y404" s="45"/>
      <c r="Z404" s="9"/>
    </row>
    <row r="405" ht="14.25" customHeight="1">
      <c r="A405" s="214">
        <v>2.0</v>
      </c>
      <c r="B405" s="323" t="s">
        <v>3854</v>
      </c>
      <c r="C405" s="47">
        <v>402.0</v>
      </c>
      <c r="D405" s="47">
        <v>6.0</v>
      </c>
      <c r="E405" s="324">
        <v>43818.0</v>
      </c>
      <c r="F405" s="156" t="str">
        <f>HYPERLINK("https://nasional.kompas.com/read/2019/12/19/04120841/meutya-hafid-ri-ajak-negara-lain-berbagi-tanggung-jawab-tangani-pengungsi ","sumber")</f>
        <v>sumber</v>
      </c>
      <c r="G405" s="274" t="s">
        <v>33</v>
      </c>
      <c r="H405" s="214">
        <v>262.0</v>
      </c>
      <c r="I405" s="47">
        <v>4.0</v>
      </c>
      <c r="J405" s="47">
        <v>5.0</v>
      </c>
      <c r="K405" s="157"/>
      <c r="L405" s="48"/>
      <c r="M405" s="48"/>
      <c r="N405" s="48"/>
      <c r="O405" s="48"/>
      <c r="P405" s="48"/>
      <c r="Q405" s="48"/>
      <c r="R405" s="48"/>
      <c r="S405" s="165"/>
      <c r="T405" s="48"/>
      <c r="U405" s="48"/>
      <c r="V405" s="48"/>
      <c r="W405" s="48"/>
      <c r="X405" s="48"/>
      <c r="Y405" s="48"/>
      <c r="Z405" s="43"/>
    </row>
    <row r="406" ht="14.25" customHeight="1">
      <c r="A406" s="211">
        <v>1.0</v>
      </c>
      <c r="B406" s="321" t="s">
        <v>3855</v>
      </c>
      <c r="C406" s="44">
        <v>403.0</v>
      </c>
      <c r="D406" s="44">
        <v>8.0</v>
      </c>
      <c r="E406" s="322">
        <v>43820.0</v>
      </c>
      <c r="F406" s="162" t="str">
        <f>HYPERLINK("https://jabar.suara.com/read/2019/12/21/125229/5-fakta-persekusi-haddad-alwi-di-sukabumi-gara-gara-angkat-tangan ","sumber")</f>
        <v>sumber</v>
      </c>
      <c r="G406" s="269" t="s">
        <v>33</v>
      </c>
      <c r="H406" s="297">
        <v>671.0</v>
      </c>
      <c r="I406" s="44">
        <v>1.0</v>
      </c>
      <c r="J406" s="44">
        <v>4.0</v>
      </c>
      <c r="K406" s="164" t="s">
        <v>3856</v>
      </c>
      <c r="L406" s="44">
        <v>0.0</v>
      </c>
      <c r="M406" s="44">
        <v>1.0</v>
      </c>
      <c r="N406" s="44">
        <v>0.0</v>
      </c>
      <c r="O406" s="44">
        <v>0.0</v>
      </c>
      <c r="P406" s="44">
        <v>0.0</v>
      </c>
      <c r="Q406" s="187" t="s">
        <v>3857</v>
      </c>
      <c r="R406" s="187" t="s">
        <v>3858</v>
      </c>
      <c r="S406" s="164"/>
      <c r="T406" s="44">
        <v>0.0</v>
      </c>
      <c r="U406" s="44">
        <v>0.0</v>
      </c>
      <c r="V406" s="44">
        <v>0.0</v>
      </c>
      <c r="W406" s="45"/>
      <c r="X406" s="45"/>
      <c r="Y406" s="45"/>
      <c r="Z406" s="9"/>
    </row>
    <row r="407" ht="14.25" customHeight="1">
      <c r="A407" s="211">
        <v>1.0</v>
      </c>
      <c r="B407" s="321" t="s">
        <v>3859</v>
      </c>
      <c r="C407" s="44">
        <v>404.0</v>
      </c>
      <c r="D407" s="44">
        <v>7.0</v>
      </c>
      <c r="E407" s="322">
        <v>43823.0</v>
      </c>
      <c r="F407" s="162" t="str">
        <f>HYPERLINK("https://www.tribunnews.com/nasional/2019/12/24/pkpi-mayoritas-dan-minoritas-hanya-ada-di-data-statistik ","sumber")</f>
        <v>sumber</v>
      </c>
      <c r="G407" s="269" t="s">
        <v>33</v>
      </c>
      <c r="H407" s="297">
        <v>191.0</v>
      </c>
      <c r="I407" s="44">
        <v>1.0</v>
      </c>
      <c r="J407" s="44">
        <v>4.0</v>
      </c>
      <c r="K407" s="164" t="s">
        <v>3860</v>
      </c>
      <c r="L407" s="44">
        <v>0.0</v>
      </c>
      <c r="M407" s="44">
        <v>-1.0</v>
      </c>
      <c r="N407" s="44">
        <v>0.0</v>
      </c>
      <c r="O407" s="44">
        <v>0.0</v>
      </c>
      <c r="P407" s="44">
        <v>0.0</v>
      </c>
      <c r="Q407" s="44" t="s">
        <v>61</v>
      </c>
      <c r="R407" s="44" t="s">
        <v>192</v>
      </c>
      <c r="S407" s="164"/>
      <c r="T407" s="44">
        <v>0.0</v>
      </c>
      <c r="U407" s="44">
        <v>0.0</v>
      </c>
      <c r="V407" s="44">
        <v>0.0</v>
      </c>
      <c r="W407" s="45"/>
      <c r="X407" s="45"/>
      <c r="Y407" s="45"/>
      <c r="Z407" s="9"/>
    </row>
    <row r="408" ht="14.25" customHeight="1">
      <c r="A408" s="214">
        <v>2.0</v>
      </c>
      <c r="B408" s="323" t="s">
        <v>3861</v>
      </c>
      <c r="C408" s="47">
        <v>405.0</v>
      </c>
      <c r="D408" s="47">
        <v>5.0</v>
      </c>
      <c r="E408" s="324">
        <v>43825.0</v>
      </c>
      <c r="F408" s="156" t="str">
        <f>HYPERLINK("https://tirto.id/gerhana-matahari-2019-warga-aceh-saksikan-perdana-fenomena-ini-eo4h ","sumber")</f>
        <v>sumber</v>
      </c>
      <c r="G408" s="274" t="s">
        <v>33</v>
      </c>
      <c r="H408" s="214">
        <v>390.0</v>
      </c>
      <c r="I408" s="47">
        <v>5.0</v>
      </c>
      <c r="J408" s="47">
        <v>5.0</v>
      </c>
      <c r="K408" s="165"/>
      <c r="L408" s="48"/>
      <c r="M408" s="48"/>
      <c r="N408" s="48"/>
      <c r="O408" s="48"/>
      <c r="P408" s="48"/>
      <c r="Q408" s="48"/>
      <c r="R408" s="48"/>
      <c r="S408" s="165"/>
      <c r="T408" s="48"/>
      <c r="U408" s="48"/>
      <c r="V408" s="48"/>
      <c r="W408" s="48"/>
      <c r="X408" s="48"/>
      <c r="Y408" s="48"/>
      <c r="Z408" s="43"/>
    </row>
    <row r="409" ht="14.25" customHeight="1">
      <c r="A409" s="211">
        <v>1.0</v>
      </c>
      <c r="B409" s="321" t="s">
        <v>3862</v>
      </c>
      <c r="C409" s="44">
        <v>406.0</v>
      </c>
      <c r="D409" s="44">
        <v>9.0</v>
      </c>
      <c r="E409" s="322">
        <v>43829.0</v>
      </c>
      <c r="F409" s="162" t="str">
        <f>HYPERLINK("https://internasional.republika.co.id/berita/q3bpud459/iran-kutuk-serangan-udara-as-di-irak ","sumber")</f>
        <v>sumber</v>
      </c>
      <c r="G409" s="269" t="s">
        <v>33</v>
      </c>
      <c r="H409" s="297">
        <v>195.0</v>
      </c>
      <c r="I409" s="44">
        <v>1.0</v>
      </c>
      <c r="J409" s="44">
        <v>4.0</v>
      </c>
      <c r="K409" s="164" t="s">
        <v>3863</v>
      </c>
      <c r="L409" s="44">
        <v>0.0</v>
      </c>
      <c r="M409" s="188">
        <v>0.0</v>
      </c>
      <c r="N409" s="44">
        <v>0.0</v>
      </c>
      <c r="O409" s="44">
        <v>0.0</v>
      </c>
      <c r="P409" s="44">
        <v>0.0</v>
      </c>
      <c r="Q409" s="44">
        <v>0.0</v>
      </c>
      <c r="R409" s="44">
        <v>0.0</v>
      </c>
      <c r="S409" s="164"/>
      <c r="T409" s="44">
        <v>0.0</v>
      </c>
      <c r="U409" s="44">
        <v>0.0</v>
      </c>
      <c r="V409" s="44">
        <v>0.0</v>
      </c>
      <c r="W409" s="45"/>
      <c r="X409" s="45"/>
      <c r="Y409" s="45"/>
      <c r="Z409" s="9"/>
    </row>
    <row r="410" ht="14.25" customHeight="1">
      <c r="A410" s="211">
        <v>1.0</v>
      </c>
      <c r="B410" s="321" t="s">
        <v>3864</v>
      </c>
      <c r="C410" s="44">
        <v>407.0</v>
      </c>
      <c r="D410" s="44">
        <v>3.0</v>
      </c>
      <c r="E410" s="322">
        <v>43830.0</v>
      </c>
      <c r="F410" s="162" t="str">
        <f>HYPERLINK("https://news.okezone.com/read/2019/12/31/18/2147925/pedemo-merangsek-masuk-kedubes-as-di-irak-terdengar-suara-tembakan ","sumber")</f>
        <v>sumber</v>
      </c>
      <c r="G410" s="269" t="s">
        <v>33</v>
      </c>
      <c r="H410" s="297">
        <v>264.0</v>
      </c>
      <c r="I410" s="44">
        <v>1.0</v>
      </c>
      <c r="J410" s="44">
        <v>4.0</v>
      </c>
      <c r="K410" s="164" t="s">
        <v>3865</v>
      </c>
      <c r="L410" s="44">
        <v>0.0</v>
      </c>
      <c r="M410" s="44">
        <v>-1.0</v>
      </c>
      <c r="N410" s="44">
        <v>0.0</v>
      </c>
      <c r="O410" s="44">
        <v>0.0</v>
      </c>
      <c r="P410" s="44">
        <v>0.0</v>
      </c>
      <c r="Q410" s="44">
        <v>0.0</v>
      </c>
      <c r="R410" s="44">
        <v>0.0</v>
      </c>
      <c r="S410" s="164"/>
      <c r="T410" s="44">
        <v>0.0</v>
      </c>
      <c r="U410" s="44">
        <v>0.0</v>
      </c>
      <c r="V410" s="44">
        <v>0.0</v>
      </c>
      <c r="W410" s="45"/>
      <c r="X410" s="45"/>
      <c r="Y410" s="45"/>
      <c r="Z410" s="9"/>
    </row>
    <row r="411" ht="14.25" customHeight="1">
      <c r="A411" s="211">
        <v>1.0</v>
      </c>
      <c r="B411" s="321" t="s">
        <v>2719</v>
      </c>
      <c r="C411" s="44">
        <v>408.0</v>
      </c>
      <c r="D411" s="44">
        <v>10.0</v>
      </c>
      <c r="E411" s="322">
        <v>43741.0</v>
      </c>
      <c r="F411" s="162" t="str">
        <f>HYPERLINK("https://gaya.tempo.co/read/1255304/karakter-joker-mengidap-skizofrenia-waspadai-gejalanya ","sumber")</f>
        <v>sumber</v>
      </c>
      <c r="G411" s="269" t="s">
        <v>33</v>
      </c>
      <c r="H411" s="297">
        <v>211.0</v>
      </c>
      <c r="I411" s="44">
        <v>2.0</v>
      </c>
      <c r="J411" s="44">
        <v>2.0</v>
      </c>
      <c r="K411" s="164" t="s">
        <v>3866</v>
      </c>
      <c r="L411" s="44">
        <v>0.0</v>
      </c>
      <c r="M411" s="44">
        <v>0.0</v>
      </c>
      <c r="N411" s="44">
        <v>0.0</v>
      </c>
      <c r="O411" s="44">
        <v>0.0</v>
      </c>
      <c r="P411" s="44">
        <v>0.0</v>
      </c>
      <c r="Q411" s="286" t="s">
        <v>61</v>
      </c>
      <c r="R411" s="44" t="s">
        <v>61</v>
      </c>
      <c r="S411" s="164"/>
      <c r="T411" s="44">
        <v>0.0</v>
      </c>
      <c r="U411" s="44">
        <v>0.0</v>
      </c>
      <c r="V411" s="44">
        <v>0.0</v>
      </c>
      <c r="W411" s="45"/>
      <c r="X411" s="45"/>
      <c r="Y411" s="45"/>
      <c r="Z411" s="9"/>
    </row>
    <row r="412" ht="14.25" customHeight="1">
      <c r="A412" s="214">
        <v>2.0</v>
      </c>
      <c r="B412" s="323" t="s">
        <v>3867</v>
      </c>
      <c r="C412" s="47">
        <v>409.0</v>
      </c>
      <c r="D412" s="47">
        <v>2.0</v>
      </c>
      <c r="E412" s="324">
        <v>43743.0</v>
      </c>
      <c r="F412" s="156" t="str">
        <f>HYPERLINK("https://www.cnnindonesia.com/olahraga/20191004143333-142-436762/kata-kata-sakti-messi-kunci-barcelona-bungkam-inter ","sumber")</f>
        <v>sumber</v>
      </c>
      <c r="G412" s="274" t="s">
        <v>33</v>
      </c>
      <c r="H412" s="214">
        <v>275.0</v>
      </c>
      <c r="I412" s="47">
        <v>5.0</v>
      </c>
      <c r="J412" s="47">
        <v>5.0</v>
      </c>
      <c r="K412" s="165"/>
      <c r="L412" s="48"/>
      <c r="M412" s="48"/>
      <c r="N412" s="48"/>
      <c r="O412" s="48"/>
      <c r="P412" s="48"/>
      <c r="Q412" s="48"/>
      <c r="R412" s="48"/>
      <c r="S412" s="165"/>
      <c r="T412" s="48"/>
      <c r="U412" s="48"/>
      <c r="V412" s="48"/>
      <c r="W412" s="48"/>
      <c r="X412" s="48"/>
      <c r="Y412" s="48"/>
      <c r="Z412" s="43"/>
    </row>
    <row r="413" ht="14.25" customHeight="1">
      <c r="A413" s="211">
        <v>1.0</v>
      </c>
      <c r="B413" s="321" t="s">
        <v>3868</v>
      </c>
      <c r="C413" s="44">
        <v>410.0</v>
      </c>
      <c r="D413" s="44">
        <v>6.0</v>
      </c>
      <c r="E413" s="322">
        <v>43743.0</v>
      </c>
      <c r="F413" s="162" t="str">
        <f>HYPERLINK("https://www.kompas.com/tren/read/2019/10/05/173000365/bocah-12-tahun-dikurung-di-bekas-kandang-ayam-ini-saran-dokter-spesialis ","sumber")</f>
        <v>sumber</v>
      </c>
      <c r="G413" s="269" t="s">
        <v>33</v>
      </c>
      <c r="H413" s="297">
        <v>175.0</v>
      </c>
      <c r="I413" s="44">
        <v>1.0</v>
      </c>
      <c r="J413" s="44">
        <v>2.0</v>
      </c>
      <c r="K413" s="164" t="s">
        <v>3869</v>
      </c>
      <c r="L413" s="44">
        <v>0.0</v>
      </c>
      <c r="M413" s="44">
        <v>1.0</v>
      </c>
      <c r="N413" s="44">
        <v>0.0</v>
      </c>
      <c r="O413" s="44">
        <v>0.0</v>
      </c>
      <c r="P413" s="44">
        <v>0.0</v>
      </c>
      <c r="Q413" s="44">
        <v>0.0</v>
      </c>
      <c r="R413" s="44">
        <v>1.0</v>
      </c>
      <c r="S413" s="164" t="s">
        <v>3870</v>
      </c>
      <c r="T413" s="44">
        <v>2.0</v>
      </c>
      <c r="U413" s="44">
        <v>0.0</v>
      </c>
      <c r="V413" s="44">
        <v>0.0</v>
      </c>
      <c r="W413" s="45"/>
      <c r="X413" s="45"/>
      <c r="Y413" s="45"/>
      <c r="Z413" s="9"/>
    </row>
    <row r="414" ht="14.25" customHeight="1">
      <c r="A414" s="211">
        <v>1.0</v>
      </c>
      <c r="B414" s="321" t="s">
        <v>917</v>
      </c>
      <c r="C414" s="44">
        <v>411.0</v>
      </c>
      <c r="D414" s="44">
        <v>3.0</v>
      </c>
      <c r="E414" s="322">
        <v>43743.0</v>
      </c>
      <c r="F414" s="162" t="str">
        <f>HYPERLINK("https://celebrity.okezone.com/read/2019/10/04/33/2113075/tindakan-ekstrem-penggemar-demi-dapat-perhatian-idola-termasuk-gangguan-kejiwaan ","sumber")</f>
        <v>sumber</v>
      </c>
      <c r="G414" s="269" t="s">
        <v>33</v>
      </c>
      <c r="H414" s="297">
        <v>495.0</v>
      </c>
      <c r="I414" s="44">
        <v>1.0</v>
      </c>
      <c r="J414" s="44">
        <v>2.0</v>
      </c>
      <c r="K414" s="164" t="s">
        <v>3871</v>
      </c>
      <c r="L414" s="44">
        <v>0.0</v>
      </c>
      <c r="M414" s="44">
        <v>1.0</v>
      </c>
      <c r="N414" s="44">
        <v>0.0</v>
      </c>
      <c r="O414" s="44">
        <v>0.0</v>
      </c>
      <c r="P414" s="44">
        <v>0.0</v>
      </c>
      <c r="Q414" s="44" t="s">
        <v>61</v>
      </c>
      <c r="R414" s="44" t="s">
        <v>61</v>
      </c>
      <c r="S414" s="164"/>
      <c r="T414" s="44">
        <v>0.0</v>
      </c>
      <c r="U414" s="44">
        <v>0.0</v>
      </c>
      <c r="V414" s="44">
        <v>1.0</v>
      </c>
      <c r="W414" s="45"/>
      <c r="X414" s="45"/>
      <c r="Y414" s="45"/>
      <c r="Z414" s="9"/>
    </row>
    <row r="415" ht="14.25" customHeight="1">
      <c r="A415" s="214">
        <v>2.0</v>
      </c>
      <c r="B415" s="323" t="s">
        <v>3872</v>
      </c>
      <c r="C415" s="47">
        <v>412.0</v>
      </c>
      <c r="D415" s="47">
        <v>9.0</v>
      </c>
      <c r="E415" s="324">
        <v>43743.0</v>
      </c>
      <c r="F415" s="156" t="str">
        <f>HYPERLINK("https://republika.co.id/berita/pyvj139517000/ada-ancaman-pengguna-whatsapp-harus-perbarui-aplikasi ","sumber")</f>
        <v>sumber</v>
      </c>
      <c r="G415" s="274" t="s">
        <v>33</v>
      </c>
      <c r="H415" s="214">
        <v>286.0</v>
      </c>
      <c r="I415" s="47">
        <v>5.0</v>
      </c>
      <c r="J415" s="47">
        <v>5.0</v>
      </c>
      <c r="K415" s="157"/>
      <c r="L415" s="48"/>
      <c r="M415" s="48"/>
      <c r="N415" s="48"/>
      <c r="O415" s="48"/>
      <c r="P415" s="48"/>
      <c r="Q415" s="48"/>
      <c r="R415" s="48"/>
      <c r="S415" s="157"/>
      <c r="T415" s="48"/>
      <c r="U415" s="48"/>
      <c r="V415" s="48"/>
      <c r="W415" s="48"/>
      <c r="X415" s="48"/>
      <c r="Y415" s="48"/>
      <c r="Z415" s="43"/>
    </row>
    <row r="416" ht="14.25" customHeight="1">
      <c r="A416" s="189">
        <v>1.0</v>
      </c>
      <c r="B416" s="245" t="s">
        <v>3873</v>
      </c>
      <c r="C416" s="55">
        <v>413.0</v>
      </c>
      <c r="D416" s="55">
        <v>10.0</v>
      </c>
      <c r="E416" s="325">
        <v>43743.0</v>
      </c>
      <c r="F416" s="171" t="str">
        <f>HYPERLINK("https://difabel.tempo.co/read/1256099/tips-mendidik-anak-dengan-multi-disabilitas","sumber")</f>
        <v>sumber</v>
      </c>
      <c r="G416" s="277" t="s">
        <v>33</v>
      </c>
      <c r="H416" s="326">
        <v>344.0</v>
      </c>
      <c r="I416" s="55">
        <v>2.0</v>
      </c>
      <c r="J416" s="55">
        <v>2.0</v>
      </c>
      <c r="K416" s="172" t="s">
        <v>3874</v>
      </c>
      <c r="L416" s="55">
        <v>0.0</v>
      </c>
      <c r="M416" s="55">
        <v>0.0</v>
      </c>
      <c r="N416" s="55">
        <v>0.0</v>
      </c>
      <c r="O416" s="55">
        <v>0.0</v>
      </c>
      <c r="P416" s="55">
        <v>0.0</v>
      </c>
      <c r="Q416" s="55" t="s">
        <v>61</v>
      </c>
      <c r="R416" s="55" t="s">
        <v>61</v>
      </c>
      <c r="S416" s="172"/>
      <c r="T416" s="55">
        <v>0.0</v>
      </c>
      <c r="U416" s="55">
        <v>0.0</v>
      </c>
      <c r="V416" s="55">
        <v>0.0</v>
      </c>
      <c r="W416" s="46"/>
      <c r="X416" s="46"/>
      <c r="Y416" s="46"/>
      <c r="Z416" s="31"/>
    </row>
    <row r="417" ht="14.25" customHeight="1">
      <c r="A417" s="211">
        <v>1.0</v>
      </c>
      <c r="B417" s="321" t="s">
        <v>3875</v>
      </c>
      <c r="C417" s="44">
        <v>414.0</v>
      </c>
      <c r="D417" s="44">
        <v>6.0</v>
      </c>
      <c r="E417" s="322">
        <v>43744.0</v>
      </c>
      <c r="F417" s="162" t="str">
        <f>HYPERLINK("https://sains.kompas.com/read/2019/10/06/190600523/ahli-temukan-otot-tangan-mirip-kadal-pada-janin-di-rahim-apa-artinya- ","sumber")</f>
        <v>sumber</v>
      </c>
      <c r="G417" s="269" t="s">
        <v>33</v>
      </c>
      <c r="H417" s="297">
        <v>261.0</v>
      </c>
      <c r="I417" s="44">
        <v>2.0</v>
      </c>
      <c r="J417" s="44">
        <v>2.0</v>
      </c>
      <c r="K417" s="164" t="s">
        <v>3876</v>
      </c>
      <c r="L417" s="44">
        <v>0.0</v>
      </c>
      <c r="M417" s="44">
        <v>0.0</v>
      </c>
      <c r="N417" s="44">
        <v>0.0</v>
      </c>
      <c r="O417" s="44">
        <v>0.0</v>
      </c>
      <c r="P417" s="44">
        <v>0.0</v>
      </c>
      <c r="Q417" s="164" t="s">
        <v>53</v>
      </c>
      <c r="R417" s="44" t="s">
        <v>131</v>
      </c>
      <c r="S417" s="164"/>
      <c r="T417" s="44">
        <v>0.0</v>
      </c>
      <c r="U417" s="44">
        <v>0.0</v>
      </c>
      <c r="V417" s="44">
        <v>0.0</v>
      </c>
      <c r="W417" s="45"/>
      <c r="X417" s="45"/>
      <c r="Y417" s="45"/>
      <c r="Z417" s="9"/>
    </row>
    <row r="418" ht="14.25" customHeight="1">
      <c r="A418" s="214">
        <v>2.0</v>
      </c>
      <c r="B418" s="323" t="s">
        <v>3877</v>
      </c>
      <c r="C418" s="47">
        <v>415.0</v>
      </c>
      <c r="D418" s="47">
        <v>5.0</v>
      </c>
      <c r="E418" s="324">
        <v>43744.0</v>
      </c>
      <c r="F418" s="156" t="str">
        <f>HYPERLINK("https://tirto.id/koalisi-save-kpk-ada-yang-salah-dengan-hati-presiden-ejjb ","sumber")</f>
        <v>sumber</v>
      </c>
      <c r="G418" s="274" t="s">
        <v>33</v>
      </c>
      <c r="H418" s="214">
        <v>591.0</v>
      </c>
      <c r="I418" s="47">
        <v>2.0</v>
      </c>
      <c r="J418" s="47">
        <v>2.0</v>
      </c>
      <c r="K418" s="165"/>
      <c r="L418" s="48"/>
      <c r="M418" s="48"/>
      <c r="N418" s="48"/>
      <c r="O418" s="48"/>
      <c r="P418" s="48"/>
      <c r="Q418" s="48"/>
      <c r="R418" s="48"/>
      <c r="S418" s="165"/>
      <c r="T418" s="48"/>
      <c r="U418" s="48"/>
      <c r="V418" s="48"/>
      <c r="W418" s="48"/>
      <c r="X418" s="48"/>
      <c r="Y418" s="48"/>
      <c r="Z418" s="51"/>
    </row>
    <row r="419" ht="14.25" customHeight="1">
      <c r="A419" s="214">
        <v>2.0</v>
      </c>
      <c r="B419" s="323" t="s">
        <v>1832</v>
      </c>
      <c r="C419" s="47">
        <v>416.0</v>
      </c>
      <c r="D419" s="47">
        <v>1.0</v>
      </c>
      <c r="E419" s="324">
        <v>43745.0</v>
      </c>
      <c r="F419" s="156" t="str">
        <f>HYPERLINK("https://hot.detik.com/movie/d-4736974/joker-terinspirasi-dari-film-ini ","sumber")</f>
        <v>sumber</v>
      </c>
      <c r="G419" s="274" t="s">
        <v>33</v>
      </c>
      <c r="H419" s="214">
        <v>488.0</v>
      </c>
      <c r="I419" s="47">
        <v>5.0</v>
      </c>
      <c r="J419" s="47">
        <v>2.0</v>
      </c>
      <c r="K419" s="157"/>
      <c r="L419" s="48"/>
      <c r="M419" s="48"/>
      <c r="N419" s="48"/>
      <c r="O419" s="48"/>
      <c r="P419" s="48"/>
      <c r="Q419" s="48"/>
      <c r="R419" s="48"/>
      <c r="S419" s="165"/>
      <c r="T419" s="48"/>
      <c r="U419" s="48"/>
      <c r="V419" s="48"/>
      <c r="W419" s="48"/>
      <c r="X419" s="48"/>
      <c r="Y419" s="48"/>
      <c r="Z419" s="43"/>
    </row>
    <row r="420" ht="14.25" customHeight="1">
      <c r="A420" s="214">
        <v>2.0</v>
      </c>
      <c r="B420" s="323" t="s">
        <v>3878</v>
      </c>
      <c r="C420" s="47">
        <v>417.0</v>
      </c>
      <c r="D420" s="47">
        <v>4.0</v>
      </c>
      <c r="E420" s="324">
        <v>43745.0</v>
      </c>
      <c r="F420" s="156" t="str">
        <f>HYPERLINK("https://www.liputan6.com/showbiz/read/4080117/tayang-senin-pagi-ini-sinopsis-ftv-sctv-anak-magang-bikin-sayang ","sumber")</f>
        <v>sumber</v>
      </c>
      <c r="G420" s="274" t="s">
        <v>33</v>
      </c>
      <c r="H420" s="214">
        <v>545.0</v>
      </c>
      <c r="I420" s="47">
        <v>5.0</v>
      </c>
      <c r="J420" s="47">
        <v>2.0</v>
      </c>
      <c r="K420" s="165"/>
      <c r="L420" s="48"/>
      <c r="M420" s="48"/>
      <c r="N420" s="48"/>
      <c r="O420" s="48"/>
      <c r="P420" s="48"/>
      <c r="Q420" s="48"/>
      <c r="R420" s="48"/>
      <c r="S420" s="165"/>
      <c r="T420" s="48"/>
      <c r="U420" s="48"/>
      <c r="V420" s="48"/>
      <c r="W420" s="48"/>
      <c r="X420" s="48"/>
      <c r="Y420" s="48"/>
      <c r="Z420" s="43"/>
    </row>
    <row r="421" ht="14.25" customHeight="1">
      <c r="A421" s="211">
        <v>1.0</v>
      </c>
      <c r="B421" s="321" t="s">
        <v>3879</v>
      </c>
      <c r="C421" s="44">
        <v>418.0</v>
      </c>
      <c r="D421" s="44">
        <v>3.0</v>
      </c>
      <c r="E421" s="322">
        <v>43745.0</v>
      </c>
      <c r="F421" s="162" t="str">
        <f>HYPERLINK("https://lifestyle.okezone.com/read/2019/10/07/481/2113936/banyak-pasien-gangguan-jiwa-bunuh-diri-meski-sudah-terapi-kenapa ","sumber")</f>
        <v>sumber</v>
      </c>
      <c r="G421" s="269" t="s">
        <v>33</v>
      </c>
      <c r="H421" s="257" t="s">
        <v>3880</v>
      </c>
      <c r="I421" s="44">
        <v>2.0</v>
      </c>
      <c r="J421" s="44">
        <v>2.0</v>
      </c>
      <c r="K421" s="164" t="s">
        <v>3881</v>
      </c>
      <c r="L421" s="44">
        <v>0.0</v>
      </c>
      <c r="M421" s="44">
        <v>0.0</v>
      </c>
      <c r="N421" s="44">
        <v>0.0</v>
      </c>
      <c r="O421" s="44">
        <v>0.0</v>
      </c>
      <c r="P421" s="44">
        <v>0.0</v>
      </c>
      <c r="Q421" s="286" t="s">
        <v>53</v>
      </c>
      <c r="R421" s="44" t="s">
        <v>138</v>
      </c>
      <c r="S421" s="164"/>
      <c r="T421" s="44">
        <v>0.0</v>
      </c>
      <c r="U421" s="44">
        <v>0.0</v>
      </c>
      <c r="V421" s="44">
        <v>1.0</v>
      </c>
      <c r="W421" s="45"/>
      <c r="X421" s="45"/>
      <c r="Y421" s="45"/>
      <c r="Z421" s="9"/>
    </row>
    <row r="422" ht="14.25" customHeight="1">
      <c r="A422" s="211">
        <v>1.0</v>
      </c>
      <c r="B422" s="321" t="s">
        <v>3882</v>
      </c>
      <c r="C422" s="44">
        <v>419.0</v>
      </c>
      <c r="D422" s="44">
        <v>3.0</v>
      </c>
      <c r="E422" s="322">
        <v>43747.0</v>
      </c>
      <c r="F422" s="162" t="str">
        <f>HYPERLINK("https://news.okezone.com/read/2019/10/09/609/2114906/diduga-gangguan-jiwa-napi-tewas-gantung-diri-pakai-sarung-di-lapas ","sumber")</f>
        <v>sumber</v>
      </c>
      <c r="G422" s="269" t="s">
        <v>33</v>
      </c>
      <c r="H422" s="297">
        <v>174.0</v>
      </c>
      <c r="I422" s="44">
        <v>1.0</v>
      </c>
      <c r="J422" s="44">
        <v>2.0</v>
      </c>
      <c r="K422" s="164" t="s">
        <v>3883</v>
      </c>
      <c r="L422" s="44">
        <v>0.0</v>
      </c>
      <c r="M422" s="188">
        <v>0.0</v>
      </c>
      <c r="N422" s="44">
        <v>0.0</v>
      </c>
      <c r="O422" s="44">
        <v>0.0</v>
      </c>
      <c r="P422" s="44">
        <v>0.0</v>
      </c>
      <c r="Q422" s="44" t="s">
        <v>61</v>
      </c>
      <c r="R422" s="44" t="s">
        <v>61</v>
      </c>
      <c r="S422" s="164"/>
      <c r="T422" s="44">
        <v>0.0</v>
      </c>
      <c r="U422" s="44">
        <v>0.0</v>
      </c>
      <c r="V422" s="44">
        <v>0.0</v>
      </c>
      <c r="W422" s="45"/>
      <c r="X422" s="45"/>
      <c r="Y422" s="45"/>
      <c r="Z422" s="9"/>
    </row>
    <row r="423" ht="14.25" customHeight="1">
      <c r="A423" s="189">
        <v>1.0</v>
      </c>
      <c r="B423" s="245" t="s">
        <v>3884</v>
      </c>
      <c r="C423" s="55">
        <v>420.0</v>
      </c>
      <c r="D423" s="55">
        <v>1.0</v>
      </c>
      <c r="E423" s="325">
        <v>43748.0</v>
      </c>
      <c r="F423" s="171" t="str">
        <f>HYPERLINK("https://news.detik.com/berita/d-4740260/ylbhi-dan-pemerhati-odgj-somasi-dirut-bpjs-kesehatan-terkait-postingan-joker","sumber")</f>
        <v>sumber</v>
      </c>
      <c r="G423" s="277" t="s">
        <v>33</v>
      </c>
      <c r="H423" s="326">
        <v>375.0</v>
      </c>
      <c r="I423" s="55">
        <v>1.0</v>
      </c>
      <c r="J423" s="55">
        <v>3.0</v>
      </c>
      <c r="K423" s="172" t="s">
        <v>3885</v>
      </c>
      <c r="L423" s="55">
        <v>0.0</v>
      </c>
      <c r="M423" s="55">
        <v>1.0</v>
      </c>
      <c r="N423" s="55">
        <v>0.0</v>
      </c>
      <c r="O423" s="55">
        <v>0.0</v>
      </c>
      <c r="P423" s="55">
        <v>0.0</v>
      </c>
      <c r="Q423" s="55">
        <v>0.0</v>
      </c>
      <c r="R423" s="55">
        <v>1.0</v>
      </c>
      <c r="S423" s="172"/>
      <c r="T423" s="55">
        <v>0.0</v>
      </c>
      <c r="U423" s="55">
        <v>0.0</v>
      </c>
      <c r="V423" s="55">
        <v>0.0</v>
      </c>
      <c r="W423" s="46"/>
      <c r="X423" s="46"/>
      <c r="Y423" s="46"/>
      <c r="Z423" s="31"/>
    </row>
    <row r="424" ht="14.25" customHeight="1">
      <c r="A424" s="211">
        <v>1.0</v>
      </c>
      <c r="B424" s="321" t="s">
        <v>3886</v>
      </c>
      <c r="C424" s="44">
        <v>421.0</v>
      </c>
      <c r="D424" s="44">
        <v>5.0</v>
      </c>
      <c r="E424" s="322">
        <v>43787.0</v>
      </c>
      <c r="F424" s="162" t="str">
        <f>HYPERLINK("https://tirto.id/persyaratan-cpns-bawaslu-2019-dokumen-pendukung-alur-pendaftaran-elUm ","sumber")</f>
        <v>sumber</v>
      </c>
      <c r="G424" s="269" t="s">
        <v>33</v>
      </c>
      <c r="H424" s="297">
        <v>1157.0</v>
      </c>
      <c r="I424" s="44">
        <v>4.0</v>
      </c>
      <c r="J424" s="44">
        <v>2.0</v>
      </c>
      <c r="K424" s="164" t="s">
        <v>3887</v>
      </c>
      <c r="L424" s="44">
        <v>0.0</v>
      </c>
      <c r="M424" s="44">
        <v>0.0</v>
      </c>
      <c r="N424" s="44">
        <v>0.0</v>
      </c>
      <c r="O424" s="44">
        <v>0.0</v>
      </c>
      <c r="P424" s="44">
        <v>0.0</v>
      </c>
      <c r="Q424" s="44">
        <v>0.0</v>
      </c>
      <c r="R424" s="44">
        <v>0.0</v>
      </c>
      <c r="S424" s="164"/>
      <c r="T424" s="44">
        <v>0.0</v>
      </c>
      <c r="U424" s="44">
        <v>0.0</v>
      </c>
      <c r="V424" s="44">
        <v>0.0</v>
      </c>
      <c r="W424" s="45"/>
      <c r="X424" s="45"/>
      <c r="Y424" s="45"/>
      <c r="Z424" s="9"/>
    </row>
    <row r="425" ht="14.25" customHeight="1">
      <c r="A425" s="211">
        <v>1.0</v>
      </c>
      <c r="B425" s="321" t="s">
        <v>3888</v>
      </c>
      <c r="C425" s="44">
        <v>422.0</v>
      </c>
      <c r="D425" s="44">
        <v>6.0</v>
      </c>
      <c r="E425" s="322">
        <v>43788.0</v>
      </c>
      <c r="F425" s="162" t="str">
        <f>HYPERLINK("https://regional.kompas.com/read/2019/11/19/16064281/remaja-tewas-terkubur-di-pekarangan-rumah-ibu-korban-jalani-observasi ","sumber")</f>
        <v>sumber</v>
      </c>
      <c r="G425" s="269" t="s">
        <v>33</v>
      </c>
      <c r="H425" s="297">
        <v>201.0</v>
      </c>
      <c r="I425" s="44">
        <v>1.0</v>
      </c>
      <c r="J425" s="44">
        <v>2.0</v>
      </c>
      <c r="K425" s="164" t="s">
        <v>3889</v>
      </c>
      <c r="L425" s="44">
        <v>0.0</v>
      </c>
      <c r="M425" s="44">
        <v>-1.0</v>
      </c>
      <c r="N425" s="44">
        <v>0.0</v>
      </c>
      <c r="O425" s="44">
        <v>0.0</v>
      </c>
      <c r="P425" s="44">
        <v>0.0</v>
      </c>
      <c r="Q425" s="44">
        <v>0.0</v>
      </c>
      <c r="R425" s="44">
        <v>0.0</v>
      </c>
      <c r="S425" s="164"/>
      <c r="T425" s="44">
        <v>0.0</v>
      </c>
      <c r="U425" s="44">
        <v>0.0</v>
      </c>
      <c r="V425" s="44">
        <v>0.0</v>
      </c>
      <c r="W425" s="45"/>
      <c r="X425" s="45"/>
      <c r="Y425" s="45"/>
      <c r="Z425" s="9"/>
    </row>
    <row r="426" ht="14.25" customHeight="1">
      <c r="A426" s="211">
        <v>1.0</v>
      </c>
      <c r="B426" s="321" t="s">
        <v>3890</v>
      </c>
      <c r="C426" s="44">
        <v>423.0</v>
      </c>
      <c r="D426" s="44">
        <v>5.0</v>
      </c>
      <c r="E426" s="322">
        <v>43788.0</v>
      </c>
      <c r="F426" s="162" t="str">
        <f>HYPERLINK("https://tirto.id/pendaftaran-cpns-kementerian-ketenagakerjaan-ditutup-25-november-elXA ","sumber")</f>
        <v>sumber</v>
      </c>
      <c r="G426" s="269" t="s">
        <v>33</v>
      </c>
      <c r="H426" s="297">
        <v>301.0</v>
      </c>
      <c r="I426" s="44">
        <v>4.0</v>
      </c>
      <c r="J426" s="44">
        <v>2.0</v>
      </c>
      <c r="K426" s="164" t="s">
        <v>3891</v>
      </c>
      <c r="L426" s="44">
        <v>0.0</v>
      </c>
      <c r="M426" s="44">
        <v>0.0</v>
      </c>
      <c r="N426" s="44">
        <v>0.0</v>
      </c>
      <c r="O426" s="44">
        <v>0.0</v>
      </c>
      <c r="P426" s="44">
        <v>0.0</v>
      </c>
      <c r="Q426" s="44" t="s">
        <v>61</v>
      </c>
      <c r="R426" s="44" t="s">
        <v>61</v>
      </c>
      <c r="S426" s="164"/>
      <c r="T426" s="44">
        <v>0.0</v>
      </c>
      <c r="U426" s="44">
        <v>0.0</v>
      </c>
      <c r="V426" s="44">
        <v>0.0</v>
      </c>
      <c r="W426" s="45"/>
      <c r="X426" s="45"/>
      <c r="Y426" s="45"/>
      <c r="Z426" s="9"/>
    </row>
    <row r="427" ht="14.25" customHeight="1">
      <c r="A427" s="211">
        <v>1.0</v>
      </c>
      <c r="B427" s="321" t="s">
        <v>2735</v>
      </c>
      <c r="C427" s="44">
        <v>424.0</v>
      </c>
      <c r="D427" s="44">
        <v>6.0</v>
      </c>
      <c r="E427" s="322">
        <v>43789.0</v>
      </c>
      <c r="F427" s="162" t="str">
        <f>HYPERLINK("https://megapolitan.kompas.com/read/2019/11/20/15070011/pengemudi-ojek-hingga-tukang-pijat-9-orang-ini-buktikan-siapa-saja-bisa ","sumber")</f>
        <v>sumber</v>
      </c>
      <c r="G427" s="269" t="s">
        <v>33</v>
      </c>
      <c r="H427" s="297">
        <v>1631.0</v>
      </c>
      <c r="I427" s="44">
        <v>3.0</v>
      </c>
      <c r="J427" s="44">
        <v>2.0</v>
      </c>
      <c r="K427" s="164" t="s">
        <v>3892</v>
      </c>
      <c r="L427" s="44">
        <v>0.0</v>
      </c>
      <c r="M427" s="44">
        <v>0.0</v>
      </c>
      <c r="N427" s="44">
        <v>0.0</v>
      </c>
      <c r="O427" s="44">
        <v>0.0</v>
      </c>
      <c r="P427" s="44">
        <v>0.0</v>
      </c>
      <c r="Q427" s="164" t="s">
        <v>3893</v>
      </c>
      <c r="R427" s="44" t="s">
        <v>2852</v>
      </c>
      <c r="S427" s="164"/>
      <c r="T427" s="44">
        <v>0.0</v>
      </c>
      <c r="U427" s="44">
        <v>0.0</v>
      </c>
      <c r="V427" s="44">
        <v>0.0</v>
      </c>
      <c r="W427" s="45"/>
      <c r="X427" s="45"/>
      <c r="Y427" s="45"/>
      <c r="Z427" s="9"/>
    </row>
    <row r="428" ht="14.25" customHeight="1">
      <c r="A428" s="211">
        <v>1.0</v>
      </c>
      <c r="B428" s="321" t="s">
        <v>938</v>
      </c>
      <c r="C428" s="44">
        <v>425.0</v>
      </c>
      <c r="D428" s="44">
        <v>9.0</v>
      </c>
      <c r="E428" s="322">
        <v>43789.0</v>
      </c>
      <c r="F428" s="162" t="str">
        <f>HYPERLINK("https://republika.co.id/berita/q1989n335/uns-jalin-kerjasama-dengan-npc-indonesia ","sumber")</f>
        <v>sumber</v>
      </c>
      <c r="G428" s="269" t="s">
        <v>33</v>
      </c>
      <c r="H428" s="297">
        <v>297.0</v>
      </c>
      <c r="I428" s="44">
        <v>3.0</v>
      </c>
      <c r="J428" s="44">
        <v>2.0</v>
      </c>
      <c r="K428" s="164" t="s">
        <v>3894</v>
      </c>
      <c r="L428" s="44">
        <v>0.0</v>
      </c>
      <c r="M428" s="44">
        <v>0.0</v>
      </c>
      <c r="N428" s="44">
        <v>0.0</v>
      </c>
      <c r="O428" s="44">
        <v>0.0</v>
      </c>
      <c r="P428" s="44">
        <v>0.0</v>
      </c>
      <c r="Q428" s="44" t="s">
        <v>214</v>
      </c>
      <c r="R428" s="44" t="s">
        <v>192</v>
      </c>
      <c r="S428" s="164"/>
      <c r="T428" s="44">
        <v>0.0</v>
      </c>
      <c r="U428" s="44">
        <v>0.0</v>
      </c>
      <c r="V428" s="44">
        <v>0.0</v>
      </c>
      <c r="W428" s="45"/>
      <c r="X428" s="45"/>
      <c r="Y428" s="45"/>
      <c r="Z428" s="9"/>
    </row>
    <row r="429" ht="14.25" customHeight="1">
      <c r="A429" s="211">
        <v>1.0</v>
      </c>
      <c r="B429" s="321" t="s">
        <v>3895</v>
      </c>
      <c r="C429" s="44">
        <v>426.0</v>
      </c>
      <c r="D429" s="44">
        <v>1.0</v>
      </c>
      <c r="E429" s="322">
        <v>43790.0</v>
      </c>
      <c r="F429" s="162" t="str">
        <f>HYPERLINK("https://health.detik.com/berita-detikhealth/d-4792539/tak-perlu-malu-punya-anak-autis-ini-pesan-dian-sastrowardoyo ","sumber")</f>
        <v>sumber</v>
      </c>
      <c r="G429" s="269" t="s">
        <v>33</v>
      </c>
      <c r="H429" s="297">
        <v>277.0</v>
      </c>
      <c r="I429" s="44">
        <v>2.0</v>
      </c>
      <c r="J429" s="44">
        <v>2.0</v>
      </c>
      <c r="K429" s="164" t="s">
        <v>3896</v>
      </c>
      <c r="L429" s="44">
        <v>0.0</v>
      </c>
      <c r="M429" s="44">
        <v>0.0</v>
      </c>
      <c r="N429" s="44">
        <v>0.0</v>
      </c>
      <c r="O429" s="44">
        <v>0.0</v>
      </c>
      <c r="P429" s="44">
        <v>0.0</v>
      </c>
      <c r="Q429" s="44">
        <v>0.0</v>
      </c>
      <c r="R429" s="44">
        <v>1.0</v>
      </c>
      <c r="S429" s="164"/>
      <c r="T429" s="44">
        <v>0.0</v>
      </c>
      <c r="U429" s="44">
        <v>0.0</v>
      </c>
      <c r="V429" s="44">
        <v>1.0</v>
      </c>
      <c r="W429" s="45"/>
      <c r="X429" s="45"/>
      <c r="Y429" s="45"/>
      <c r="Z429" s="9"/>
    </row>
    <row r="430" ht="14.25" customHeight="1">
      <c r="A430" s="211">
        <v>1.0</v>
      </c>
      <c r="B430" s="321" t="s">
        <v>3897</v>
      </c>
      <c r="C430" s="44">
        <v>427.0</v>
      </c>
      <c r="D430" s="44">
        <v>10.0</v>
      </c>
      <c r="E430" s="322">
        <v>43792.0</v>
      </c>
      <c r="F430" s="162" t="str">
        <f>HYPERLINK("https://nasional.tempo.co/read/1275605/amnesty-international-protes-syarat-cpns-berikut-alasannya ","sumber")</f>
        <v>sumber</v>
      </c>
      <c r="G430" s="269" t="s">
        <v>33</v>
      </c>
      <c r="H430" s="297">
        <v>289.0</v>
      </c>
      <c r="I430" s="44">
        <v>4.0</v>
      </c>
      <c r="J430" s="44">
        <v>2.0</v>
      </c>
      <c r="K430" s="164" t="s">
        <v>3898</v>
      </c>
      <c r="L430" s="44">
        <v>0.0</v>
      </c>
      <c r="M430" s="44">
        <v>0.0</v>
      </c>
      <c r="N430" s="44">
        <v>0.0</v>
      </c>
      <c r="O430" s="44">
        <v>0.0</v>
      </c>
      <c r="P430" s="44">
        <v>0.0</v>
      </c>
      <c r="Q430" s="44">
        <v>1.0</v>
      </c>
      <c r="R430" s="44">
        <v>1.0</v>
      </c>
      <c r="S430" s="164"/>
      <c r="T430" s="44">
        <v>0.0</v>
      </c>
      <c r="U430" s="44">
        <v>0.0</v>
      </c>
      <c r="V430" s="44">
        <v>0.0</v>
      </c>
      <c r="W430" s="45"/>
      <c r="X430" s="45"/>
      <c r="Y430" s="45"/>
      <c r="Z430" s="9"/>
    </row>
    <row r="431" ht="14.25" customHeight="1">
      <c r="A431" s="214">
        <v>2.0</v>
      </c>
      <c r="B431" s="323" t="s">
        <v>3899</v>
      </c>
      <c r="C431" s="47">
        <v>428.0</v>
      </c>
      <c r="D431" s="47">
        <v>1.0</v>
      </c>
      <c r="E431" s="324">
        <v>43793.0</v>
      </c>
      <c r="F431" s="156" t="str">
        <f>HYPERLINK("https://hot.detik.com/culture/d-4796459/cerita-budayawan-ini-saat-deputi-anies-bentak-bentak ","sumber")</f>
        <v>sumber</v>
      </c>
      <c r="G431" s="274" t="s">
        <v>33</v>
      </c>
      <c r="H431" s="214">
        <v>1995.0</v>
      </c>
      <c r="I431" s="47">
        <v>1.0</v>
      </c>
      <c r="J431" s="47">
        <v>5.0</v>
      </c>
      <c r="K431" s="157"/>
      <c r="L431" s="48"/>
      <c r="M431" s="48"/>
      <c r="N431" s="48"/>
      <c r="O431" s="48"/>
      <c r="P431" s="48"/>
      <c r="Q431" s="48"/>
      <c r="R431" s="48"/>
      <c r="S431" s="165"/>
      <c r="T431" s="48"/>
      <c r="U431" s="48"/>
      <c r="V431" s="48"/>
      <c r="W431" s="48"/>
      <c r="X431" s="48"/>
      <c r="Y431" s="48"/>
      <c r="Z431" s="43"/>
    </row>
    <row r="432" ht="14.25" customHeight="1">
      <c r="A432" s="214">
        <v>2.0</v>
      </c>
      <c r="B432" s="323" t="s">
        <v>3900</v>
      </c>
      <c r="C432" s="47">
        <v>429.0</v>
      </c>
      <c r="D432" s="47">
        <v>7.0</v>
      </c>
      <c r="E432" s="324">
        <v>43793.0</v>
      </c>
      <c r="F432" s="156" t="str">
        <f>HYPERLINK("https://www.tribunnews.com/seleb/2019/11/24/ashanty-tanggapi-kabar-penyakitnya-yang-dikaitkan-dengan-hal-mistis ","sumber")</f>
        <v>sumber</v>
      </c>
      <c r="G432" s="274" t="s">
        <v>33</v>
      </c>
      <c r="H432" s="214">
        <v>109.0</v>
      </c>
      <c r="I432" s="47">
        <v>2.0</v>
      </c>
      <c r="J432" s="47">
        <v>2.0</v>
      </c>
      <c r="K432" s="165"/>
      <c r="L432" s="48"/>
      <c r="M432" s="48"/>
      <c r="N432" s="48"/>
      <c r="O432" s="48"/>
      <c r="P432" s="48"/>
      <c r="Q432" s="48"/>
      <c r="R432" s="48"/>
      <c r="S432" s="165"/>
      <c r="T432" s="48"/>
      <c r="U432" s="48"/>
      <c r="V432" s="48"/>
      <c r="W432" s="48"/>
      <c r="X432" s="48"/>
      <c r="Y432" s="48"/>
      <c r="Z432" s="43"/>
    </row>
    <row r="433" ht="14.25" customHeight="1">
      <c r="A433" s="189">
        <v>1.0</v>
      </c>
      <c r="B433" s="245" t="s">
        <v>3901</v>
      </c>
      <c r="C433" s="55">
        <v>430.0</v>
      </c>
      <c r="D433" s="55">
        <v>10.0</v>
      </c>
      <c r="E433" s="325">
        <v>43819.0</v>
      </c>
      <c r="F433" s="171" t="str">
        <f>HYPERLINK("https://sport.tempo.co/read/1286022/asean-para-games-2020-angkat-berat-berharap-emas-pada-putri","sumber")</f>
        <v>sumber</v>
      </c>
      <c r="G433" s="277" t="s">
        <v>33</v>
      </c>
      <c r="H433" s="326">
        <v>239.0</v>
      </c>
      <c r="I433" s="55">
        <v>3.0</v>
      </c>
      <c r="J433" s="55">
        <v>2.0</v>
      </c>
      <c r="K433" s="172" t="s">
        <v>3902</v>
      </c>
      <c r="L433" s="55">
        <v>0.0</v>
      </c>
      <c r="M433" s="55">
        <v>0.0</v>
      </c>
      <c r="N433" s="55">
        <v>0.0</v>
      </c>
      <c r="O433" s="55">
        <v>0.0</v>
      </c>
      <c r="P433" s="55">
        <v>0.0</v>
      </c>
      <c r="Q433" s="55" t="s">
        <v>61</v>
      </c>
      <c r="R433" s="55" t="s">
        <v>192</v>
      </c>
      <c r="S433" s="172"/>
      <c r="T433" s="55">
        <v>0.0</v>
      </c>
      <c r="U433" s="55">
        <v>0.0</v>
      </c>
      <c r="V433" s="55">
        <v>0.0</v>
      </c>
      <c r="W433" s="46"/>
      <c r="X433" s="46"/>
      <c r="Y433" s="46"/>
      <c r="Z433" s="31"/>
    </row>
    <row r="434" ht="14.25" customHeight="1">
      <c r="A434" s="214">
        <v>2.0</v>
      </c>
      <c r="B434" s="323" t="s">
        <v>3903</v>
      </c>
      <c r="C434" s="47">
        <v>431.0</v>
      </c>
      <c r="D434" s="47">
        <v>1.0</v>
      </c>
      <c r="E434" s="324">
        <v>43815.0</v>
      </c>
      <c r="F434" s="156" t="str">
        <f>HYPERLINK("https://hot.detik.com/art/d-4824356/seniman-perempuan-irak-bangkit-bikin-mural-di-tembok-baghdad ","sumber")</f>
        <v>sumber</v>
      </c>
      <c r="G434" s="274" t="s">
        <v>33</v>
      </c>
      <c r="H434" s="214">
        <v>1883.0</v>
      </c>
      <c r="I434" s="47">
        <v>5.0</v>
      </c>
      <c r="J434" s="47">
        <v>5.0</v>
      </c>
      <c r="K434" s="165"/>
      <c r="L434" s="48"/>
      <c r="M434" s="48"/>
      <c r="N434" s="48"/>
      <c r="O434" s="48"/>
      <c r="P434" s="48"/>
      <c r="Q434" s="48"/>
      <c r="R434" s="48"/>
      <c r="S434" s="165"/>
      <c r="T434" s="48"/>
      <c r="U434" s="48"/>
      <c r="V434" s="48"/>
      <c r="W434" s="48"/>
      <c r="X434" s="48"/>
      <c r="Y434" s="48"/>
      <c r="Z434" s="43"/>
    </row>
    <row r="435" ht="14.25" customHeight="1">
      <c r="A435" s="211">
        <v>1.0</v>
      </c>
      <c r="B435" s="321" t="s">
        <v>3904</v>
      </c>
      <c r="C435" s="44">
        <v>432.0</v>
      </c>
      <c r="D435" s="44">
        <v>4.0</v>
      </c>
      <c r="E435" s="322">
        <v>43815.0</v>
      </c>
      <c r="F435" s="162" t="str">
        <f>HYPERLINK("https://www.liputan6.com/bisnis/read/4135022/pemerintah-dorong-produk-lokal-penuhi-rest-area-jalan-tol ","sumber")</f>
        <v>sumber</v>
      </c>
      <c r="G435" s="269" t="s">
        <v>33</v>
      </c>
      <c r="H435" s="297">
        <v>520.0</v>
      </c>
      <c r="I435" s="44">
        <v>4.0</v>
      </c>
      <c r="J435" s="44">
        <v>2.0</v>
      </c>
      <c r="K435" s="164" t="s">
        <v>3905</v>
      </c>
      <c r="L435" s="44">
        <v>0.0</v>
      </c>
      <c r="M435" s="44">
        <v>0.0</v>
      </c>
      <c r="N435" s="44">
        <v>0.0</v>
      </c>
      <c r="O435" s="44">
        <v>0.0</v>
      </c>
      <c r="P435" s="44">
        <v>0.0</v>
      </c>
      <c r="Q435" s="44" t="s">
        <v>61</v>
      </c>
      <c r="R435" s="44" t="s">
        <v>214</v>
      </c>
      <c r="S435" s="164"/>
      <c r="T435" s="44">
        <v>0.0</v>
      </c>
      <c r="U435" s="44">
        <v>0.0</v>
      </c>
      <c r="V435" s="44">
        <v>0.0</v>
      </c>
      <c r="W435" s="45"/>
      <c r="X435" s="45"/>
      <c r="Y435" s="45"/>
      <c r="Z435" s="9"/>
    </row>
    <row r="436" ht="14.25" customHeight="1">
      <c r="A436" s="211">
        <v>1.0</v>
      </c>
      <c r="B436" s="321" t="s">
        <v>3906</v>
      </c>
      <c r="C436" s="44">
        <v>433.0</v>
      </c>
      <c r="D436" s="44">
        <v>8.0</v>
      </c>
      <c r="E436" s="322">
        <v>43815.0</v>
      </c>
      <c r="F436" s="162" t="str">
        <f>HYPERLINK("https://www.suara.com/sport/2019/12/16/164951/thailand-diprediksi-jadi-lawan-kuat-indonesia-di-asean-para-games-2020 ","sumber")</f>
        <v>sumber</v>
      </c>
      <c r="G436" s="269" t="s">
        <v>33</v>
      </c>
      <c r="H436" s="297">
        <v>378.0</v>
      </c>
      <c r="I436" s="44">
        <v>3.0</v>
      </c>
      <c r="J436" s="44">
        <v>2.0</v>
      </c>
      <c r="K436" s="164" t="s">
        <v>3907</v>
      </c>
      <c r="L436" s="44">
        <v>0.0</v>
      </c>
      <c r="M436" s="44">
        <v>0.0</v>
      </c>
      <c r="N436" s="44">
        <v>0.0</v>
      </c>
      <c r="O436" s="44">
        <v>0.0</v>
      </c>
      <c r="P436" s="44">
        <v>0.0</v>
      </c>
      <c r="Q436" s="44">
        <v>1.0</v>
      </c>
      <c r="R436" s="44">
        <v>1.0</v>
      </c>
      <c r="S436" s="164"/>
      <c r="T436" s="44">
        <v>0.0</v>
      </c>
      <c r="U436" s="44">
        <v>0.0</v>
      </c>
      <c r="V436" s="44">
        <v>0.0</v>
      </c>
      <c r="W436" s="45"/>
      <c r="X436" s="45"/>
      <c r="Y436" s="45"/>
      <c r="Z436" s="9"/>
    </row>
    <row r="437" ht="14.25" customHeight="1">
      <c r="A437" s="214">
        <v>2.0</v>
      </c>
      <c r="B437" s="323" t="s">
        <v>3908</v>
      </c>
      <c r="C437" s="47">
        <v>434.0</v>
      </c>
      <c r="D437" s="47">
        <v>9.0</v>
      </c>
      <c r="E437" s="324">
        <v>43816.0</v>
      </c>
      <c r="F437" s="156" t="str">
        <f>HYPERLINK("https://republika.co.id/berita/q2mu71370/amazon-larang-pedagangnya-untuk-gunakan-jasa-fedex ","sumber")</f>
        <v>sumber</v>
      </c>
      <c r="G437" s="274" t="s">
        <v>33</v>
      </c>
      <c r="H437" s="214">
        <v>468.0</v>
      </c>
      <c r="I437" s="47">
        <v>5.0</v>
      </c>
      <c r="J437" s="47">
        <v>5.0</v>
      </c>
      <c r="K437" s="165"/>
      <c r="L437" s="48"/>
      <c r="M437" s="48"/>
      <c r="N437" s="48"/>
      <c r="O437" s="48"/>
      <c r="P437" s="48"/>
      <c r="Q437" s="48"/>
      <c r="R437" s="48"/>
      <c r="S437" s="165"/>
      <c r="T437" s="48"/>
      <c r="U437" s="48"/>
      <c r="V437" s="48"/>
      <c r="W437" s="48"/>
      <c r="X437" s="48"/>
      <c r="Y437" s="48"/>
      <c r="Z437" s="43"/>
    </row>
    <row r="438" ht="14.25" customHeight="1">
      <c r="A438" s="211">
        <v>1.0</v>
      </c>
      <c r="B438" s="321" t="s">
        <v>3909</v>
      </c>
      <c r="C438" s="44">
        <v>435.0</v>
      </c>
      <c r="D438" s="44">
        <v>5.0</v>
      </c>
      <c r="E438" s="322">
        <v>43816.0</v>
      </c>
      <c r="F438" s="162" t="str">
        <f>HYPERLINK("https://tirto.id/aturan-baru-zonasi-ppdb-2020-yang-ditetapkan-nadiem-makarim-enAD ","sumber")</f>
        <v>sumber</v>
      </c>
      <c r="G438" s="269" t="s">
        <v>33</v>
      </c>
      <c r="H438" s="297">
        <v>785.0</v>
      </c>
      <c r="I438" s="44">
        <v>4.0</v>
      </c>
      <c r="J438" s="44">
        <v>2.0</v>
      </c>
      <c r="K438" s="164" t="s">
        <v>3910</v>
      </c>
      <c r="L438" s="44">
        <v>0.0</v>
      </c>
      <c r="M438" s="44">
        <v>0.0</v>
      </c>
      <c r="N438" s="44">
        <v>0.0</v>
      </c>
      <c r="O438" s="44">
        <v>0.0</v>
      </c>
      <c r="P438" s="44">
        <v>0.0</v>
      </c>
      <c r="Q438" s="44">
        <v>0.0</v>
      </c>
      <c r="R438" s="44">
        <v>0.0</v>
      </c>
      <c r="S438" s="164"/>
      <c r="T438" s="44">
        <v>0.0</v>
      </c>
      <c r="U438" s="44">
        <v>0.0</v>
      </c>
      <c r="V438" s="44">
        <v>0.0</v>
      </c>
      <c r="W438" s="45"/>
      <c r="X438" s="45"/>
      <c r="Y438" s="45"/>
      <c r="Z438" s="9"/>
    </row>
    <row r="439" ht="14.25" customHeight="1">
      <c r="A439" s="189">
        <v>1.0</v>
      </c>
      <c r="B439" s="245" t="s">
        <v>3911</v>
      </c>
      <c r="C439" s="55">
        <v>436.0</v>
      </c>
      <c r="D439" s="55">
        <v>6.0</v>
      </c>
      <c r="E439" s="325">
        <v>43817.0</v>
      </c>
      <c r="F439" s="171" t="str">
        <f>HYPERLINK("https://megapolitan.kompas.com/read/2019/12/18/18273771/dibawa-polisi-istri-yang-pukuli-suami-pengidap-stroke-mengamuk","sumber")</f>
        <v>sumber</v>
      </c>
      <c r="G439" s="277" t="s">
        <v>33</v>
      </c>
      <c r="H439" s="326">
        <v>242.0</v>
      </c>
      <c r="I439" s="55">
        <v>1.0</v>
      </c>
      <c r="J439" s="55">
        <v>2.0</v>
      </c>
      <c r="K439" s="172" t="s">
        <v>3912</v>
      </c>
      <c r="L439" s="55">
        <v>0.0</v>
      </c>
      <c r="M439" s="55">
        <v>-1.0</v>
      </c>
      <c r="N439" s="55">
        <v>0.0</v>
      </c>
      <c r="O439" s="55">
        <v>0.0</v>
      </c>
      <c r="P439" s="55">
        <v>0.0</v>
      </c>
      <c r="Q439" s="55">
        <v>0.0</v>
      </c>
      <c r="R439" s="55">
        <v>0.0</v>
      </c>
      <c r="S439" s="172"/>
      <c r="T439" s="55">
        <v>0.0</v>
      </c>
      <c r="U439" s="55">
        <v>0.0</v>
      </c>
      <c r="V439" s="55">
        <v>0.0</v>
      </c>
      <c r="W439" s="46"/>
      <c r="X439" s="46"/>
      <c r="Y439" s="46"/>
      <c r="Z439" s="31"/>
    </row>
    <row r="440" ht="14.25" customHeight="1">
      <c r="A440" s="211">
        <v>1.0</v>
      </c>
      <c r="B440" s="321" t="s">
        <v>965</v>
      </c>
      <c r="C440" s="44">
        <v>437.0</v>
      </c>
      <c r="D440" s="44">
        <v>3.0</v>
      </c>
      <c r="E440" s="322">
        <v>43819.0</v>
      </c>
      <c r="F440" s="162" t="str">
        <f>HYPERLINK("https://lifestyle.okezone.com/read/2019/12/19/481/2143834/nonton-serial-drama-3-minggu-berturut-turut-pria-ini-mendadak-buta-dan-stroke ","sumber")</f>
        <v>sumber</v>
      </c>
      <c r="G440" s="269" t="s">
        <v>33</v>
      </c>
      <c r="H440" s="297">
        <v>311.0</v>
      </c>
      <c r="I440" s="44">
        <v>2.0</v>
      </c>
      <c r="J440" s="44">
        <v>2.0</v>
      </c>
      <c r="K440" s="164" t="s">
        <v>3913</v>
      </c>
      <c r="L440" s="44">
        <v>0.0</v>
      </c>
      <c r="M440" s="44">
        <v>0.0</v>
      </c>
      <c r="N440" s="44">
        <v>0.0</v>
      </c>
      <c r="O440" s="44">
        <v>0.0</v>
      </c>
      <c r="P440" s="44">
        <v>0.0</v>
      </c>
      <c r="Q440" s="44" t="s">
        <v>61</v>
      </c>
      <c r="R440" s="44" t="s">
        <v>61</v>
      </c>
      <c r="S440" s="164"/>
      <c r="T440" s="44">
        <v>0.0</v>
      </c>
      <c r="U440" s="44">
        <v>0.0</v>
      </c>
      <c r="V440" s="44">
        <v>0.0</v>
      </c>
      <c r="W440" s="45"/>
      <c r="X440" s="45"/>
      <c r="Y440" s="45"/>
      <c r="Z440" s="9"/>
    </row>
    <row r="441" ht="14.25" customHeight="1">
      <c r="A441" s="211">
        <v>1.0</v>
      </c>
      <c r="B441" s="321" t="s">
        <v>3914</v>
      </c>
      <c r="C441" s="44">
        <v>438.0</v>
      </c>
      <c r="D441" s="44">
        <v>6.0</v>
      </c>
      <c r="E441" s="322">
        <v>43822.0</v>
      </c>
      <c r="F441" s="162" t="str">
        <f>HYPERLINK("https://nasional.kompas.com/read/2019/12/23/00534661/stafsus-milenial-jokowi-angkie-yudistia-ceritakan-sulitnya-difabel-hidup ","sumber")</f>
        <v>sumber</v>
      </c>
      <c r="G441" s="269" t="s">
        <v>33</v>
      </c>
      <c r="H441" s="297">
        <v>260.0</v>
      </c>
      <c r="I441" s="44">
        <v>3.0</v>
      </c>
      <c r="J441" s="44">
        <v>2.0</v>
      </c>
      <c r="K441" s="164" t="s">
        <v>946</v>
      </c>
      <c r="L441" s="44">
        <v>0.0</v>
      </c>
      <c r="M441" s="44">
        <v>0.0</v>
      </c>
      <c r="N441" s="44">
        <v>0.0</v>
      </c>
      <c r="O441" s="44">
        <v>0.0</v>
      </c>
      <c r="P441" s="44">
        <v>0.0</v>
      </c>
      <c r="Q441" s="44">
        <v>2.0</v>
      </c>
      <c r="R441" s="44">
        <v>1.0</v>
      </c>
      <c r="S441" s="164"/>
      <c r="T441" s="44">
        <v>0.0</v>
      </c>
      <c r="U441" s="44">
        <v>0.0</v>
      </c>
      <c r="V441" s="44">
        <v>0.0</v>
      </c>
      <c r="W441" s="45"/>
      <c r="X441" s="45"/>
      <c r="Y441" s="45"/>
      <c r="Z441" s="9"/>
    </row>
    <row r="442" ht="14.25" customHeight="1">
      <c r="A442" s="214">
        <v>2.0</v>
      </c>
      <c r="B442" s="323" t="s">
        <v>3915</v>
      </c>
      <c r="C442" s="47">
        <v>439.0</v>
      </c>
      <c r="D442" s="47">
        <v>4.0</v>
      </c>
      <c r="E442" s="324">
        <v>43824.0</v>
      </c>
      <c r="F442" s="156" t="str">
        <f>HYPERLINK("https://hot.liputan6.com/read/4141668/tata-cara-aqiqah-sesuai-sunnah-rasul-lengkap-beserta-doanya ","sumber")</f>
        <v>sumber</v>
      </c>
      <c r="G442" s="274" t="s">
        <v>33</v>
      </c>
      <c r="H442" s="214">
        <v>1075.0</v>
      </c>
      <c r="I442" s="47">
        <v>2.0</v>
      </c>
      <c r="J442" s="47">
        <v>5.0</v>
      </c>
      <c r="K442" s="165"/>
      <c r="L442" s="48"/>
      <c r="M442" s="48"/>
      <c r="N442" s="48"/>
      <c r="O442" s="48"/>
      <c r="P442" s="48"/>
      <c r="Q442" s="48"/>
      <c r="R442" s="48"/>
      <c r="S442" s="165"/>
      <c r="T442" s="48"/>
      <c r="U442" s="48"/>
      <c r="V442" s="48"/>
      <c r="W442" s="48"/>
      <c r="X442" s="48"/>
      <c r="Y442" s="48"/>
      <c r="Z442" s="43"/>
    </row>
    <row r="443" ht="14.25" customHeight="1">
      <c r="A443" s="214">
        <v>2.0</v>
      </c>
      <c r="B443" s="323" t="s">
        <v>3916</v>
      </c>
      <c r="C443" s="47">
        <v>440.0</v>
      </c>
      <c r="D443" s="47">
        <v>1.0</v>
      </c>
      <c r="E443" s="324">
        <v>43827.0</v>
      </c>
      <c r="F443" s="156" t="str">
        <f>HYPERLINK("https://hot.detik.com/celeb/d-4838300/pernikahan-ajun-perwira-jennifer-antara-cinta-harta-dan-perbedaan ","sumber")</f>
        <v>sumber</v>
      </c>
      <c r="G443" s="274" t="s">
        <v>33</v>
      </c>
      <c r="H443" s="214">
        <v>1335.0</v>
      </c>
      <c r="I443" s="47">
        <v>2.0</v>
      </c>
      <c r="J443" s="47">
        <v>5.0</v>
      </c>
      <c r="K443" s="157"/>
      <c r="L443" s="48"/>
      <c r="M443" s="48"/>
      <c r="N443" s="48"/>
      <c r="O443" s="48"/>
      <c r="P443" s="48"/>
      <c r="Q443" s="48"/>
      <c r="R443" s="48"/>
      <c r="S443" s="165"/>
      <c r="T443" s="48"/>
      <c r="U443" s="48"/>
      <c r="V443" s="48"/>
      <c r="W443" s="48"/>
      <c r="X443" s="48"/>
      <c r="Y443" s="48"/>
      <c r="Z443" s="43"/>
    </row>
    <row r="444" ht="14.25" customHeight="1">
      <c r="A444" s="214">
        <v>2.0</v>
      </c>
      <c r="B444" s="323" t="s">
        <v>3917</v>
      </c>
      <c r="C444" s="47">
        <v>441.0</v>
      </c>
      <c r="D444" s="47">
        <v>9.0</v>
      </c>
      <c r="E444" s="324">
        <v>43827.0</v>
      </c>
      <c r="F444" s="156" t="str">
        <f>HYPERLINK("https://republika.co.id/berita/q36hr6383/transjakarta-siapkan-bus-gratis-kemayoranancol ","sumber")</f>
        <v>sumber</v>
      </c>
      <c r="G444" s="274" t="s">
        <v>33</v>
      </c>
      <c r="H444" s="214">
        <v>254.0</v>
      </c>
      <c r="I444" s="47">
        <v>1.0</v>
      </c>
      <c r="J444" s="47">
        <v>5.0</v>
      </c>
      <c r="K444" s="157"/>
      <c r="L444" s="48"/>
      <c r="M444" s="48"/>
      <c r="N444" s="48"/>
      <c r="O444" s="48"/>
      <c r="P444" s="48"/>
      <c r="Q444" s="48"/>
      <c r="R444" s="48"/>
      <c r="S444" s="165"/>
      <c r="T444" s="48"/>
      <c r="U444" s="48"/>
      <c r="V444" s="48"/>
      <c r="W444" s="48"/>
      <c r="X444" s="48"/>
      <c r="Y444" s="48"/>
      <c r="Z444" s="43"/>
    </row>
    <row r="445" ht="14.25" customHeight="1">
      <c r="A445" s="211">
        <v>1.0</v>
      </c>
      <c r="B445" s="321" t="s">
        <v>3918</v>
      </c>
      <c r="C445" s="44">
        <v>442.0</v>
      </c>
      <c r="D445" s="44">
        <v>10.0</v>
      </c>
      <c r="E445" t="s">
        <v>3919</v>
      </c>
      <c r="F445" s="162" t="str">
        <f>HYPERLINK("https://seleb.tempo.co/read/1288670/punya-anak-down-syndrome-rahayu-saraswati-dia-sempurna ","sumber")</f>
        <v>sumber</v>
      </c>
      <c r="G445" s="269" t="s">
        <v>33</v>
      </c>
      <c r="H445" s="44">
        <v>344.0</v>
      </c>
      <c r="I445" s="44">
        <v>2.0</v>
      </c>
      <c r="J445" s="44">
        <v>2.0</v>
      </c>
      <c r="K445" s="164" t="s">
        <v>3920</v>
      </c>
      <c r="L445" s="44">
        <v>0.0</v>
      </c>
      <c r="M445" s="44">
        <v>0.0</v>
      </c>
      <c r="N445" s="44">
        <v>0.0</v>
      </c>
      <c r="O445" s="44">
        <v>0.0</v>
      </c>
      <c r="P445" s="44">
        <v>0.0</v>
      </c>
      <c r="Q445" s="44">
        <v>0.0</v>
      </c>
      <c r="R445" s="44">
        <v>1.0</v>
      </c>
      <c r="S445" s="164"/>
      <c r="T445" s="44">
        <v>0.0</v>
      </c>
      <c r="U445" s="44">
        <v>0.0</v>
      </c>
      <c r="V445" s="44">
        <v>0.0</v>
      </c>
      <c r="W445" s="45"/>
      <c r="X445" s="45"/>
      <c r="Y445" s="45"/>
      <c r="Z445" s="9"/>
    </row>
    <row r="446" ht="14.25" customHeight="1">
      <c r="A446" s="189">
        <v>1.0</v>
      </c>
      <c r="B446" s="245" t="s">
        <v>3921</v>
      </c>
      <c r="C446" s="55">
        <v>443.0</v>
      </c>
      <c r="D446" s="55">
        <v>7.0</v>
      </c>
      <c r="E446" s="327">
        <v>43828.0</v>
      </c>
      <c r="F446" s="171" t="str">
        <f>HYPERLINK("https://www.tribunnews.com/regional/2019/12/29/ibu-kandung-di-kediri-tega-bunuh-anak-gadisnya-terungkap-pelaku-menderita-skizofrenia","sumber")</f>
        <v>sumber</v>
      </c>
      <c r="G446" s="277" t="s">
        <v>33</v>
      </c>
      <c r="H446" s="55">
        <v>190.0</v>
      </c>
      <c r="I446" s="55">
        <v>1.0</v>
      </c>
      <c r="J446" s="55">
        <v>2.0</v>
      </c>
      <c r="K446" s="172" t="s">
        <v>3922</v>
      </c>
      <c r="L446" s="55">
        <v>0.0</v>
      </c>
      <c r="M446" s="188">
        <v>0.0</v>
      </c>
      <c r="N446" s="55">
        <v>-1.0</v>
      </c>
      <c r="O446" s="55">
        <v>0.0</v>
      </c>
      <c r="P446" s="55">
        <v>-1.0</v>
      </c>
      <c r="Q446" s="55" t="s">
        <v>61</v>
      </c>
      <c r="R446" s="55" t="s">
        <v>61</v>
      </c>
      <c r="S446" s="172" t="s">
        <v>3923</v>
      </c>
      <c r="T446" s="55">
        <v>6.0</v>
      </c>
      <c r="U446" s="55">
        <v>-1.0</v>
      </c>
      <c r="V446" s="55">
        <v>0.0</v>
      </c>
      <c r="W446" s="46"/>
      <c r="X446" s="46"/>
      <c r="Y446" s="46"/>
      <c r="Z446" s="31"/>
    </row>
    <row r="447" ht="15.0" customHeight="1">
      <c r="A447" s="214">
        <v>2.0</v>
      </c>
      <c r="B447" s="323" t="s">
        <v>3924</v>
      </c>
      <c r="C447" s="47">
        <v>444.0</v>
      </c>
      <c r="D447" s="47">
        <v>8.0</v>
      </c>
      <c r="E447" s="320">
        <v>43830.0</v>
      </c>
      <c r="F447" s="156" t="str">
        <f>HYPERLINK("https://www.suara.com/entertainment/2019/12/31/153433/sahabat-bilang-medina-zein-pakai-happy-5-bukan-amfetamin ","sumber")</f>
        <v>sumber</v>
      </c>
      <c r="G447" s="274" t="s">
        <v>33</v>
      </c>
      <c r="H447" s="47">
        <v>274.0</v>
      </c>
      <c r="I447" s="47">
        <v>1.0</v>
      </c>
      <c r="J447" s="47">
        <v>5.0</v>
      </c>
      <c r="K447" s="165"/>
      <c r="L447" s="48"/>
      <c r="M447" s="48"/>
      <c r="N447" s="48"/>
      <c r="O447" s="48"/>
      <c r="P447" s="48"/>
      <c r="Q447" s="48"/>
      <c r="R447" s="48"/>
      <c r="S447" s="165"/>
      <c r="T447" s="48"/>
      <c r="U447" s="48"/>
      <c r="V447" s="48"/>
      <c r="W447" s="48"/>
      <c r="X447" s="48"/>
      <c r="Y447" s="48"/>
      <c r="Z447" s="43"/>
    </row>
    <row r="448">
      <c r="A448" s="214">
        <v>2.0</v>
      </c>
      <c r="B448" s="323" t="s">
        <v>3925</v>
      </c>
      <c r="C448" s="47">
        <v>445.0</v>
      </c>
      <c r="D448" s="47">
        <v>7.0</v>
      </c>
      <c r="E448" s="320">
        <v>43830.0</v>
      </c>
      <c r="F448" s="156" t="str">
        <f>HYPERLINK("https://www.tribunnews.com/lifestyle/2019/12/31/cek-resolusi-terbaikmu-tahun-baru-2020-berdasarkan-zodiak-capricorn-coba-untuk-spontan ","sumber")</f>
        <v>sumber</v>
      </c>
      <c r="G448" s="274" t="s">
        <v>33</v>
      </c>
      <c r="H448" s="47">
        <v>141.0</v>
      </c>
      <c r="I448" s="47">
        <v>5.0</v>
      </c>
      <c r="J448" s="47">
        <v>5.0</v>
      </c>
      <c r="K448" s="165"/>
      <c r="L448" s="48"/>
      <c r="M448" s="48"/>
      <c r="N448" s="48"/>
      <c r="O448" s="48"/>
      <c r="P448" s="48"/>
      <c r="Q448" s="48"/>
      <c r="R448" s="48"/>
      <c r="S448" s="165"/>
      <c r="T448" s="48"/>
      <c r="U448" s="48"/>
      <c r="V448" s="48"/>
      <c r="W448" s="48"/>
      <c r="X448" s="48"/>
      <c r="Y448" s="48"/>
      <c r="Z448" s="43"/>
    </row>
    <row r="449" ht="14.25" customHeight="1">
      <c r="A449" s="211">
        <v>1.0</v>
      </c>
      <c r="B449" s="321" t="s">
        <v>3926</v>
      </c>
      <c r="C449" s="44">
        <v>446.0</v>
      </c>
      <c r="D449" s="44">
        <v>1.0</v>
      </c>
      <c r="E449" s="328">
        <v>43742.0</v>
      </c>
      <c r="F449" s="162" t="str">
        <f>HYPERLINK("https://health.detik.com/berita-detikhealth/d-4734000/mark-westlife-punya-bayi-dengan-pasangan-pria-sel-telurnya-dari-mana ","sumber")</f>
        <v>sumber</v>
      </c>
      <c r="G449" s="269" t="s">
        <v>33</v>
      </c>
      <c r="H449" s="44">
        <v>309.0</v>
      </c>
      <c r="I449" s="44">
        <v>2.0</v>
      </c>
      <c r="J449" s="44">
        <v>3.0</v>
      </c>
      <c r="K449" s="164" t="s">
        <v>3927</v>
      </c>
      <c r="L449" s="44">
        <v>0.0</v>
      </c>
      <c r="M449" s="44">
        <v>0.0</v>
      </c>
      <c r="N449" s="44">
        <v>0.0</v>
      </c>
      <c r="O449" s="44">
        <v>0.0</v>
      </c>
      <c r="P449" s="44">
        <v>0.0</v>
      </c>
      <c r="Q449" s="44" t="s">
        <v>61</v>
      </c>
      <c r="R449" s="44" t="s">
        <v>61</v>
      </c>
      <c r="S449" s="164"/>
      <c r="T449" s="44">
        <v>0.0</v>
      </c>
      <c r="U449" s="44">
        <v>0.0</v>
      </c>
      <c r="V449" s="44">
        <v>0.0</v>
      </c>
      <c r="W449" s="45"/>
      <c r="X449" s="45"/>
      <c r="Y449" s="45"/>
      <c r="Z449" s="9"/>
    </row>
    <row r="450" ht="14.25" customHeight="1">
      <c r="A450" s="211">
        <v>1.0</v>
      </c>
      <c r="B450" s="321" t="s">
        <v>3928</v>
      </c>
      <c r="C450" s="44">
        <v>447.0</v>
      </c>
      <c r="D450" s="44">
        <v>3.0</v>
      </c>
      <c r="E450" s="328">
        <v>43742.0</v>
      </c>
      <c r="F450" s="162" t="str">
        <f>HYPERLINK("https://news.okezone.com/read/2019/10/04/18/2112922/jadi-gay-pria-ini-tuntut-apple-rp287-juta ","sumber")</f>
        <v>sumber</v>
      </c>
      <c r="G450" s="269" t="s">
        <v>33</v>
      </c>
      <c r="H450" s="44">
        <v>232.0</v>
      </c>
      <c r="I450" s="44">
        <v>1.0</v>
      </c>
      <c r="J450" s="44">
        <v>3.0</v>
      </c>
      <c r="K450" s="164" t="s">
        <v>3929</v>
      </c>
      <c r="L450" s="44">
        <v>0.0</v>
      </c>
      <c r="M450" s="44">
        <v>-1.0</v>
      </c>
      <c r="N450" s="44">
        <v>0.0</v>
      </c>
      <c r="O450" s="44">
        <v>0.0</v>
      </c>
      <c r="P450" s="44">
        <v>0.0</v>
      </c>
      <c r="Q450" s="44" t="s">
        <v>210</v>
      </c>
      <c r="R450" s="44" t="s">
        <v>62</v>
      </c>
      <c r="S450" s="164" t="s">
        <v>3930</v>
      </c>
      <c r="T450" s="44">
        <v>1.0</v>
      </c>
      <c r="U450" s="44">
        <v>0.0</v>
      </c>
      <c r="V450" s="44">
        <v>0.0</v>
      </c>
      <c r="W450" s="45"/>
      <c r="X450" s="45"/>
      <c r="Y450" s="45"/>
      <c r="Z450" s="9"/>
    </row>
    <row r="451" ht="14.25" customHeight="1">
      <c r="A451" s="214">
        <v>2.0</v>
      </c>
      <c r="B451" s="323" t="s">
        <v>3931</v>
      </c>
      <c r="C451" s="47">
        <v>448.0</v>
      </c>
      <c r="D451" s="47">
        <v>3.0</v>
      </c>
      <c r="E451" s="320">
        <v>43743.0</v>
      </c>
      <c r="F451" s="156" t="str">
        <f>HYPERLINK("https://celebrity.okezone.com/read/2019/10/04/33/2113118/cerita-pamela-anderson-dapati-fans-fanatik-diam-diam-tinggal-di-rumahnya ","sumber")</f>
        <v>sumber</v>
      </c>
      <c r="G451" s="274" t="s">
        <v>33</v>
      </c>
      <c r="H451" s="47">
        <v>535.0</v>
      </c>
      <c r="I451" s="47">
        <v>1.0</v>
      </c>
      <c r="J451" s="47">
        <v>3.0</v>
      </c>
      <c r="K451" s="165"/>
      <c r="L451" s="48"/>
      <c r="M451" s="48"/>
      <c r="N451" s="48"/>
      <c r="O451" s="48"/>
      <c r="P451" s="48"/>
      <c r="Q451" s="48"/>
      <c r="R451" s="48"/>
      <c r="S451" s="165"/>
      <c r="T451" s="48"/>
      <c r="U451" s="48"/>
      <c r="V451" s="48"/>
      <c r="W451" s="48"/>
      <c r="X451" s="48"/>
      <c r="Y451" s="48"/>
      <c r="Z451" s="43"/>
    </row>
    <row r="452" ht="14.25" customHeight="1">
      <c r="A452" s="211">
        <v>1.0</v>
      </c>
      <c r="B452" s="321" t="s">
        <v>3932</v>
      </c>
      <c r="C452" s="44">
        <v>449.0</v>
      </c>
      <c r="D452" s="44">
        <v>7.0</v>
      </c>
      <c r="E452" s="328">
        <v>43744.0</v>
      </c>
      <c r="F452" s="162" t="str">
        <f>HYPERLINK("https://www.tribunnews.com/seleb/2019/10/06/perjalanan-karir-mark-westlife-yang-kini-tengah-bikin-heboh-karena-miliki-anak-dengan-kekasih-pria ","sumber")</f>
        <v>sumber</v>
      </c>
      <c r="G452" s="269" t="s">
        <v>33</v>
      </c>
      <c r="H452" s="44">
        <v>122.0</v>
      </c>
      <c r="I452" s="44">
        <v>2.0</v>
      </c>
      <c r="J452" s="44">
        <v>3.0</v>
      </c>
      <c r="K452" s="164" t="s">
        <v>3933</v>
      </c>
      <c r="L452" s="44">
        <v>0.0</v>
      </c>
      <c r="M452" s="44">
        <v>0.0</v>
      </c>
      <c r="N452" s="44">
        <v>0.0</v>
      </c>
      <c r="O452" s="44">
        <v>0.0</v>
      </c>
      <c r="P452" s="44">
        <v>0.0</v>
      </c>
      <c r="Q452" s="44">
        <v>2.0</v>
      </c>
      <c r="R452" s="44">
        <v>1.0</v>
      </c>
      <c r="S452" s="164"/>
      <c r="T452" s="44">
        <v>0.0</v>
      </c>
      <c r="U452" s="44">
        <v>-1.0</v>
      </c>
      <c r="V452" s="44">
        <v>0.0</v>
      </c>
      <c r="W452" s="45"/>
      <c r="X452" s="45"/>
      <c r="Y452" s="45"/>
      <c r="Z452" s="9"/>
    </row>
    <row r="453" ht="14.25" customHeight="1">
      <c r="A453" s="211">
        <v>1.0</v>
      </c>
      <c r="B453" s="321" t="s">
        <v>3934</v>
      </c>
      <c r="C453" s="44">
        <v>450.0</v>
      </c>
      <c r="D453" s="44">
        <v>1.0</v>
      </c>
      <c r="E453" s="328">
        <v>43746.0</v>
      </c>
      <c r="F453" s="162" t="str">
        <f>HYPERLINK("https://hot.detik.com/celeb/d-4738453/duh-unggah-video-asusila-bareng-cowok-bebby-fey-akui-pansos ","sumber")</f>
        <v>sumber</v>
      </c>
      <c r="G453" s="269" t="s">
        <v>33</v>
      </c>
      <c r="H453" s="44">
        <v>1267.0</v>
      </c>
      <c r="I453" s="44">
        <v>1.0</v>
      </c>
      <c r="J453" s="44">
        <v>3.0</v>
      </c>
      <c r="K453" s="164" t="s">
        <v>3935</v>
      </c>
      <c r="L453" s="44">
        <v>0.0</v>
      </c>
      <c r="M453" s="44">
        <v>-1.0</v>
      </c>
      <c r="N453" s="44">
        <v>0.0</v>
      </c>
      <c r="O453" s="44">
        <v>0.0</v>
      </c>
      <c r="P453" s="44">
        <v>-1.0</v>
      </c>
      <c r="Q453" s="44">
        <v>0.0</v>
      </c>
      <c r="R453" s="44">
        <v>0.0</v>
      </c>
      <c r="S453" s="164"/>
      <c r="T453" s="44">
        <v>0.0</v>
      </c>
      <c r="U453" s="44">
        <v>0.0</v>
      </c>
      <c r="V453" s="44">
        <v>0.0</v>
      </c>
      <c r="W453" s="45"/>
      <c r="X453" s="45"/>
      <c r="Y453" s="45"/>
      <c r="Z453" s="9"/>
    </row>
    <row r="454" ht="14.25" customHeight="1">
      <c r="A454" s="211">
        <v>1.0</v>
      </c>
      <c r="B454" s="321" t="s">
        <v>3936</v>
      </c>
      <c r="C454" s="44">
        <v>451.0</v>
      </c>
      <c r="D454" s="44">
        <v>8.0</v>
      </c>
      <c r="E454" s="328">
        <v>43746.0</v>
      </c>
      <c r="F454" s="162" t="str">
        <f>HYPERLINK("https://www.suara.com/news/2019/10/08/190026/sekali-goyang-turis-arab-psk-waria-cipanas-diupah-mucikari-rp-400-ribu ","sumber")</f>
        <v>sumber</v>
      </c>
      <c r="G454" s="269" t="s">
        <v>33</v>
      </c>
      <c r="H454" s="44">
        <v>339.0</v>
      </c>
      <c r="I454" s="44">
        <v>1.0</v>
      </c>
      <c r="J454" s="44">
        <v>3.0</v>
      </c>
      <c r="K454" s="164" t="s">
        <v>3937</v>
      </c>
      <c r="L454" s="44">
        <v>0.0</v>
      </c>
      <c r="M454" s="44">
        <v>1.0</v>
      </c>
      <c r="N454" s="44">
        <v>0.0</v>
      </c>
      <c r="O454" s="44">
        <v>0.0</v>
      </c>
      <c r="P454" s="44">
        <v>-1.0</v>
      </c>
      <c r="Q454" s="44" t="s">
        <v>119</v>
      </c>
      <c r="R454" s="44" t="s">
        <v>61</v>
      </c>
      <c r="S454" s="164"/>
      <c r="T454" s="44">
        <v>0.0</v>
      </c>
      <c r="U454" s="44">
        <v>0.0</v>
      </c>
      <c r="V454" s="44">
        <v>0.0</v>
      </c>
      <c r="W454" s="45"/>
      <c r="X454" s="45"/>
      <c r="Y454" s="45"/>
      <c r="Z454" s="9"/>
    </row>
    <row r="455" ht="14.25" customHeight="1">
      <c r="A455" s="211">
        <v>1.0</v>
      </c>
      <c r="B455" s="321" t="s">
        <v>1894</v>
      </c>
      <c r="C455" s="44">
        <v>452.0</v>
      </c>
      <c r="D455" s="44">
        <v>7.0</v>
      </c>
      <c r="E455" s="328">
        <v>43746.0</v>
      </c>
      <c r="F455" s="162" t="str">
        <f>HYPERLINK("https://www.tribunnews.com/regional/2019/10/08/jaringan-prostitusi-di-cipanas-ini-jajakan-psk-berkeliling-pakai-mobil-sasarannya-wna ","sumber")</f>
        <v>sumber</v>
      </c>
      <c r="G455" s="269" t="s">
        <v>33</v>
      </c>
      <c r="H455" s="44">
        <v>272.0</v>
      </c>
      <c r="I455" s="44">
        <v>1.0</v>
      </c>
      <c r="J455" s="44">
        <v>5.0</v>
      </c>
      <c r="K455" s="164" t="s">
        <v>3938</v>
      </c>
      <c r="L455" s="44">
        <v>0.0</v>
      </c>
      <c r="M455" s="44">
        <v>-1.0</v>
      </c>
      <c r="N455" s="44">
        <v>0.0</v>
      </c>
      <c r="O455" s="44">
        <v>0.0</v>
      </c>
      <c r="P455" s="44">
        <v>0.0</v>
      </c>
      <c r="Q455" s="44">
        <v>0.0</v>
      </c>
      <c r="R455" s="44">
        <v>0.0</v>
      </c>
      <c r="S455" s="164"/>
      <c r="T455" s="44">
        <v>0.0</v>
      </c>
      <c r="U455" s="44">
        <v>0.0</v>
      </c>
      <c r="V455" s="44">
        <v>0.0</v>
      </c>
      <c r="W455" s="45"/>
      <c r="X455" s="45"/>
      <c r="Y455" s="45"/>
      <c r="Z455" s="9"/>
    </row>
    <row r="456" ht="14.25" customHeight="1">
      <c r="A456" s="211">
        <v>1.0</v>
      </c>
      <c r="B456" s="321" t="s">
        <v>1898</v>
      </c>
      <c r="C456" s="44">
        <v>453.0</v>
      </c>
      <c r="D456" s="44">
        <v>2.0</v>
      </c>
      <c r="E456" s="328">
        <v>43788.0</v>
      </c>
      <c r="F456" s="162" t="str">
        <f>HYPERLINK("https://www.cnnindonesia.com/nasional/20191118224940-20-449503/kakek-di-binjai-tewas-usai-berhubungan-seks","sumber")</f>
        <v>sumber</v>
      </c>
      <c r="G456" s="269" t="s">
        <v>33</v>
      </c>
      <c r="H456" s="44">
        <v>205.0</v>
      </c>
      <c r="I456" s="44">
        <v>1.0</v>
      </c>
      <c r="J456" s="44">
        <v>3.0</v>
      </c>
      <c r="K456" s="164" t="s">
        <v>3939</v>
      </c>
      <c r="L456" s="44">
        <v>0.0</v>
      </c>
      <c r="M456" s="44">
        <v>-1.0</v>
      </c>
      <c r="N456" s="44">
        <v>0.0</v>
      </c>
      <c r="O456" s="44">
        <v>0.0</v>
      </c>
      <c r="P456" s="44">
        <v>0.0</v>
      </c>
      <c r="Q456" s="44">
        <v>0.0</v>
      </c>
      <c r="R456" s="44">
        <v>0.0</v>
      </c>
      <c r="S456" s="164"/>
      <c r="T456" s="44">
        <v>0.0</v>
      </c>
      <c r="U456" s="44">
        <v>0.0</v>
      </c>
      <c r="V456" s="44">
        <v>0.0</v>
      </c>
      <c r="W456" s="45"/>
      <c r="X456" s="45"/>
      <c r="Y456" s="45"/>
      <c r="Z456" s="9"/>
    </row>
    <row r="457" ht="14.25" customHeight="1">
      <c r="A457" s="211">
        <v>1.0</v>
      </c>
      <c r="B457" s="321" t="s">
        <v>3940</v>
      </c>
      <c r="C457" s="44">
        <v>454.0</v>
      </c>
      <c r="D457" s="44">
        <v>6.0</v>
      </c>
      <c r="E457" s="328">
        <v>43789.0</v>
      </c>
      <c r="F457" s="162" t="str">
        <f>HYPERLINK("https://nasional.kompas.com/read/2019/11/20/13020051/ombudsman-sebut-ada-instansi-yang-mendiskriminasi-gender-dalam-seleksi-cpns ","sumber")</f>
        <v>sumber</v>
      </c>
      <c r="G457" s="269" t="s">
        <v>33</v>
      </c>
      <c r="H457" s="44">
        <v>283.0</v>
      </c>
      <c r="I457" s="44">
        <v>4.0</v>
      </c>
      <c r="J457" s="44">
        <v>3.0</v>
      </c>
      <c r="K457" s="164" t="s">
        <v>3941</v>
      </c>
      <c r="L457" s="44">
        <v>0.0</v>
      </c>
      <c r="M457" s="44">
        <v>0.0</v>
      </c>
      <c r="N457" s="44">
        <v>0.0</v>
      </c>
      <c r="O457" s="44">
        <v>0.0</v>
      </c>
      <c r="P457" s="44">
        <v>0.0</v>
      </c>
      <c r="Q457" s="44">
        <v>0.0</v>
      </c>
      <c r="R457" s="44">
        <v>1.0</v>
      </c>
      <c r="S457" s="164"/>
      <c r="T457" s="44">
        <v>0.0</v>
      </c>
      <c r="U457" s="44">
        <v>0.0</v>
      </c>
      <c r="V457" s="44">
        <v>0.0</v>
      </c>
      <c r="W457" s="45"/>
      <c r="X457" s="45"/>
      <c r="Y457" s="45"/>
      <c r="Z457" s="9"/>
    </row>
    <row r="458" ht="14.25" customHeight="1">
      <c r="A458" s="211">
        <v>1.0</v>
      </c>
      <c r="B458" s="321" t="s">
        <v>3942</v>
      </c>
      <c r="C458" s="44">
        <v>455.0</v>
      </c>
      <c r="D458" s="44">
        <v>5.0</v>
      </c>
      <c r="E458" s="328">
        <v>43789.0</v>
      </c>
      <c r="F458" s="162" t="str">
        <f>HYPERLINK("https://tirto.id/benarkah-frozen-2-angkat-isu-lgbt-tampilkan-pasangan-elsa-elZQ ","sumber")</f>
        <v>sumber</v>
      </c>
      <c r="G458" s="269" t="s">
        <v>33</v>
      </c>
      <c r="H458" s="44">
        <v>476.0</v>
      </c>
      <c r="I458" s="44">
        <v>5.0</v>
      </c>
      <c r="J458" s="44">
        <v>3.0</v>
      </c>
      <c r="K458" s="164" t="s">
        <v>3943</v>
      </c>
      <c r="L458" s="44">
        <v>0.0</v>
      </c>
      <c r="M458" s="44">
        <v>0.0</v>
      </c>
      <c r="N458" s="44">
        <v>0.0</v>
      </c>
      <c r="O458" s="44">
        <v>0.0</v>
      </c>
      <c r="P458" s="44">
        <v>0.0</v>
      </c>
      <c r="Q458" s="187" t="s">
        <v>202</v>
      </c>
      <c r="R458" s="187" t="s">
        <v>202</v>
      </c>
      <c r="S458" s="164"/>
      <c r="T458" s="44">
        <v>0.0</v>
      </c>
      <c r="U458" s="44">
        <v>0.0</v>
      </c>
      <c r="V458" s="44">
        <v>0.0</v>
      </c>
      <c r="W458" s="45"/>
      <c r="X458" s="45"/>
      <c r="Y458" s="45"/>
      <c r="Z458" s="9"/>
    </row>
    <row r="459" ht="14.25" customHeight="1">
      <c r="A459" s="211">
        <v>1.0</v>
      </c>
      <c r="B459" s="321" t="s">
        <v>3944</v>
      </c>
      <c r="C459" s="44">
        <v>456.0</v>
      </c>
      <c r="D459" s="44">
        <v>8.0</v>
      </c>
      <c r="E459" s="328">
        <v>43791.0</v>
      </c>
      <c r="F459" s="162" t="str">
        <f>HYPERLINK("https://www.suara.com/news/2019/11/22/145613/dpr-persoalkan-syarat-cpns-kejagung-yang-tolak-lgbt-dan-disabilitas ","sumber")</f>
        <v>sumber</v>
      </c>
      <c r="G459" s="269" t="s">
        <v>33</v>
      </c>
      <c r="H459" s="44">
        <v>239.0</v>
      </c>
      <c r="I459" s="44">
        <v>4.0</v>
      </c>
      <c r="J459" s="44">
        <v>3.0</v>
      </c>
      <c r="K459" s="164" t="s">
        <v>3945</v>
      </c>
      <c r="L459" s="44">
        <v>0.0</v>
      </c>
      <c r="M459" s="44">
        <v>0.0</v>
      </c>
      <c r="N459" s="44">
        <v>0.0</v>
      </c>
      <c r="O459" s="44">
        <v>0.0</v>
      </c>
      <c r="P459" s="44">
        <v>0.0</v>
      </c>
      <c r="Q459" s="44">
        <v>0.0</v>
      </c>
      <c r="R459" s="44">
        <v>1.0</v>
      </c>
      <c r="S459" s="164"/>
      <c r="T459" s="44">
        <v>0.0</v>
      </c>
      <c r="U459" s="44">
        <v>0.0</v>
      </c>
      <c r="V459" s="44">
        <v>0.0</v>
      </c>
      <c r="W459" s="45"/>
      <c r="X459" s="45"/>
      <c r="Y459" s="45"/>
      <c r="Z459" s="9"/>
    </row>
    <row r="460" ht="14.25" customHeight="1">
      <c r="A460" s="211">
        <v>1.0</v>
      </c>
      <c r="B460" s="321" t="s">
        <v>3946</v>
      </c>
      <c r="C460" s="44">
        <v>457.0</v>
      </c>
      <c r="D460" s="44">
        <v>4.0</v>
      </c>
      <c r="E460" s="328">
        <v>43793.0</v>
      </c>
      <c r="F460" s="162" t="str">
        <f>HYPERLINK("https://www.liputan6.com/news/read/4118167/ppp-dukung-kejagung-tolak-lgbt-lamar-cpns ","sumber")</f>
        <v>sumber</v>
      </c>
      <c r="G460" s="269" t="s">
        <v>33</v>
      </c>
      <c r="H460" s="44">
        <v>319.0</v>
      </c>
      <c r="I460" s="44">
        <v>4.0</v>
      </c>
      <c r="J460" s="44">
        <v>3.0</v>
      </c>
      <c r="K460" s="164" t="s">
        <v>3947</v>
      </c>
      <c r="L460" s="44">
        <v>0.0</v>
      </c>
      <c r="M460" s="44">
        <v>0.0</v>
      </c>
      <c r="N460" s="44">
        <v>0.0</v>
      </c>
      <c r="O460" s="44">
        <v>0.0</v>
      </c>
      <c r="P460" s="44">
        <v>0.0</v>
      </c>
      <c r="Q460" s="44" t="s">
        <v>214</v>
      </c>
      <c r="R460" s="44" t="s">
        <v>173</v>
      </c>
      <c r="S460" s="164"/>
      <c r="T460" s="44">
        <v>0.0</v>
      </c>
      <c r="U460" s="44">
        <v>0.0</v>
      </c>
      <c r="V460" s="44">
        <v>0.0</v>
      </c>
      <c r="W460" s="45"/>
      <c r="X460" s="45"/>
      <c r="Y460" s="45"/>
      <c r="Z460" s="9"/>
    </row>
    <row r="461" ht="14.25" customHeight="1">
      <c r="A461" s="211">
        <v>1.0</v>
      </c>
      <c r="B461" s="321" t="s">
        <v>3948</v>
      </c>
      <c r="C461" s="44">
        <v>458.0</v>
      </c>
      <c r="D461" s="44">
        <v>8.0</v>
      </c>
      <c r="E461" s="328">
        <v>43793.0</v>
      </c>
      <c r="F461" s="162" t="str">
        <f>HYPERLINK("https://www.suara.com/news/2019/11/24/111003/bermula-saling-ejek-di-medsos-tawuran-antar-siswa-sd-pecah-di-batam ","sumber")</f>
        <v>sumber</v>
      </c>
      <c r="G461" s="269" t="s">
        <v>33</v>
      </c>
      <c r="H461" s="44">
        <v>276.0</v>
      </c>
      <c r="I461" s="44">
        <v>1.0</v>
      </c>
      <c r="J461" s="44">
        <v>3.0</v>
      </c>
      <c r="K461" s="164" t="s">
        <v>3949</v>
      </c>
      <c r="L461" s="44">
        <v>0.0</v>
      </c>
      <c r="M461" s="44">
        <v>-1.0</v>
      </c>
      <c r="N461" s="44">
        <v>0.0</v>
      </c>
      <c r="O461" s="44">
        <v>0.0</v>
      </c>
      <c r="P461" s="44">
        <v>0.0</v>
      </c>
      <c r="Q461" s="44">
        <v>0.0</v>
      </c>
      <c r="R461" s="44">
        <v>0.0</v>
      </c>
      <c r="S461" s="164"/>
      <c r="T461" s="44">
        <v>0.0</v>
      </c>
      <c r="U461" s="44">
        <v>0.0</v>
      </c>
      <c r="V461" s="44">
        <v>0.0</v>
      </c>
      <c r="W461" s="45"/>
      <c r="X461" s="45"/>
      <c r="Y461" s="45"/>
      <c r="Z461" s="9"/>
    </row>
    <row r="462" ht="14.25" customHeight="1">
      <c r="A462" s="214">
        <v>2.0</v>
      </c>
      <c r="B462" s="323" t="s">
        <v>3950</v>
      </c>
      <c r="C462" s="47">
        <v>459.0</v>
      </c>
      <c r="D462" s="47">
        <v>7.0</v>
      </c>
      <c r="E462" s="320">
        <v>43793.0</v>
      </c>
      <c r="F462" s="156" t="str">
        <f>HYPERLINK("https://www.tribunnews.com/seleb/2019/11/24/irma-darmawangsa-bongkar-pansos-di-kalangan-artis-biayanya-bisa-capai-rp-1-miliar ","sumber")</f>
        <v>sumber</v>
      </c>
      <c r="G462" s="274" t="s">
        <v>33</v>
      </c>
      <c r="H462" s="47">
        <v>144.0</v>
      </c>
      <c r="I462" s="47">
        <v>2.0</v>
      </c>
      <c r="J462" s="47">
        <v>5.0</v>
      </c>
      <c r="K462" s="165"/>
      <c r="L462" s="48"/>
      <c r="M462" s="48"/>
      <c r="N462" s="48"/>
      <c r="O462" s="48"/>
      <c r="P462" s="48"/>
      <c r="Q462" s="48"/>
      <c r="R462" s="48"/>
      <c r="S462" s="165"/>
      <c r="T462" s="48"/>
      <c r="U462" s="48"/>
      <c r="V462" s="48"/>
      <c r="W462" s="48"/>
      <c r="X462" s="48"/>
      <c r="Y462" s="48"/>
      <c r="Z462" s="43"/>
    </row>
    <row r="463" ht="14.25" customHeight="1">
      <c r="A463" s="214">
        <v>2.0</v>
      </c>
      <c r="B463" s="323" t="s">
        <v>3951</v>
      </c>
      <c r="C463" s="47">
        <v>460.0</v>
      </c>
      <c r="D463" s="47">
        <v>1.0</v>
      </c>
      <c r="E463" s="320">
        <v>43794.0</v>
      </c>
      <c r="F463" s="156" t="str">
        <f>HYPERLINK("https://hot.detik.com/celeb/d-4797098/kebahagiaan-mike-lewis-bisa-bilang-punya-calon-istri ","sumber")</f>
        <v>sumber</v>
      </c>
      <c r="G463" s="274" t="s">
        <v>33</v>
      </c>
      <c r="H463" s="47">
        <v>1228.0</v>
      </c>
      <c r="I463" s="47">
        <v>2.0</v>
      </c>
      <c r="J463" s="47">
        <v>5.0</v>
      </c>
      <c r="K463" s="165"/>
      <c r="L463" s="48"/>
      <c r="M463" s="48"/>
      <c r="N463" s="48"/>
      <c r="O463" s="48"/>
      <c r="P463" s="48"/>
      <c r="Q463" s="48"/>
      <c r="R463" s="48"/>
      <c r="S463" s="165"/>
      <c r="T463" s="48"/>
      <c r="U463" s="48"/>
      <c r="V463" s="48"/>
      <c r="W463" s="48"/>
      <c r="X463" s="48"/>
      <c r="Y463" s="48"/>
      <c r="Z463" s="43"/>
    </row>
    <row r="464" ht="14.25" customHeight="1">
      <c r="A464" s="211">
        <v>1.0</v>
      </c>
      <c r="B464" s="321" t="s">
        <v>2799</v>
      </c>
      <c r="C464" s="44">
        <v>461.0</v>
      </c>
      <c r="D464" s="44">
        <v>10.0</v>
      </c>
      <c r="E464" s="328">
        <v>43795.0</v>
      </c>
      <c r="F464" s="162" t="str">
        <f>HYPERLINK("https://nasional.tempo.co/read/1276810/larangan-lgbt-jadi-cpns-diprotes-kelompok-rentan ","sumber")</f>
        <v>sumber</v>
      </c>
      <c r="G464" s="269" t="s">
        <v>33</v>
      </c>
      <c r="H464" s="44">
        <v>339.0</v>
      </c>
      <c r="I464" s="44">
        <v>4.0</v>
      </c>
      <c r="J464" s="44">
        <v>3.0</v>
      </c>
      <c r="K464" s="164" t="s">
        <v>3952</v>
      </c>
      <c r="L464" s="44">
        <v>0.0</v>
      </c>
      <c r="M464" s="44">
        <v>0.0</v>
      </c>
      <c r="N464" s="44">
        <v>0.0</v>
      </c>
      <c r="O464" s="44">
        <v>0.0</v>
      </c>
      <c r="P464" s="44">
        <v>0.0</v>
      </c>
      <c r="Q464" s="44" t="s">
        <v>100</v>
      </c>
      <c r="R464" s="44" t="s">
        <v>192</v>
      </c>
      <c r="S464" s="164"/>
      <c r="T464" s="44">
        <v>0.0</v>
      </c>
      <c r="U464" s="44">
        <v>0.0</v>
      </c>
      <c r="V464" s="44">
        <v>0.0</v>
      </c>
      <c r="W464" s="45"/>
      <c r="X464" s="45"/>
      <c r="Y464" s="45"/>
      <c r="Z464" s="9"/>
    </row>
    <row r="465" ht="14.25" customHeight="1">
      <c r="A465" s="211">
        <v>1.0</v>
      </c>
      <c r="B465" s="321" t="s">
        <v>3953</v>
      </c>
      <c r="C465" s="44">
        <v>462.0</v>
      </c>
      <c r="D465" s="44">
        <v>8.0</v>
      </c>
      <c r="E465" s="328">
        <v>43810.0</v>
      </c>
      <c r="F465" s="162" t="str">
        <f>HYPERLINK("https://www.suara.com/news/2019/12/11/132515/pelintir-riset-tentang-lgbt-politikus-pks-dimarahi-para-peneliti-asing ","sumber")</f>
        <v>sumber</v>
      </c>
      <c r="G465" s="269" t="s">
        <v>33</v>
      </c>
      <c r="H465" s="44">
        <v>502.0</v>
      </c>
      <c r="I465" s="44">
        <v>1.0</v>
      </c>
      <c r="J465" s="44">
        <v>3.0</v>
      </c>
      <c r="K465" s="164" t="s">
        <v>3954</v>
      </c>
      <c r="L465" s="44">
        <v>0.0</v>
      </c>
      <c r="M465" s="44">
        <v>1.0</v>
      </c>
      <c r="N465" s="44">
        <v>0.0</v>
      </c>
      <c r="O465" s="44">
        <v>0.0</v>
      </c>
      <c r="P465" s="44">
        <v>0.0</v>
      </c>
      <c r="Q465" s="44" t="s">
        <v>89</v>
      </c>
      <c r="R465" s="44" t="s">
        <v>1485</v>
      </c>
      <c r="S465" s="164"/>
      <c r="T465" s="44">
        <v>0.0</v>
      </c>
      <c r="U465" s="44">
        <v>0.0</v>
      </c>
      <c r="V465" s="44">
        <v>0.0</v>
      </c>
      <c r="W465" s="45"/>
      <c r="X465" s="45"/>
      <c r="Y465" s="45"/>
      <c r="Z465" s="9"/>
    </row>
    <row r="466" ht="14.25" customHeight="1">
      <c r="A466" s="189">
        <v>1.0</v>
      </c>
      <c r="B466" s="245" t="s">
        <v>3955</v>
      </c>
      <c r="C466" s="55">
        <v>463.0</v>
      </c>
      <c r="D466" s="55">
        <v>5.0</v>
      </c>
      <c r="E466" s="327">
        <v>43811.0</v>
      </c>
      <c r="F466" s="171" t="str">
        <f>HYPERLINK("https://tirto.id/analisis-asal-comot-soal-lgbt-ala-dwi-estiningsih-enjC","sumber")</f>
        <v>sumber</v>
      </c>
      <c r="G466" s="277" t="s">
        <v>33</v>
      </c>
      <c r="H466" s="55">
        <v>644.0</v>
      </c>
      <c r="I466" s="55">
        <v>1.0</v>
      </c>
      <c r="J466" s="55">
        <v>3.0</v>
      </c>
      <c r="K466" s="172" t="s">
        <v>3956</v>
      </c>
      <c r="L466" s="55">
        <v>0.0</v>
      </c>
      <c r="M466" s="55">
        <v>1.0</v>
      </c>
      <c r="N466" s="55">
        <v>0.0</v>
      </c>
      <c r="O466" s="55">
        <v>0.0</v>
      </c>
      <c r="P466" s="55">
        <v>0.0</v>
      </c>
      <c r="Q466" s="172" t="s">
        <v>202</v>
      </c>
      <c r="R466" s="55" t="s">
        <v>3957</v>
      </c>
      <c r="S466" s="172"/>
      <c r="T466" s="55">
        <v>0.0</v>
      </c>
      <c r="U466" s="55">
        <v>0.0</v>
      </c>
      <c r="V466" s="55">
        <v>1.0</v>
      </c>
      <c r="W466" s="46"/>
      <c r="X466" s="46"/>
      <c r="Y466" s="46"/>
      <c r="Z466" s="31"/>
    </row>
    <row r="467" ht="14.25" customHeight="1">
      <c r="A467" s="211">
        <v>1.0</v>
      </c>
      <c r="B467" s="321" t="s">
        <v>3958</v>
      </c>
      <c r="C467" s="44">
        <v>464.0</v>
      </c>
      <c r="D467" s="44">
        <v>7.0</v>
      </c>
      <c r="E467" s="328">
        <v>43812.0</v>
      </c>
      <c r="F467" s="162" t="str">
        <f>HYPERLINK("https://www.tribunnews.com/internasional/2019/12/13/legalkan-lgbtq-ibukota-india-adakan-festival-sastra-queer-untuk-pertama-kalinya-sepanjang-sejarah ","sumber")</f>
        <v>sumber</v>
      </c>
      <c r="G467" s="269" t="s">
        <v>33</v>
      </c>
      <c r="H467" s="44">
        <v>214.0</v>
      </c>
      <c r="I467" s="44">
        <v>3.0</v>
      </c>
      <c r="J467" s="44">
        <v>3.0</v>
      </c>
      <c r="K467" s="164" t="s">
        <v>3959</v>
      </c>
      <c r="L467" s="44">
        <v>0.0</v>
      </c>
      <c r="M467" s="44">
        <v>0.0</v>
      </c>
      <c r="N467" s="44">
        <v>0.0</v>
      </c>
      <c r="O467" s="44">
        <v>0.0</v>
      </c>
      <c r="P467" s="44">
        <v>0.0</v>
      </c>
      <c r="Q467" s="187" t="s">
        <v>3960</v>
      </c>
      <c r="R467" s="44" t="s">
        <v>3961</v>
      </c>
      <c r="S467" s="164"/>
      <c r="T467" s="44">
        <v>0.0</v>
      </c>
      <c r="U467" s="44">
        <v>0.0</v>
      </c>
      <c r="V467" s="44">
        <v>0.0</v>
      </c>
      <c r="W467" s="45"/>
      <c r="X467" s="45"/>
      <c r="Y467" s="45"/>
      <c r="Z467" s="9"/>
    </row>
    <row r="468" ht="14.25" customHeight="1">
      <c r="A468" s="214">
        <v>2.0</v>
      </c>
      <c r="B468" s="323" t="s">
        <v>3962</v>
      </c>
      <c r="C468" s="47">
        <v>465.0</v>
      </c>
      <c r="D468" s="47">
        <v>8.0</v>
      </c>
      <c r="E468" s="320">
        <v>43814.0</v>
      </c>
      <c r="F468" s="156" t="str">
        <f>HYPERLINK("https://www.suara.com/entertainment/2019/12/15/101926/gathan-diburu-polisi-keluarga-ngotot-pertanyakan-surat-panggilan ","sumber")</f>
        <v>sumber</v>
      </c>
      <c r="G468" s="274" t="s">
        <v>33</v>
      </c>
      <c r="H468" s="47">
        <v>172.0</v>
      </c>
      <c r="I468" s="47">
        <v>1.0</v>
      </c>
      <c r="J468" s="47">
        <v>5.0</v>
      </c>
      <c r="K468" s="165"/>
      <c r="L468" s="48"/>
      <c r="M468" s="48"/>
      <c r="N468" s="48"/>
      <c r="O468" s="48"/>
      <c r="P468" s="48"/>
      <c r="Q468" s="48"/>
      <c r="R468" s="48"/>
      <c r="S468" s="165"/>
      <c r="T468" s="48"/>
      <c r="U468" s="48"/>
      <c r="V468" s="48"/>
      <c r="W468" s="48"/>
      <c r="X468" s="48"/>
      <c r="Y468" s="48"/>
      <c r="Z468" s="43"/>
    </row>
    <row r="469" ht="14.25" customHeight="1">
      <c r="A469" s="211">
        <v>1.0</v>
      </c>
      <c r="B469" s="321" t="s">
        <v>3963</v>
      </c>
      <c r="C469" s="44">
        <v>466.0</v>
      </c>
      <c r="D469" s="44">
        <v>5.0</v>
      </c>
      <c r="E469" s="328">
        <v>43814.0</v>
      </c>
      <c r="F469" s="162" t="str">
        <f>HYPERLINK("https://tirto.id/kapal-perempuan-minta-nadiem-makariem-tangani-3-masalah-pendidikan-entj ","sumber")</f>
        <v>sumber</v>
      </c>
      <c r="G469" s="269" t="s">
        <v>33</v>
      </c>
      <c r="H469" s="44">
        <v>461.0</v>
      </c>
      <c r="I469" s="44">
        <v>4.0</v>
      </c>
      <c r="J469" s="44">
        <v>3.0</v>
      </c>
      <c r="K469" s="164" t="s">
        <v>3964</v>
      </c>
      <c r="L469" s="44">
        <v>0.0</v>
      </c>
      <c r="M469" s="44">
        <v>0.0</v>
      </c>
      <c r="N469" s="44">
        <v>0.0</v>
      </c>
      <c r="O469" s="44">
        <v>0.0</v>
      </c>
      <c r="P469" s="44">
        <v>0.0</v>
      </c>
      <c r="Q469" s="44">
        <v>0.0</v>
      </c>
      <c r="R469" s="44">
        <v>1.0</v>
      </c>
      <c r="S469" s="164"/>
      <c r="T469" s="44">
        <v>0.0</v>
      </c>
      <c r="U469" s="44">
        <v>0.0</v>
      </c>
      <c r="V469" s="44">
        <v>0.0</v>
      </c>
      <c r="W469" s="45"/>
      <c r="X469" s="45"/>
      <c r="Y469" s="45"/>
      <c r="Z469" s="52"/>
    </row>
    <row r="470" ht="14.25" customHeight="1">
      <c r="A470" s="214">
        <v>2.0</v>
      </c>
      <c r="B470" s="323" t="s">
        <v>3965</v>
      </c>
      <c r="C470" s="47">
        <v>467.0</v>
      </c>
      <c r="D470" s="47">
        <v>1.0</v>
      </c>
      <c r="E470" s="320">
        <v>43816.0</v>
      </c>
      <c r="F470" s="156" t="str">
        <f>HYPERLINK("https://hot.detik.com/celeb/d-4825535/robert-de-niro-sebut-anak-anak-donald-trump-seperti-gangster ","sumber")</f>
        <v>sumber</v>
      </c>
      <c r="G470" s="274" t="s">
        <v>33</v>
      </c>
      <c r="H470" s="47">
        <v>720.0</v>
      </c>
      <c r="I470" s="47">
        <v>1.0</v>
      </c>
      <c r="J470" s="47">
        <v>5.0</v>
      </c>
      <c r="K470" s="157"/>
      <c r="L470" s="48"/>
      <c r="M470" s="48"/>
      <c r="N470" s="48"/>
      <c r="O470" s="48"/>
      <c r="P470" s="48"/>
      <c r="Q470" s="48"/>
      <c r="R470" s="48"/>
      <c r="S470" s="165"/>
      <c r="T470" s="48"/>
      <c r="U470" s="48"/>
      <c r="V470" s="48"/>
      <c r="W470" s="48"/>
      <c r="X470" s="48"/>
      <c r="Y470" s="48"/>
      <c r="Z470" s="51"/>
    </row>
    <row r="471" ht="14.25" customHeight="1">
      <c r="A471" s="214">
        <v>2.0</v>
      </c>
      <c r="B471" s="323" t="s">
        <v>3966</v>
      </c>
      <c r="C471" s="47">
        <v>468.0</v>
      </c>
      <c r="D471" s="47">
        <v>2.0</v>
      </c>
      <c r="E471" s="320">
        <v>43819.0</v>
      </c>
      <c r="F471" s="156" t="str">
        <f>HYPERLINK("https://www.cnnindonesia.com/hiburan/20191220094926-220-458586/cinta-segitiga-di-trailer-perdana-sekuel-to-all-the-boys ","sumber")</f>
        <v>sumber</v>
      </c>
      <c r="G471" s="274" t="s">
        <v>33</v>
      </c>
      <c r="H471" s="47">
        <v>398.0</v>
      </c>
      <c r="I471" s="47">
        <v>5.0</v>
      </c>
      <c r="J471" s="47">
        <v>5.0</v>
      </c>
      <c r="K471" s="157"/>
      <c r="L471" s="48"/>
      <c r="M471" s="48"/>
      <c r="N471" s="48"/>
      <c r="O471" s="48"/>
      <c r="P471" s="48"/>
      <c r="Q471" s="48"/>
      <c r="R471" s="48"/>
      <c r="S471" s="165"/>
      <c r="T471" s="48"/>
      <c r="U471" s="48"/>
      <c r="V471" s="48"/>
      <c r="W471" s="48"/>
      <c r="X471" s="48"/>
      <c r="Y471" s="48"/>
      <c r="Z471" s="43"/>
    </row>
    <row r="472" ht="14.25" customHeight="1">
      <c r="A472" s="214">
        <v>2.0</v>
      </c>
      <c r="B472" s="323" t="s">
        <v>3967</v>
      </c>
      <c r="C472" s="47">
        <v>469.0</v>
      </c>
      <c r="D472" s="47">
        <v>6.0</v>
      </c>
      <c r="E472" s="320">
        <v>43820.0</v>
      </c>
      <c r="F472" s="156" t="str">
        <f>HYPERLINK("https://nasional.kompas.com/read/2019/12/21/18120271/catatan-akhir-tahun-2019-tantangan-di-masa-depan-untuk-perlindungan-hak ","sumber")</f>
        <v>sumber</v>
      </c>
      <c r="G472" s="274" t="s">
        <v>33</v>
      </c>
      <c r="H472" s="47">
        <v>316.0</v>
      </c>
      <c r="I472" s="47">
        <v>4.0</v>
      </c>
      <c r="J472" s="47">
        <v>3.0</v>
      </c>
      <c r="K472" s="157"/>
      <c r="L472" s="48"/>
      <c r="M472" s="48"/>
      <c r="N472" s="48"/>
      <c r="O472" s="48"/>
      <c r="P472" s="48"/>
      <c r="Q472" s="48"/>
      <c r="R472" s="48"/>
      <c r="S472" s="165"/>
      <c r="T472" s="48"/>
      <c r="U472" s="48"/>
      <c r="V472" s="48"/>
      <c r="W472" s="48"/>
      <c r="X472" s="48"/>
      <c r="Y472" s="48"/>
      <c r="Z472" s="51"/>
    </row>
    <row r="473" ht="14.25" customHeight="1">
      <c r="A473" s="211">
        <v>1.0</v>
      </c>
      <c r="B473" s="321" t="s">
        <v>3968</v>
      </c>
      <c r="C473" s="44">
        <v>470.0</v>
      </c>
      <c r="D473" s="44">
        <v>8.0</v>
      </c>
      <c r="E473" s="328">
        <v>43829.0</v>
      </c>
      <c r="F473" s="162" t="str">
        <f>HYPERLINK("https://jabar.suara.com/read/2019/12/30/172644/11-gadis-dan-1-lady-boy-dijual-ke-turis-timteng-cipanas-rp-500-ribu-sejam ","sumber")</f>
        <v>sumber</v>
      </c>
      <c r="G473" s="269" t="s">
        <v>33</v>
      </c>
      <c r="H473" s="44">
        <v>279.0</v>
      </c>
      <c r="I473" s="44">
        <v>1.0</v>
      </c>
      <c r="J473" s="44">
        <v>3.0</v>
      </c>
      <c r="K473" s="164" t="s">
        <v>3969</v>
      </c>
      <c r="L473" s="44">
        <v>0.0</v>
      </c>
      <c r="M473" s="188">
        <v>0.0</v>
      </c>
      <c r="N473" s="44">
        <v>-1.0</v>
      </c>
      <c r="O473" s="44">
        <v>0.0</v>
      </c>
      <c r="P473" s="44">
        <v>0.0</v>
      </c>
      <c r="Q473" s="44" t="s">
        <v>119</v>
      </c>
      <c r="R473" s="44" t="s">
        <v>61</v>
      </c>
      <c r="S473" s="164"/>
      <c r="T473" s="44">
        <v>0.0</v>
      </c>
      <c r="U473" s="44">
        <v>0.0</v>
      </c>
      <c r="V473" s="44">
        <v>0.0</v>
      </c>
      <c r="W473" s="45"/>
      <c r="X473" s="45"/>
      <c r="Y473" s="45"/>
      <c r="Z473" s="9"/>
    </row>
    <row r="474" ht="14.25" customHeight="1">
      <c r="A474" s="211">
        <v>1.0</v>
      </c>
      <c r="B474" s="321" t="s">
        <v>3970</v>
      </c>
      <c r="C474" s="44">
        <v>471.0</v>
      </c>
      <c r="D474" s="44">
        <v>10.0</v>
      </c>
      <c r="E474" s="328">
        <v>43829.0</v>
      </c>
      <c r="F474" s="162" t="str">
        <f>HYPERLINK("https://nasional.tempo.co/read/1289428/kaukus-kebebasan-akademik-kampus-belum-terbebas-dari-represi ","sumber")</f>
        <v>sumber</v>
      </c>
      <c r="G474" s="269" t="s">
        <v>33</v>
      </c>
      <c r="H474" s="44">
        <v>396.0</v>
      </c>
      <c r="I474" s="44">
        <v>1.0</v>
      </c>
      <c r="J474" s="44">
        <v>3.0</v>
      </c>
      <c r="K474" s="164" t="s">
        <v>3971</v>
      </c>
      <c r="L474" s="44">
        <v>0.0</v>
      </c>
      <c r="M474" s="44">
        <v>1.0</v>
      </c>
      <c r="N474" s="44">
        <v>0.0</v>
      </c>
      <c r="O474" s="44">
        <v>0.0</v>
      </c>
      <c r="P474" s="44">
        <v>0.0</v>
      </c>
      <c r="Q474" s="44">
        <v>0.0</v>
      </c>
      <c r="R474" s="44">
        <v>1.0</v>
      </c>
      <c r="S474" s="164"/>
      <c r="T474" s="44">
        <v>0.0</v>
      </c>
      <c r="U474" s="44">
        <v>0.0</v>
      </c>
      <c r="V474" s="44">
        <v>1.0</v>
      </c>
      <c r="W474" s="45"/>
      <c r="X474" s="45"/>
      <c r="Y474" s="45"/>
      <c r="Z474" s="9"/>
    </row>
    <row r="475" ht="14.25" customHeight="1">
      <c r="A475" s="211">
        <v>1.0</v>
      </c>
      <c r="B475" s="321" t="s">
        <v>3972</v>
      </c>
      <c r="C475" s="44">
        <v>472.0</v>
      </c>
      <c r="D475" s="44">
        <v>5.0</v>
      </c>
      <c r="E475" s="328">
        <v>43830.0</v>
      </c>
      <c r="F475" s="162" t="str">
        <f>HYPERLINK("https://tirto.id/kegagalan-terbesar-teknologi-2019-galaxy-fold-hingga-boeing-737-max-epRA ","sumber")</f>
        <v>sumber</v>
      </c>
      <c r="G475" s="269" t="s">
        <v>33</v>
      </c>
      <c r="H475" s="44">
        <v>666.0</v>
      </c>
      <c r="I475" s="44">
        <v>1.0</v>
      </c>
      <c r="J475" s="44">
        <v>3.0</v>
      </c>
      <c r="K475" s="164" t="s">
        <v>3973</v>
      </c>
      <c r="L475" s="44">
        <v>0.0</v>
      </c>
      <c r="M475" s="188">
        <v>0.0</v>
      </c>
      <c r="N475" s="44">
        <v>0.0</v>
      </c>
      <c r="O475" s="44">
        <v>0.0</v>
      </c>
      <c r="P475" s="44">
        <v>0.0</v>
      </c>
      <c r="Q475" s="44" t="s">
        <v>61</v>
      </c>
      <c r="R475" s="44" t="s">
        <v>61</v>
      </c>
      <c r="S475" s="164"/>
      <c r="T475" s="44">
        <v>0.0</v>
      </c>
      <c r="U475" s="44">
        <v>0.0</v>
      </c>
      <c r="V475" s="44">
        <v>0.0</v>
      </c>
      <c r="W475" s="45"/>
      <c r="X475" s="45"/>
      <c r="Y475" s="45"/>
      <c r="Z475" s="9"/>
    </row>
    <row r="476" ht="14.25" customHeight="1">
      <c r="A476" s="211">
        <v>1.0</v>
      </c>
      <c r="B476" s="321" t="s">
        <v>3974</v>
      </c>
      <c r="C476" s="44">
        <v>473.0</v>
      </c>
      <c r="D476" s="44">
        <v>8.0</v>
      </c>
      <c r="E476" s="328">
        <v>43739.0</v>
      </c>
      <c r="F476" s="162" t="str">
        <f>HYPERLINK("https://www.suara.com/news/2019/10/01/173336/larang-orang-demo-cinta-laura-dicemooh-warganet ","sumber")</f>
        <v>sumber</v>
      </c>
      <c r="G476" s="269" t="s">
        <v>33</v>
      </c>
      <c r="H476" s="44">
        <v>476.0</v>
      </c>
      <c r="I476" s="44">
        <v>1.0</v>
      </c>
      <c r="J476" s="44">
        <v>1.0</v>
      </c>
      <c r="K476" s="164" t="s">
        <v>3975</v>
      </c>
      <c r="L476" s="44">
        <v>0.0</v>
      </c>
      <c r="M476" s="44">
        <v>1.0</v>
      </c>
      <c r="N476" s="44">
        <v>0.0</v>
      </c>
      <c r="O476" s="44">
        <v>0.0</v>
      </c>
      <c r="P476" s="44">
        <v>0.0</v>
      </c>
      <c r="Q476" s="187" t="s">
        <v>202</v>
      </c>
      <c r="R476" s="187" t="s">
        <v>3279</v>
      </c>
      <c r="S476" s="164"/>
      <c r="T476" s="44">
        <v>0.0</v>
      </c>
      <c r="U476" s="44">
        <v>0.0</v>
      </c>
      <c r="V476" s="44">
        <v>0.0</v>
      </c>
      <c r="W476" s="45"/>
      <c r="X476" s="45"/>
      <c r="Y476" s="45"/>
      <c r="Z476" s="9"/>
    </row>
    <row r="477" ht="14.25" customHeight="1">
      <c r="A477" s="189">
        <v>1.0</v>
      </c>
      <c r="B477" s="245" t="s">
        <v>3976</v>
      </c>
      <c r="C477" s="55">
        <v>474.0</v>
      </c>
      <c r="D477" s="55">
        <v>1.0</v>
      </c>
      <c r="E477" s="327">
        <v>43741.0</v>
      </c>
      <c r="F477" s="171" t="str">
        <f>HYPERLINK("https://news.detik.com/berita-jawa-timur/d-4732851/kalap-karena-cemburu-suami-pukuli-istri-hingga-6-hari-nginap-di-rs","sumber")</f>
        <v>sumber</v>
      </c>
      <c r="G477" s="277" t="s">
        <v>33</v>
      </c>
      <c r="H477" s="55">
        <v>314.0</v>
      </c>
      <c r="I477" s="55">
        <v>1.0</v>
      </c>
      <c r="J477" s="55">
        <v>1.0</v>
      </c>
      <c r="K477" s="172" t="s">
        <v>3977</v>
      </c>
      <c r="L477" s="55">
        <v>0.0</v>
      </c>
      <c r="M477" s="55">
        <v>-1.0</v>
      </c>
      <c r="N477" s="55">
        <v>0.0</v>
      </c>
      <c r="O477" s="55">
        <v>0.0</v>
      </c>
      <c r="P477" s="55">
        <v>0.0</v>
      </c>
      <c r="Q477" s="55">
        <v>0.0</v>
      </c>
      <c r="R477" s="55">
        <v>0.0</v>
      </c>
      <c r="S477" s="172" t="s">
        <v>3978</v>
      </c>
      <c r="T477" s="55">
        <v>1.0</v>
      </c>
      <c r="U477" s="55">
        <v>0.0</v>
      </c>
      <c r="V477" s="55">
        <v>0.0</v>
      </c>
      <c r="W477" s="46"/>
      <c r="X477" s="46"/>
      <c r="Y477" s="46"/>
      <c r="Z477" s="31"/>
    </row>
    <row r="478" ht="14.25" customHeight="1">
      <c r="A478" s="189">
        <v>1.0</v>
      </c>
      <c r="B478" s="245" t="s">
        <v>3979</v>
      </c>
      <c r="C478" s="55">
        <v>475.0</v>
      </c>
      <c r="D478" s="55">
        <v>6.0</v>
      </c>
      <c r="E478" s="327">
        <v>43742.0</v>
      </c>
      <c r="F478" s="171" t="str">
        <f>HYPERLINK("https://regional.kompas.com/read/2019/10/04/18354161/semenit-keluar-penjara-terdakwa-pemerkosa-ditangkap-lagi-pengacara-meradang","sumber")</f>
        <v>sumber</v>
      </c>
      <c r="G478" s="277" t="s">
        <v>33</v>
      </c>
      <c r="H478" s="55">
        <v>270.0</v>
      </c>
      <c r="I478" s="55">
        <v>1.0</v>
      </c>
      <c r="J478" s="55">
        <v>1.0</v>
      </c>
      <c r="K478" s="172" t="s">
        <v>3980</v>
      </c>
      <c r="L478" s="55">
        <v>0.0</v>
      </c>
      <c r="M478" s="55">
        <v>1.0</v>
      </c>
      <c r="N478" s="55">
        <v>0.0</v>
      </c>
      <c r="O478" s="55">
        <v>0.0</v>
      </c>
      <c r="P478" s="55">
        <v>0.0</v>
      </c>
      <c r="Q478" s="55">
        <v>0.0</v>
      </c>
      <c r="R478" s="55">
        <v>0.0</v>
      </c>
      <c r="S478" s="172"/>
      <c r="T478" s="55">
        <v>0.0</v>
      </c>
      <c r="U478" s="55">
        <v>0.0</v>
      </c>
      <c r="V478" s="55">
        <v>0.0</v>
      </c>
      <c r="W478" s="46"/>
      <c r="X478" s="46"/>
      <c r="Y478" s="46"/>
      <c r="Z478" s="31"/>
    </row>
    <row r="479" ht="14.25" customHeight="1">
      <c r="A479" s="211">
        <v>1.0</v>
      </c>
      <c r="B479" s="321" t="s">
        <v>3981</v>
      </c>
      <c r="C479" s="44">
        <v>476.0</v>
      </c>
      <c r="D479" s="44">
        <v>7.0</v>
      </c>
      <c r="E479" s="328">
        <v>43742.0</v>
      </c>
      <c r="F479" s="162" t="str">
        <f>HYPERLINK("https://www.tribunnews.com/regional/2019/10/04/di-balik-viral-video-cewek-tanpa-busana-beraksi-di-manado-ada-praktik-prostitusi-anak-di-bawah-umur ","sumber")</f>
        <v>sumber</v>
      </c>
      <c r="G479" s="269" t="s">
        <v>33</v>
      </c>
      <c r="H479" s="44">
        <v>162.0</v>
      </c>
      <c r="I479" s="44">
        <v>1.0</v>
      </c>
      <c r="J479" s="44">
        <v>1.0</v>
      </c>
      <c r="K479" s="164" t="s">
        <v>3982</v>
      </c>
      <c r="L479" s="44">
        <v>0.0</v>
      </c>
      <c r="M479" s="44">
        <v>1.0</v>
      </c>
      <c r="N479" s="44">
        <v>0.0</v>
      </c>
      <c r="O479" s="44">
        <v>-1.0</v>
      </c>
      <c r="P479" s="44">
        <v>0.0</v>
      </c>
      <c r="Q479" s="187" t="s">
        <v>53</v>
      </c>
      <c r="R479" s="44" t="s">
        <v>138</v>
      </c>
      <c r="S479" s="164"/>
      <c r="T479" s="44">
        <v>0.0</v>
      </c>
      <c r="U479" s="44">
        <v>0.0</v>
      </c>
      <c r="V479" s="44">
        <v>0.0</v>
      </c>
      <c r="W479" s="45"/>
      <c r="X479" s="45"/>
      <c r="Y479" s="45"/>
      <c r="Z479" s="9"/>
    </row>
    <row r="480" ht="14.25" customHeight="1">
      <c r="A480" s="43">
        <v>2.0</v>
      </c>
      <c r="B480" s="47" t="s">
        <v>3983</v>
      </c>
      <c r="C480" s="47">
        <v>477.0</v>
      </c>
      <c r="D480" s="47">
        <v>3.0</v>
      </c>
      <c r="E480" s="320">
        <v>43744.0</v>
      </c>
      <c r="F480" s="156" t="str">
        <f>HYPERLINK("https://celebrity.okezone.com/read/2019/10/05/33/2113386/berniat-perkosa-steven-spielberg-fans-fanatik-dipenjara-25-tahun ","sumber")</f>
        <v>sumber</v>
      </c>
      <c r="G480" s="274" t="s">
        <v>33</v>
      </c>
      <c r="H480" s="47">
        <v>533.0</v>
      </c>
      <c r="I480" s="47">
        <v>1.0</v>
      </c>
      <c r="J480" s="47">
        <v>1.0</v>
      </c>
      <c r="K480" s="157"/>
      <c r="L480" s="48"/>
      <c r="M480" s="48"/>
      <c r="N480" s="48"/>
      <c r="O480" s="48"/>
      <c r="P480" s="48"/>
      <c r="Q480" s="48"/>
      <c r="R480" s="48"/>
      <c r="S480" s="165"/>
      <c r="T480" s="48"/>
      <c r="U480" s="48"/>
      <c r="V480" s="48"/>
      <c r="W480" s="48"/>
      <c r="X480" s="48"/>
      <c r="Y480" s="48"/>
      <c r="Z480" s="51"/>
    </row>
    <row r="481" ht="14.25" customHeight="1">
      <c r="A481" s="231">
        <v>1.0</v>
      </c>
      <c r="B481" s="44" t="s">
        <v>3984</v>
      </c>
      <c r="C481" s="44">
        <v>478.0</v>
      </c>
      <c r="D481" s="44">
        <v>8.0</v>
      </c>
      <c r="E481" s="328">
        <v>43744.0</v>
      </c>
      <c r="F481" s="162" t="str">
        <f>HYPERLINK("https://www.suara.com/news/2019/10/06/094505/psk-pakai-tinder-untuk-gaet-turis-saya-tak-perlu-keluar-rumah ","sumber")</f>
        <v>sumber</v>
      </c>
      <c r="G481" s="269" t="s">
        <v>33</v>
      </c>
      <c r="H481" s="44">
        <v>481.0</v>
      </c>
      <c r="I481" s="44">
        <v>1.0</v>
      </c>
      <c r="J481" s="44">
        <v>1.0</v>
      </c>
      <c r="K481" s="164" t="s">
        <v>3985</v>
      </c>
      <c r="L481" s="44">
        <v>0.0</v>
      </c>
      <c r="M481" s="44">
        <v>1.0</v>
      </c>
      <c r="N481" s="44">
        <v>0.0</v>
      </c>
      <c r="O481" s="44">
        <v>0.0</v>
      </c>
      <c r="P481" s="44">
        <v>0.0</v>
      </c>
      <c r="Q481" s="44" t="s">
        <v>61</v>
      </c>
      <c r="R481" s="44" t="s">
        <v>61</v>
      </c>
      <c r="S481" s="164"/>
      <c r="T481" s="44">
        <v>0.0</v>
      </c>
      <c r="U481" s="44">
        <v>0.0</v>
      </c>
      <c r="V481" s="44">
        <v>0.0</v>
      </c>
      <c r="W481" s="45"/>
      <c r="X481" s="45"/>
      <c r="Y481" s="45"/>
      <c r="Z481" s="9"/>
    </row>
    <row r="482" ht="14.25" customHeight="1">
      <c r="A482" s="231">
        <v>1.0</v>
      </c>
      <c r="B482" s="44" t="s">
        <v>3986</v>
      </c>
      <c r="C482" s="44">
        <v>479.0</v>
      </c>
      <c r="D482" s="44">
        <v>1.0</v>
      </c>
      <c r="E482" s="328">
        <v>43745.0</v>
      </c>
      <c r="F482" s="162" t="str">
        <f>HYPERLINK("https://news.detik.com/berita-jawa-barat/d-4737399/keji-paman-dan-2-teman-sekap-perkosa-gadis-cianjur ","sumber")</f>
        <v>sumber</v>
      </c>
      <c r="G482" s="269" t="s">
        <v>33</v>
      </c>
      <c r="H482" s="44">
        <v>226.0</v>
      </c>
      <c r="I482" s="44">
        <v>1.0</v>
      </c>
      <c r="J482" s="44">
        <v>1.0</v>
      </c>
      <c r="K482" s="164" t="s">
        <v>3987</v>
      </c>
      <c r="L482" s="44">
        <v>0.0</v>
      </c>
      <c r="M482" s="44">
        <v>1.0</v>
      </c>
      <c r="N482" s="44">
        <v>0.0</v>
      </c>
      <c r="O482" s="44">
        <v>0.0</v>
      </c>
      <c r="P482" s="44">
        <v>-1.0</v>
      </c>
      <c r="Q482" s="44">
        <v>0.0</v>
      </c>
      <c r="R482" s="44">
        <v>0.0</v>
      </c>
      <c r="S482" s="164"/>
      <c r="T482" s="44">
        <v>0.0</v>
      </c>
      <c r="U482" s="44">
        <v>0.0</v>
      </c>
      <c r="V482" s="44">
        <v>0.0</v>
      </c>
      <c r="W482" s="45"/>
      <c r="X482" s="45"/>
      <c r="Y482" s="45"/>
      <c r="Z482" s="9"/>
    </row>
    <row r="483" ht="14.25" customHeight="1">
      <c r="A483" s="43">
        <v>2.0</v>
      </c>
      <c r="B483" s="47" t="s">
        <v>3988</v>
      </c>
      <c r="C483" s="47">
        <v>480.0</v>
      </c>
      <c r="D483" s="47">
        <v>2.0</v>
      </c>
      <c r="E483" s="320">
        <v>43746.0</v>
      </c>
      <c r="F483" s="156" t="str">
        <f>HYPERLINK("https://www.cnnindonesia.com/hiburan/20191008201410-227-437892/ami-awards-2019-bakal-digelar-pada-28-november ","sumber")</f>
        <v>sumber</v>
      </c>
      <c r="G483" s="274" t="s">
        <v>33</v>
      </c>
      <c r="H483" s="47">
        <v>378.0</v>
      </c>
      <c r="I483" s="47">
        <v>3.0</v>
      </c>
      <c r="J483" s="47">
        <v>5.0</v>
      </c>
      <c r="K483" s="157"/>
      <c r="L483" s="48"/>
      <c r="M483" s="48"/>
      <c r="N483" s="48"/>
      <c r="O483" s="48"/>
      <c r="P483" s="48"/>
      <c r="Q483" s="48"/>
      <c r="R483" s="48"/>
      <c r="S483" s="165"/>
      <c r="T483" s="48"/>
      <c r="U483" s="48"/>
      <c r="V483" s="48"/>
      <c r="W483" s="48"/>
      <c r="X483" s="48"/>
      <c r="Y483" s="48"/>
      <c r="Z483" s="51"/>
    </row>
    <row r="484" ht="14.25" customHeight="1">
      <c r="A484" s="231">
        <v>1.0</v>
      </c>
      <c r="B484" s="44" t="s">
        <v>3989</v>
      </c>
      <c r="C484" s="44">
        <v>481.0</v>
      </c>
      <c r="D484" s="44">
        <v>7.0</v>
      </c>
      <c r="E484" s="328">
        <v>43746.0</v>
      </c>
      <c r="F484" s="162" t="str">
        <f>HYPERLINK("https://www.tribunnews.com/regional/2019/10/08/jaringan-prostitusi-di-cipanas-ini-jajakan-psk-berkeliling-pakai-mobil-sasarannya-wna ","sumber")</f>
        <v>sumber</v>
      </c>
      <c r="G484" s="269" t="s">
        <v>33</v>
      </c>
      <c r="H484" s="44">
        <v>272.0</v>
      </c>
      <c r="I484" s="44">
        <v>1.0</v>
      </c>
      <c r="J484" s="44">
        <v>1.0</v>
      </c>
      <c r="K484" s="164" t="s">
        <v>3990</v>
      </c>
      <c r="L484" s="44">
        <v>0.0</v>
      </c>
      <c r="M484" s="188">
        <v>0.0</v>
      </c>
      <c r="N484" s="44">
        <v>0.0</v>
      </c>
      <c r="O484" s="44">
        <v>0.0</v>
      </c>
      <c r="P484" s="44">
        <v>0.0</v>
      </c>
      <c r="Q484" s="44">
        <v>0.0</v>
      </c>
      <c r="R484" s="44">
        <v>0.0</v>
      </c>
      <c r="S484" s="164"/>
      <c r="T484" s="44">
        <v>0.0</v>
      </c>
      <c r="U484" s="44">
        <v>0.0</v>
      </c>
      <c r="V484" s="44">
        <v>0.0</v>
      </c>
      <c r="W484" s="45"/>
      <c r="X484" s="45"/>
      <c r="Y484" s="45"/>
      <c r="Z484" s="9"/>
    </row>
    <row r="485" ht="14.25" customHeight="1">
      <c r="A485" s="231">
        <v>1.0</v>
      </c>
      <c r="B485" s="44" t="s">
        <v>3991</v>
      </c>
      <c r="C485" s="44">
        <v>482.0</v>
      </c>
      <c r="D485" s="44">
        <v>1.0</v>
      </c>
      <c r="E485" s="328">
        <v>43747.0</v>
      </c>
      <c r="F485" s="162" t="str">
        <f>HYPERLINK("https://news.detik.com/berita-jawa-barat/d-4739732/terungkap-identitas-wanita-dibunuh-di-hotel-kerja-spg ","sumber")</f>
        <v>sumber</v>
      </c>
      <c r="G485" s="269" t="s">
        <v>33</v>
      </c>
      <c r="H485" s="44">
        <v>203.0</v>
      </c>
      <c r="I485" s="44">
        <v>1.0</v>
      </c>
      <c r="J485" s="44">
        <v>1.0</v>
      </c>
      <c r="K485" s="164" t="s">
        <v>3992</v>
      </c>
      <c r="L485" s="44">
        <v>0.0</v>
      </c>
      <c r="M485" s="44">
        <v>-1.0</v>
      </c>
      <c r="N485" s="44">
        <v>0.0</v>
      </c>
      <c r="O485" s="44">
        <v>0.0</v>
      </c>
      <c r="P485" s="44">
        <v>0.0</v>
      </c>
      <c r="Q485" s="44">
        <v>0.0</v>
      </c>
      <c r="R485" s="44">
        <v>0.0</v>
      </c>
      <c r="S485" s="164"/>
      <c r="T485" s="44">
        <v>0.0</v>
      </c>
      <c r="U485" s="44">
        <v>0.0</v>
      </c>
      <c r="V485" s="44">
        <v>0.0</v>
      </c>
      <c r="W485" s="45"/>
      <c r="X485" s="45"/>
      <c r="Y485" s="45"/>
      <c r="Z485" s="9"/>
    </row>
    <row r="486" ht="14.25" customHeight="1">
      <c r="A486" s="231">
        <v>1.0</v>
      </c>
      <c r="B486" s="44" t="s">
        <v>3993</v>
      </c>
      <c r="C486" s="44">
        <v>483.0</v>
      </c>
      <c r="D486" s="44">
        <v>4.0</v>
      </c>
      <c r="E486" s="328">
        <v>43747.0</v>
      </c>
      <c r="F486" s="162" t="str">
        <f>HYPERLINK("https://www.liputan6.com/showbiz/read/4082004/tayangan-pagi-pagi-pasti-happy-dihentikan-selama-5-hari-oleh-kpi ","sumber")</f>
        <v>sumber</v>
      </c>
      <c r="G486" s="269" t="s">
        <v>33</v>
      </c>
      <c r="H486" s="44">
        <v>310.0</v>
      </c>
      <c r="I486" s="44">
        <v>1.0</v>
      </c>
      <c r="J486" s="44">
        <v>1.0</v>
      </c>
      <c r="K486" s="164" t="s">
        <v>3994</v>
      </c>
      <c r="L486" s="44">
        <v>0.0</v>
      </c>
      <c r="M486" s="44">
        <v>1.0</v>
      </c>
      <c r="N486" s="44">
        <v>0.0</v>
      </c>
      <c r="O486" s="44">
        <v>0.0</v>
      </c>
      <c r="P486" s="44">
        <v>0.0</v>
      </c>
      <c r="Q486" s="44">
        <v>0.0</v>
      </c>
      <c r="R486" s="44">
        <v>0.0</v>
      </c>
      <c r="S486" s="164"/>
      <c r="T486" s="44">
        <v>0.0</v>
      </c>
      <c r="U486" s="44">
        <v>0.0</v>
      </c>
      <c r="V486" s="44">
        <v>0.0</v>
      </c>
      <c r="W486" s="45"/>
      <c r="X486" s="45"/>
      <c r="Y486" s="45"/>
      <c r="Z486" s="9"/>
    </row>
    <row r="487" ht="14.25" customHeight="1">
      <c r="A487" s="231">
        <v>1.0</v>
      </c>
      <c r="B487" s="44" t="s">
        <v>3995</v>
      </c>
      <c r="C487" s="44">
        <v>484.0</v>
      </c>
      <c r="D487" s="44">
        <v>5.0</v>
      </c>
      <c r="E487" s="328">
        <v>43787.0</v>
      </c>
      <c r="F487" s="162" t="str">
        <f>HYPERLINK("https://tirto.id/teror-sperma-di-tasikmalaya-adalah-pelecehan-seksual-serius-elTe ","sumber")</f>
        <v>sumber</v>
      </c>
      <c r="G487" s="269" t="s">
        <v>33</v>
      </c>
      <c r="H487" s="44">
        <v>366.0</v>
      </c>
      <c r="I487" s="44">
        <v>1.0</v>
      </c>
      <c r="J487" s="44">
        <v>1.0</v>
      </c>
      <c r="K487" s="164" t="s">
        <v>3996</v>
      </c>
      <c r="L487" s="44">
        <v>0.0</v>
      </c>
      <c r="M487" s="44">
        <v>1.0</v>
      </c>
      <c r="N487" s="44">
        <v>0.0</v>
      </c>
      <c r="O487" s="44">
        <v>0.0</v>
      </c>
      <c r="P487" s="44">
        <v>0.0</v>
      </c>
      <c r="Q487" s="44" t="s">
        <v>61</v>
      </c>
      <c r="R487" s="44" t="s">
        <v>192</v>
      </c>
      <c r="S487" s="164" t="s">
        <v>3997</v>
      </c>
      <c r="T487" s="44">
        <v>1.0</v>
      </c>
      <c r="U487" s="44">
        <v>0.0</v>
      </c>
      <c r="V487" s="44">
        <v>1.0</v>
      </c>
      <c r="W487" s="45"/>
      <c r="X487" s="45"/>
      <c r="Y487" s="45"/>
      <c r="Z487" s="9"/>
    </row>
    <row r="488" ht="14.25" customHeight="1">
      <c r="A488" s="231">
        <v>1.0</v>
      </c>
      <c r="B488" s="44" t="s">
        <v>3998</v>
      </c>
      <c r="C488" s="44">
        <v>485.0</v>
      </c>
      <c r="D488" s="44">
        <v>4.0</v>
      </c>
      <c r="E488" s="328">
        <v>43788.0</v>
      </c>
      <c r="F488" s="162" t="str">
        <f>HYPERLINK("https://www.liputan6.com/global/read/4114087/penembakan-di-luar-supermarket-oklahoma-3-orang-tewas ","sumber")</f>
        <v>sumber</v>
      </c>
      <c r="G488" s="269" t="s">
        <v>33</v>
      </c>
      <c r="H488" s="44">
        <v>508.0</v>
      </c>
      <c r="I488" s="44">
        <v>1.0</v>
      </c>
      <c r="J488" s="44">
        <v>1.0</v>
      </c>
      <c r="K488" s="164" t="s">
        <v>3999</v>
      </c>
      <c r="L488" s="44">
        <v>0.0</v>
      </c>
      <c r="M488" s="44">
        <v>1.0</v>
      </c>
      <c r="N488" s="44">
        <v>0.0</v>
      </c>
      <c r="O488" s="44">
        <v>0.0</v>
      </c>
      <c r="P488" s="44">
        <v>0.0</v>
      </c>
      <c r="Q488" s="286" t="s">
        <v>144</v>
      </c>
      <c r="R488" s="286" t="s">
        <v>144</v>
      </c>
      <c r="S488" s="164"/>
      <c r="T488" s="44">
        <v>0.0</v>
      </c>
      <c r="U488" s="44">
        <v>0.0</v>
      </c>
      <c r="V488" s="44">
        <v>0.0</v>
      </c>
      <c r="W488" s="45"/>
      <c r="X488" s="45"/>
      <c r="Y488" s="45"/>
      <c r="Z488" s="9"/>
    </row>
    <row r="489" ht="14.25" customHeight="1">
      <c r="A489" s="252">
        <v>1.0</v>
      </c>
      <c r="B489" s="55" t="s">
        <v>4000</v>
      </c>
      <c r="C489" s="55">
        <v>486.0</v>
      </c>
      <c r="D489" s="55">
        <v>9.0</v>
      </c>
      <c r="E489" s="327">
        <v>43788.0</v>
      </c>
      <c r="F489" s="194" t="s">
        <v>2198</v>
      </c>
      <c r="G489" s="277" t="s">
        <v>33</v>
      </c>
      <c r="H489" s="55">
        <v>253.0</v>
      </c>
      <c r="I489" s="55">
        <v>1.0</v>
      </c>
      <c r="J489" s="55">
        <v>1.0</v>
      </c>
      <c r="K489" s="172" t="s">
        <v>4001</v>
      </c>
      <c r="L489" s="55">
        <v>0.0</v>
      </c>
      <c r="M489" s="55">
        <v>-1.0</v>
      </c>
      <c r="N489" s="55">
        <v>0.0</v>
      </c>
      <c r="O489" s="55">
        <v>0.0</v>
      </c>
      <c r="P489" s="55">
        <v>0.0</v>
      </c>
      <c r="Q489" s="55">
        <v>0.0</v>
      </c>
      <c r="R489" s="55">
        <v>1.0</v>
      </c>
      <c r="S489" s="172"/>
      <c r="T489" s="55">
        <v>0.0</v>
      </c>
      <c r="U489" s="55">
        <v>0.0</v>
      </c>
      <c r="V489" s="55">
        <v>0.0</v>
      </c>
      <c r="W489" s="46"/>
      <c r="X489" s="46"/>
      <c r="Y489" s="46"/>
      <c r="Z489" s="31"/>
    </row>
    <row r="490" ht="14.25" customHeight="1">
      <c r="A490" s="231">
        <v>1.0</v>
      </c>
      <c r="B490" s="44" t="s">
        <v>4002</v>
      </c>
      <c r="C490" s="44">
        <v>487.0</v>
      </c>
      <c r="D490" s="44">
        <v>8.0</v>
      </c>
      <c r="E490" s="328">
        <v>43789.0</v>
      </c>
      <c r="F490" s="162" t="str">
        <f>HYPERLINK("https://jabar.suara.com/read/2019/11/20/142551/selain-incar-cewek-yang-disukai-sidiq-nekat-cipratkan-sperma-karena-mabuk ","sumber")</f>
        <v>sumber</v>
      </c>
      <c r="G490" s="269" t="s">
        <v>33</v>
      </c>
      <c r="H490" s="44">
        <v>199.0</v>
      </c>
      <c r="I490" s="44">
        <v>1.0</v>
      </c>
      <c r="J490" s="44">
        <v>1.0</v>
      </c>
      <c r="K490" s="164" t="s">
        <v>4003</v>
      </c>
      <c r="L490" s="44">
        <v>0.0</v>
      </c>
      <c r="M490" s="44">
        <v>-1.0</v>
      </c>
      <c r="N490" s="44">
        <v>0.0</v>
      </c>
      <c r="O490" s="44">
        <v>0.0</v>
      </c>
      <c r="P490" s="44">
        <v>0.0</v>
      </c>
      <c r="Q490" s="44">
        <v>0.0</v>
      </c>
      <c r="R490" s="44">
        <v>0.0</v>
      </c>
      <c r="S490" s="164"/>
      <c r="T490" s="44">
        <v>0.0</v>
      </c>
      <c r="U490" s="44">
        <v>0.0</v>
      </c>
      <c r="V490" s="44">
        <v>0.0</v>
      </c>
      <c r="W490" s="45"/>
      <c r="X490" s="45"/>
      <c r="Y490" s="45"/>
      <c r="Z490" s="9"/>
    </row>
    <row r="491" ht="14.25" customHeight="1">
      <c r="A491" s="231">
        <v>1.0</v>
      </c>
      <c r="B491" s="44" t="s">
        <v>4004</v>
      </c>
      <c r="C491" s="44">
        <v>488.0</v>
      </c>
      <c r="D491" s="44">
        <v>10.0</v>
      </c>
      <c r="E491" s="328">
        <v>43789.0</v>
      </c>
      <c r="F491" s="162" t="str">
        <f>HYPERLINK("https://dunia.tempo.co/read/1274572/berotak-jenius-begini-sosok-julian-assange ","sumber")</f>
        <v>sumber</v>
      </c>
      <c r="G491" s="269" t="s">
        <v>33</v>
      </c>
      <c r="H491" s="44">
        <v>564.0</v>
      </c>
      <c r="I491" s="44">
        <v>1.0</v>
      </c>
      <c r="J491" s="44">
        <v>1.0</v>
      </c>
      <c r="K491" s="164" t="s">
        <v>4005</v>
      </c>
      <c r="L491" s="44">
        <v>0.0</v>
      </c>
      <c r="M491" s="44">
        <v>-1.0</v>
      </c>
      <c r="N491" s="44">
        <v>0.0</v>
      </c>
      <c r="O491" s="44">
        <v>0.0</v>
      </c>
      <c r="P491" s="44">
        <v>0.0</v>
      </c>
      <c r="Q491" s="44">
        <v>0.0</v>
      </c>
      <c r="R491" s="44">
        <v>0.0</v>
      </c>
      <c r="S491" s="164"/>
      <c r="T491" s="44">
        <v>0.0</v>
      </c>
      <c r="U491" s="44">
        <v>-1.0</v>
      </c>
      <c r="V491" s="44">
        <v>0.0</v>
      </c>
      <c r="W491" s="45"/>
      <c r="X491" s="45"/>
      <c r="Y491" s="45"/>
      <c r="Z491" s="9"/>
    </row>
    <row r="492" ht="14.25" customHeight="1">
      <c r="A492" s="43">
        <v>2.0</v>
      </c>
      <c r="B492" s="47" t="s">
        <v>4006</v>
      </c>
      <c r="C492" s="47">
        <v>489.0</v>
      </c>
      <c r="D492" s="47">
        <v>10.0</v>
      </c>
      <c r="E492" s="320">
        <v>43790.0</v>
      </c>
      <c r="F492" s="156" t="str">
        <f>HYPERLINK("https://dunia.tempo.co/read/1275039/ratu-elizabeth-ii-pecat-pangeran-andrew-dari-tugas-kerajaan ","sumber")</f>
        <v>sumber</v>
      </c>
      <c r="G492" s="274" t="s">
        <v>33</v>
      </c>
      <c r="H492" s="47">
        <v>362.0</v>
      </c>
      <c r="I492" s="47">
        <v>3.0</v>
      </c>
      <c r="J492" s="47">
        <v>5.0</v>
      </c>
      <c r="K492" s="165"/>
      <c r="L492" s="48"/>
      <c r="M492" s="48"/>
      <c r="N492" s="48"/>
      <c r="O492" s="48"/>
      <c r="P492" s="48"/>
      <c r="Q492" s="48"/>
      <c r="R492" s="48"/>
      <c r="S492" s="165"/>
      <c r="T492" s="48"/>
      <c r="U492" s="48"/>
      <c r="V492" s="48"/>
      <c r="W492" s="48"/>
      <c r="X492" s="48"/>
      <c r="Y492" s="48"/>
      <c r="Z492" s="43"/>
    </row>
    <row r="493" ht="14.25" customHeight="1">
      <c r="A493" s="231">
        <v>1.0</v>
      </c>
      <c r="B493" s="44" t="s">
        <v>4007</v>
      </c>
      <c r="C493" s="44">
        <v>490.0</v>
      </c>
      <c r="D493" s="44">
        <v>4.0</v>
      </c>
      <c r="E493" s="328">
        <v>43791.0</v>
      </c>
      <c r="F493" s="162" t="str">
        <f>HYPERLINK("https://www.liputan6.com/global/read/4116393/22-11-1986-mike-tyson-jadi-juara-petinju-kelas-berat-termuda-dalam-sejarah ","sumber")</f>
        <v>sumber</v>
      </c>
      <c r="G493" s="269" t="s">
        <v>33</v>
      </c>
      <c r="H493" s="44">
        <v>231.0</v>
      </c>
      <c r="I493" s="44">
        <v>1.0</v>
      </c>
      <c r="J493" s="44">
        <v>1.0</v>
      </c>
      <c r="K493" s="164" t="s">
        <v>4008</v>
      </c>
      <c r="L493" s="44">
        <v>0.0</v>
      </c>
      <c r="M493" s="44">
        <v>-1.0</v>
      </c>
      <c r="N493" s="44">
        <v>0.0</v>
      </c>
      <c r="O493" s="44">
        <v>0.0</v>
      </c>
      <c r="P493" s="44">
        <v>0.0</v>
      </c>
      <c r="Q493" s="44">
        <v>0.0</v>
      </c>
      <c r="R493" s="44">
        <v>0.0</v>
      </c>
      <c r="S493" s="164"/>
      <c r="T493" s="44">
        <v>0.0</v>
      </c>
      <c r="U493" s="44">
        <v>-1.0</v>
      </c>
      <c r="V493" s="44">
        <v>0.0</v>
      </c>
      <c r="W493" s="45"/>
      <c r="X493" s="45"/>
      <c r="Y493" s="45"/>
      <c r="Z493" s="9"/>
    </row>
    <row r="494" ht="14.25" customHeight="1">
      <c r="A494" s="231">
        <v>1.0</v>
      </c>
      <c r="B494" s="44" t="s">
        <v>4009</v>
      </c>
      <c r="C494" s="44">
        <v>491.0</v>
      </c>
      <c r="D494" s="44">
        <v>9.0</v>
      </c>
      <c r="E494" s="328">
        <v>43791.0</v>
      </c>
      <c r="F494" s="162" t="str">
        <f>HYPERLINK("https://internasional.republika.co.id/berita/q1dcn2/kritik-profesor-australia-indonesia-susah-terima-perbedaan ","sumber")</f>
        <v>sumber</v>
      </c>
      <c r="G494" s="269" t="s">
        <v>33</v>
      </c>
      <c r="H494" s="44">
        <v>719.0</v>
      </c>
      <c r="I494" s="44">
        <v>2.0</v>
      </c>
      <c r="J494" s="44">
        <v>1.0</v>
      </c>
      <c r="K494" s="164" t="s">
        <v>4010</v>
      </c>
      <c r="L494" s="44">
        <v>0.0</v>
      </c>
      <c r="M494" s="44">
        <v>0.0</v>
      </c>
      <c r="N494" s="44">
        <v>0.0</v>
      </c>
      <c r="O494" s="44">
        <v>0.0</v>
      </c>
      <c r="P494" s="44">
        <v>0.0</v>
      </c>
      <c r="Q494" s="44" t="s">
        <v>61</v>
      </c>
      <c r="R494" s="44" t="s">
        <v>61</v>
      </c>
      <c r="S494" s="164"/>
      <c r="T494" s="44">
        <v>0.0</v>
      </c>
      <c r="U494" s="44">
        <v>0.0</v>
      </c>
      <c r="V494" s="44">
        <v>0.0</v>
      </c>
      <c r="W494" s="45"/>
      <c r="X494" s="45"/>
      <c r="Y494" s="45"/>
      <c r="Z494" s="9"/>
    </row>
    <row r="495" ht="14.25" customHeight="1">
      <c r="A495" s="231">
        <v>1.0</v>
      </c>
      <c r="B495" s="44" t="s">
        <v>4011</v>
      </c>
      <c r="C495" s="44">
        <v>492.0</v>
      </c>
      <c r="D495" s="44">
        <v>8.0</v>
      </c>
      <c r="E495" s="328">
        <v>43791.0</v>
      </c>
      <c r="F495" s="162" t="str">
        <f>HYPERLINK("https://www.suara.com/entertainment/2019/11/22/090110/deddy-corbuzier-bahas-mata-novel-baswedan-dan-3-berita-populer-lainnya ","sumber")</f>
        <v>sumber</v>
      </c>
      <c r="G495" s="269" t="s">
        <v>33</v>
      </c>
      <c r="H495" s="44">
        <v>369.0</v>
      </c>
      <c r="I495" s="44">
        <v>1.0</v>
      </c>
      <c r="J495" s="44">
        <v>1.0</v>
      </c>
      <c r="K495" s="164" t="s">
        <v>4012</v>
      </c>
      <c r="L495" s="44">
        <v>0.0</v>
      </c>
      <c r="M495" s="44">
        <v>-1.0</v>
      </c>
      <c r="N495" s="44">
        <v>-1.0</v>
      </c>
      <c r="O495" s="44">
        <v>0.0</v>
      </c>
      <c r="P495" s="44">
        <v>0.0</v>
      </c>
      <c r="Q495" s="44">
        <v>0.0</v>
      </c>
      <c r="R495" s="44">
        <v>0.0</v>
      </c>
      <c r="S495" s="164"/>
      <c r="T495" s="44">
        <v>0.0</v>
      </c>
      <c r="U495" s="44">
        <v>0.0</v>
      </c>
      <c r="V495" s="44">
        <v>0.0</v>
      </c>
      <c r="W495" s="45"/>
      <c r="X495" s="45"/>
      <c r="Y495" s="45"/>
      <c r="Z495" s="9"/>
    </row>
    <row r="496" ht="14.25" customHeight="1">
      <c r="A496" s="252">
        <v>1.0</v>
      </c>
      <c r="B496" s="55" t="s">
        <v>4013</v>
      </c>
      <c r="C496" s="55">
        <v>493.0</v>
      </c>
      <c r="D496" s="55">
        <v>4.0</v>
      </c>
      <c r="E496" s="327">
        <v>43792.0</v>
      </c>
      <c r="F496" s="194" t="s">
        <v>2198</v>
      </c>
      <c r="G496" s="277" t="s">
        <v>33</v>
      </c>
      <c r="H496" s="55">
        <v>277.0</v>
      </c>
      <c r="I496" s="55">
        <v>3.0</v>
      </c>
      <c r="J496" s="55">
        <v>5.0</v>
      </c>
      <c r="K496" s="172" t="s">
        <v>4014</v>
      </c>
      <c r="L496" s="55">
        <v>0.0</v>
      </c>
      <c r="M496" s="55">
        <v>0.0</v>
      </c>
      <c r="N496" s="55">
        <v>0.0</v>
      </c>
      <c r="O496" s="55">
        <v>0.0</v>
      </c>
      <c r="P496" s="55">
        <v>0.0</v>
      </c>
      <c r="Q496" s="55">
        <v>0.0</v>
      </c>
      <c r="R496" s="55">
        <v>1.0</v>
      </c>
      <c r="S496" s="172"/>
      <c r="T496" s="55">
        <v>0.0</v>
      </c>
      <c r="U496" s="55">
        <v>0.0</v>
      </c>
      <c r="V496" s="55">
        <v>0.0</v>
      </c>
      <c r="W496" s="46"/>
      <c r="X496" s="46"/>
      <c r="Y496" s="46"/>
      <c r="Z496" s="31"/>
    </row>
    <row r="497" ht="14.25" customHeight="1">
      <c r="A497" s="231">
        <v>1.0</v>
      </c>
      <c r="B497" s="44" t="s">
        <v>4015</v>
      </c>
      <c r="C497" s="44">
        <v>494.0</v>
      </c>
      <c r="D497" s="44">
        <v>2.0</v>
      </c>
      <c r="E497" s="328">
        <v>43793.0</v>
      </c>
      <c r="F497" s="162" t="str">
        <f>HYPERLINK("https://www.cnnindonesia.com/hiburan/20191124191521-234-451072/goo-hara-jadi-artis-ketiga-korea-yang-meninggal-di-tahun-2019 ","sumber")</f>
        <v>sumber</v>
      </c>
      <c r="G497" s="269" t="s">
        <v>33</v>
      </c>
      <c r="H497" s="44">
        <v>361.0</v>
      </c>
      <c r="I497" s="44">
        <v>1.0</v>
      </c>
      <c r="J497" s="44">
        <v>1.0</v>
      </c>
      <c r="K497" s="164" t="s">
        <v>4016</v>
      </c>
      <c r="L497" s="44">
        <v>0.0</v>
      </c>
      <c r="M497" s="188">
        <v>0.0</v>
      </c>
      <c r="N497" s="44">
        <v>0.0</v>
      </c>
      <c r="O497" s="44">
        <v>0.0</v>
      </c>
      <c r="P497" s="44">
        <v>0.0</v>
      </c>
      <c r="Q497" s="44">
        <v>0.0</v>
      </c>
      <c r="R497" s="44">
        <v>0.0</v>
      </c>
      <c r="S497" s="164"/>
      <c r="T497" s="44">
        <v>0.0</v>
      </c>
      <c r="U497" s="44">
        <v>0.0</v>
      </c>
      <c r="V497" s="44">
        <v>0.0</v>
      </c>
      <c r="W497" s="45"/>
      <c r="X497" s="45"/>
      <c r="Y497" s="45"/>
      <c r="Z497" s="9"/>
    </row>
    <row r="498" ht="14.25" customHeight="1">
      <c r="A498" s="231">
        <v>1.0</v>
      </c>
      <c r="B498" s="44" t="s">
        <v>4017</v>
      </c>
      <c r="C498" s="44">
        <v>495.0</v>
      </c>
      <c r="D498" s="44">
        <v>1.0</v>
      </c>
      <c r="E498" s="328">
        <v>43793.0</v>
      </c>
      <c r="F498" s="162" t="str">
        <f>HYPERLINK("https://news.detik.com/berita-jawa-timur/d-4796020/pria-yang-tewas-dibacok-juga-bawa-pisau-saat-hendak-perkosa-istri-orang ","sumber")</f>
        <v>sumber</v>
      </c>
      <c r="G498" s="269" t="s">
        <v>33</v>
      </c>
      <c r="H498" s="44">
        <v>170.0</v>
      </c>
      <c r="I498" s="44">
        <v>1.0</v>
      </c>
      <c r="J498" s="44">
        <v>1.0</v>
      </c>
      <c r="K498" s="164" t="s">
        <v>4018</v>
      </c>
      <c r="L498" s="44">
        <v>0.0</v>
      </c>
      <c r="M498" s="188">
        <v>0.0</v>
      </c>
      <c r="N498" s="44">
        <v>0.0</v>
      </c>
      <c r="O498" s="44">
        <v>0.0</v>
      </c>
      <c r="P498" s="44">
        <v>0.0</v>
      </c>
      <c r="Q498" s="44">
        <v>0.0</v>
      </c>
      <c r="R498" s="44">
        <v>0.0</v>
      </c>
      <c r="S498" s="164"/>
      <c r="T498" s="44">
        <v>0.0</v>
      </c>
      <c r="U498" s="44">
        <v>0.0</v>
      </c>
      <c r="V498" s="44">
        <v>0.0</v>
      </c>
      <c r="W498" s="45"/>
      <c r="X498" s="45"/>
      <c r="Y498" s="45"/>
      <c r="Z498" s="9"/>
    </row>
    <row r="499" ht="14.25" customHeight="1">
      <c r="A499" s="231">
        <v>1.0</v>
      </c>
      <c r="B499" s="44" t="s">
        <v>4019</v>
      </c>
      <c r="C499" s="44">
        <v>496.0</v>
      </c>
      <c r="D499" s="44">
        <v>3.0</v>
      </c>
      <c r="E499" s="328">
        <v>43793.0</v>
      </c>
      <c r="F499" s="162" t="str">
        <f>HYPERLINK("https://news.okezone.com/read/2019/11/23/18/2133638/wanita-muslim-bela-keluarga-yahudi-yang-diserang-seorang-pria-di-krl ","sumber")</f>
        <v>sumber</v>
      </c>
      <c r="G499" s="269" t="s">
        <v>33</v>
      </c>
      <c r="H499" s="44">
        <v>519.0</v>
      </c>
      <c r="I499" s="44">
        <v>1.0</v>
      </c>
      <c r="J499" s="44">
        <v>4.0</v>
      </c>
      <c r="K499" s="164" t="s">
        <v>4020</v>
      </c>
      <c r="L499" s="44">
        <v>0.0</v>
      </c>
      <c r="M499" s="44">
        <v>1.0</v>
      </c>
      <c r="N499" s="44">
        <v>0.0</v>
      </c>
      <c r="O499" s="44">
        <v>0.0</v>
      </c>
      <c r="P499" s="44">
        <v>0.0</v>
      </c>
      <c r="Q499" s="44" t="s">
        <v>61</v>
      </c>
      <c r="R499" s="44" t="s">
        <v>192</v>
      </c>
      <c r="S499" s="164"/>
      <c r="T499" s="44">
        <v>0.0</v>
      </c>
      <c r="U499" s="44">
        <v>0.0</v>
      </c>
      <c r="V499" s="44">
        <v>0.0</v>
      </c>
      <c r="W499" s="45"/>
      <c r="X499" s="45"/>
      <c r="Y499" s="45"/>
      <c r="Z499" s="9"/>
    </row>
    <row r="500" ht="14.25" customHeight="1">
      <c r="A500" s="231">
        <v>1.0</v>
      </c>
      <c r="B500" s="44" t="s">
        <v>4021</v>
      </c>
      <c r="C500" s="44">
        <v>497.0</v>
      </c>
      <c r="D500" s="44">
        <v>3.0</v>
      </c>
      <c r="E500" s="328">
        <v>43794.0</v>
      </c>
      <c r="F500" s="162" t="str">
        <f>HYPERLINK("https://celebrity.okezone.com/read/2019/11/25/33/2134123/hari-guru-vanessa-angel-berharap-bisa-selesaikan-pendidikan-sma ","sumber")</f>
        <v>sumber</v>
      </c>
      <c r="G500" s="269" t="s">
        <v>33</v>
      </c>
      <c r="H500" s="44">
        <v>343.0</v>
      </c>
      <c r="I500" s="44">
        <v>1.0</v>
      </c>
      <c r="J500" s="44">
        <v>1.0</v>
      </c>
      <c r="K500" s="164" t="s">
        <v>4022</v>
      </c>
      <c r="L500" s="44">
        <v>0.0</v>
      </c>
      <c r="M500" s="188">
        <v>0.0</v>
      </c>
      <c r="N500" s="44">
        <v>0.0</v>
      </c>
      <c r="O500" s="44">
        <v>0.0</v>
      </c>
      <c r="P500" s="44">
        <v>0.0</v>
      </c>
      <c r="Q500" s="44" t="s">
        <v>80</v>
      </c>
      <c r="R500" s="44" t="s">
        <v>546</v>
      </c>
      <c r="S500" s="164"/>
      <c r="T500" s="44">
        <v>0.0</v>
      </c>
      <c r="U500" s="44">
        <v>-1.0</v>
      </c>
      <c r="V500" s="44">
        <v>0.0</v>
      </c>
      <c r="W500" s="45"/>
      <c r="X500" s="45"/>
      <c r="Y500" s="45"/>
      <c r="Z500" s="9"/>
    </row>
    <row r="501" ht="14.25" customHeight="1">
      <c r="A501" s="231">
        <v>1.0</v>
      </c>
      <c r="B501" s="44" t="s">
        <v>4023</v>
      </c>
      <c r="C501" s="44">
        <v>498.0</v>
      </c>
      <c r="D501" s="44">
        <v>7.0</v>
      </c>
      <c r="E501" s="328">
        <v>43794.0</v>
      </c>
      <c r="F501" s="162" t="str">
        <f>HYPERLINK("https://www.tribunnews.com/nasional/2019/11/25/forum-pengadu-layanan-komnas-perempuan-catat-ada-168-kasus-hubungan-sedarah-sepanjang-2016-2018 ","sumber")</f>
        <v>sumber</v>
      </c>
      <c r="G501" s="269" t="s">
        <v>33</v>
      </c>
      <c r="H501" s="44">
        <v>248.0</v>
      </c>
      <c r="I501" s="44">
        <v>1.0</v>
      </c>
      <c r="J501" s="44">
        <v>1.0</v>
      </c>
      <c r="K501" s="164" t="s">
        <v>4024</v>
      </c>
      <c r="L501" s="44">
        <v>0.0</v>
      </c>
      <c r="M501" s="44">
        <v>-1.0</v>
      </c>
      <c r="N501" s="44">
        <v>0.0</v>
      </c>
      <c r="O501" s="44">
        <v>0.0</v>
      </c>
      <c r="P501" s="44">
        <v>0.0</v>
      </c>
      <c r="Q501" s="44">
        <v>1.0</v>
      </c>
      <c r="R501" s="44">
        <v>0.0</v>
      </c>
      <c r="S501" s="164"/>
      <c r="T501" s="44">
        <v>0.0</v>
      </c>
      <c r="U501" s="44">
        <v>0.0</v>
      </c>
      <c r="V501" s="44">
        <v>0.0</v>
      </c>
      <c r="W501" s="45"/>
      <c r="X501" s="45"/>
      <c r="Y501" s="45"/>
      <c r="Z501" s="9"/>
    </row>
    <row r="502" ht="14.25" customHeight="1">
      <c r="A502" s="231">
        <v>1.0</v>
      </c>
      <c r="B502" s="44" t="s">
        <v>4025</v>
      </c>
      <c r="C502" s="44">
        <v>499.0</v>
      </c>
      <c r="D502" s="44">
        <v>7.0</v>
      </c>
      <c r="E502" s="328">
        <v>43811.0</v>
      </c>
      <c r="F502" s="162" t="str">
        <f>HYPERLINK("https://www.tribunnews.com/regional/2019/12/12/driver-taksi-online-dan-penumpang-berdamai-polisi-hentikan-penyelidikan-dugaan-kasus-pencabulan ","sumber")</f>
        <v>sumber</v>
      </c>
      <c r="G502" s="269" t="s">
        <v>33</v>
      </c>
      <c r="H502" s="44">
        <v>181.0</v>
      </c>
      <c r="I502" s="44">
        <v>1.0</v>
      </c>
      <c r="J502" s="44">
        <v>1.0</v>
      </c>
      <c r="K502" s="164" t="s">
        <v>4026</v>
      </c>
      <c r="L502" s="44">
        <v>0.0</v>
      </c>
      <c r="M502" s="188">
        <v>0.0</v>
      </c>
      <c r="N502" s="44">
        <v>-1.0</v>
      </c>
      <c r="O502" s="44">
        <v>0.0</v>
      </c>
      <c r="P502" s="44">
        <v>0.0</v>
      </c>
      <c r="Q502" s="187" t="s">
        <v>53</v>
      </c>
      <c r="R502" s="44" t="s">
        <v>138</v>
      </c>
      <c r="S502" s="164" t="s">
        <v>4027</v>
      </c>
      <c r="T502" s="44">
        <v>3.0</v>
      </c>
      <c r="U502" s="44">
        <v>-1.0</v>
      </c>
      <c r="V502" s="44">
        <v>0.0</v>
      </c>
      <c r="W502" s="45"/>
      <c r="X502" s="45"/>
      <c r="Y502" s="45"/>
      <c r="Z502" s="9"/>
    </row>
    <row r="503" ht="14.25" customHeight="1">
      <c r="A503" s="231">
        <v>1.0</v>
      </c>
      <c r="B503" s="44" t="s">
        <v>4028</v>
      </c>
      <c r="C503" s="44">
        <v>500.0</v>
      </c>
      <c r="D503" s="44">
        <v>8.0</v>
      </c>
      <c r="E503" s="328">
        <v>43814.0</v>
      </c>
      <c r="F503" s="162" t="str">
        <f>HYPERLINK("https://www.suara.com/news/2019/12/15/192506/presiden-turki-apresiasi-kinerja-risma-sebagai-perempuan-inspiratif ","sumber")</f>
        <v>sumber</v>
      </c>
      <c r="G503" s="269" t="s">
        <v>33</v>
      </c>
      <c r="H503" s="44">
        <v>759.0</v>
      </c>
      <c r="I503" s="44">
        <v>3.0</v>
      </c>
      <c r="J503" s="44">
        <v>1.0</v>
      </c>
      <c r="K503" s="164" t="s">
        <v>4029</v>
      </c>
      <c r="L503" s="44">
        <v>0.0</v>
      </c>
      <c r="M503" s="44">
        <v>0.0</v>
      </c>
      <c r="N503" s="44">
        <v>0.0</v>
      </c>
      <c r="O503" s="44">
        <v>0.0</v>
      </c>
      <c r="P503" s="44">
        <v>0.0</v>
      </c>
      <c r="Q503" s="44" t="s">
        <v>61</v>
      </c>
      <c r="R503" s="44" t="s">
        <v>192</v>
      </c>
      <c r="S503" s="164"/>
      <c r="T503" s="44">
        <v>0.0</v>
      </c>
      <c r="U503" s="44">
        <v>0.0</v>
      </c>
      <c r="V503" s="44">
        <v>1.0</v>
      </c>
      <c r="W503" s="45"/>
      <c r="X503" s="45"/>
      <c r="Y503" s="45"/>
      <c r="Z503" s="9"/>
    </row>
    <row r="504" ht="14.25" customHeight="1">
      <c r="A504" s="231">
        <v>1.0</v>
      </c>
      <c r="B504" s="44" t="s">
        <v>4030</v>
      </c>
      <c r="C504" s="44">
        <v>501.0</v>
      </c>
      <c r="D504" s="44">
        <v>2.0</v>
      </c>
      <c r="E504" s="328">
        <v>43815.0</v>
      </c>
      <c r="F504" s="162" t="str">
        <f>HYPERLINK("https://www.cnnindonesia.com/gaya-hidup/20191216184533-269-457499/colosseum-diskotek-terbaik-di-dunia-yang-gegerkan-jakarta ","sumber")</f>
        <v>sumber</v>
      </c>
      <c r="G504" s="269" t="s">
        <v>33</v>
      </c>
      <c r="H504" s="44">
        <v>489.0</v>
      </c>
      <c r="I504" s="44">
        <v>4.0</v>
      </c>
      <c r="J504" s="44">
        <v>1.0</v>
      </c>
      <c r="K504" s="164" t="s">
        <v>4031</v>
      </c>
      <c r="L504" s="44">
        <v>0.0</v>
      </c>
      <c r="M504" s="44">
        <v>0.0</v>
      </c>
      <c r="N504" s="44">
        <v>0.0</v>
      </c>
      <c r="O504" s="44">
        <v>0.0</v>
      </c>
      <c r="P504" s="44">
        <v>0.0</v>
      </c>
      <c r="Q504" s="44">
        <v>0.0</v>
      </c>
      <c r="R504" s="44">
        <v>0.0</v>
      </c>
      <c r="S504" s="164"/>
      <c r="T504" s="44">
        <v>0.0</v>
      </c>
      <c r="U504" s="44">
        <v>0.0</v>
      </c>
      <c r="V504" s="44">
        <v>0.0</v>
      </c>
      <c r="W504" s="45"/>
      <c r="X504" s="45"/>
      <c r="Y504" s="45"/>
      <c r="Z504" s="9"/>
    </row>
    <row r="505" ht="14.25" customHeight="1">
      <c r="A505" s="43">
        <v>2.0</v>
      </c>
      <c r="B505" s="47" t="s">
        <v>4032</v>
      </c>
      <c r="C505" s="47">
        <v>502.0</v>
      </c>
      <c r="D505" s="47">
        <v>1.0</v>
      </c>
      <c r="E505" s="320">
        <v>43815.0</v>
      </c>
      <c r="F505" s="156" t="str">
        <f>HYPERLINK("https://hot.detik.com/celeb/d-4824398/vanessa-angel-nikah-diam-diam-ayah-semoga-kembali-ke-jalan-yang-benar ","sumber")</f>
        <v>sumber</v>
      </c>
      <c r="G505" s="274" t="s">
        <v>33</v>
      </c>
      <c r="H505" s="47">
        <v>1521.0</v>
      </c>
      <c r="I505" s="47">
        <v>2.0</v>
      </c>
      <c r="J505" s="47">
        <v>5.0</v>
      </c>
      <c r="K505" s="157"/>
      <c r="L505" s="48"/>
      <c r="M505" s="48"/>
      <c r="N505" s="48"/>
      <c r="O505" s="48"/>
      <c r="P505" s="48"/>
      <c r="Q505" s="48"/>
      <c r="R505" s="48"/>
      <c r="S505" s="157"/>
      <c r="T505" s="48"/>
      <c r="U505" s="48"/>
      <c r="V505" s="48"/>
      <c r="W505" s="48"/>
      <c r="X505" s="48"/>
      <c r="Y505" s="48"/>
      <c r="Z505" s="43"/>
    </row>
    <row r="506" ht="14.25" customHeight="1">
      <c r="A506" s="231">
        <v>1.0</v>
      </c>
      <c r="B506" s="44" t="s">
        <v>4033</v>
      </c>
      <c r="C506" s="44">
        <v>503.0</v>
      </c>
      <c r="D506" s="44">
        <v>8.0</v>
      </c>
      <c r="E506" s="328">
        <v>43818.0</v>
      </c>
      <c r="F506" s="162" t="str">
        <f>HYPERLINK("https://www.suara.com/news/2019/12/19/151249/perawat-iwan-minta-pasien-lepas-celana-dan-raba-kemaluan-ditangkap-polisi ","sumber")</f>
        <v>sumber</v>
      </c>
      <c r="G506" s="269" t="s">
        <v>33</v>
      </c>
      <c r="H506" s="44">
        <v>191.0</v>
      </c>
      <c r="I506" s="44">
        <v>1.0</v>
      </c>
      <c r="J506" s="44">
        <v>1.0</v>
      </c>
      <c r="K506" s="164" t="s">
        <v>4034</v>
      </c>
      <c r="L506" s="44">
        <v>0.0</v>
      </c>
      <c r="M506" s="44">
        <v>1.0</v>
      </c>
      <c r="N506" s="44">
        <v>0.0</v>
      </c>
      <c r="O506" s="44">
        <v>0.0</v>
      </c>
      <c r="P506" s="44">
        <v>0.0</v>
      </c>
      <c r="Q506" s="187" t="s">
        <v>61</v>
      </c>
      <c r="R506" s="187" t="s">
        <v>85</v>
      </c>
      <c r="S506" s="164"/>
      <c r="T506" s="44">
        <v>0.0</v>
      </c>
      <c r="U506" s="44">
        <v>0.0</v>
      </c>
      <c r="V506" s="44">
        <v>0.0</v>
      </c>
      <c r="W506" s="45"/>
      <c r="X506" s="45"/>
      <c r="Y506" s="45"/>
      <c r="Z506" s="9"/>
    </row>
    <row r="507" ht="14.25" customHeight="1">
      <c r="A507" s="43">
        <v>2.0</v>
      </c>
      <c r="B507" s="47" t="s">
        <v>1072</v>
      </c>
      <c r="C507" s="47">
        <v>504.0</v>
      </c>
      <c r="D507" s="47">
        <v>1.0</v>
      </c>
      <c r="E507" s="320">
        <v>43819.0</v>
      </c>
      <c r="F507" s="156" t="str">
        <f>HYPERLINK("https://hot.detik.com/celeb/d-4829585/ichsan-munthe-sosok-yang-disebut-suami-vanessa-angel ","sumber")</f>
        <v>sumber</v>
      </c>
      <c r="G507" s="274" t="s">
        <v>33</v>
      </c>
      <c r="H507" s="47">
        <v>1559.0</v>
      </c>
      <c r="I507" s="47">
        <v>2.0</v>
      </c>
      <c r="J507" s="47">
        <v>5.0</v>
      </c>
      <c r="K507" s="157"/>
      <c r="L507" s="48"/>
      <c r="M507" s="48"/>
      <c r="N507" s="48"/>
      <c r="O507" s="48"/>
      <c r="P507" s="48"/>
      <c r="Q507" s="48"/>
      <c r="R507" s="48"/>
      <c r="S507" s="157"/>
      <c r="T507" s="48"/>
      <c r="U507" s="48"/>
      <c r="V507" s="48"/>
      <c r="W507" s="48"/>
      <c r="X507" s="48"/>
      <c r="Y507" s="48"/>
      <c r="Z507" s="43"/>
    </row>
    <row r="508" ht="14.25" customHeight="1">
      <c r="A508" s="231">
        <v>1.0</v>
      </c>
      <c r="B508" s="44" t="s">
        <v>4035</v>
      </c>
      <c r="C508" s="44">
        <v>505.0</v>
      </c>
      <c r="D508" s="44">
        <v>1.0</v>
      </c>
      <c r="E508" s="328">
        <v>43820.0</v>
      </c>
      <c r="F508" s="162" t="str">
        <f>HYPERLINK("https://hot.detik.com/celeb/d-4831449/8-kontroversi-nikita-mirzani ","sumber")</f>
        <v>sumber</v>
      </c>
      <c r="G508" s="269" t="s">
        <v>33</v>
      </c>
      <c r="H508" s="44">
        <v>1870.0</v>
      </c>
      <c r="I508" s="44">
        <v>1.0</v>
      </c>
      <c r="J508" s="44">
        <v>1.0</v>
      </c>
      <c r="K508" s="164" t="s">
        <v>4036</v>
      </c>
      <c r="L508" s="44">
        <v>0.0</v>
      </c>
      <c r="M508" s="44">
        <v>-1.0</v>
      </c>
      <c r="N508" s="44">
        <v>0.0</v>
      </c>
      <c r="O508" s="44">
        <v>0.0</v>
      </c>
      <c r="P508" s="44">
        <v>0.0</v>
      </c>
      <c r="Q508" s="44">
        <v>0.0</v>
      </c>
      <c r="R508" s="44">
        <v>0.0</v>
      </c>
      <c r="S508" s="164"/>
      <c r="T508" s="44">
        <v>0.0</v>
      </c>
      <c r="U508" s="44">
        <v>-1.0</v>
      </c>
      <c r="V508" s="44">
        <v>0.0</v>
      </c>
      <c r="W508" s="45"/>
      <c r="X508" s="45"/>
      <c r="Y508" s="45"/>
      <c r="Z508" s="9"/>
    </row>
    <row r="509" ht="14.25" customHeight="1">
      <c r="A509" s="231">
        <v>1.0</v>
      </c>
      <c r="B509" s="44" t="s">
        <v>4037</v>
      </c>
      <c r="C509" s="44">
        <v>506.0</v>
      </c>
      <c r="D509" s="44">
        <v>2.0</v>
      </c>
      <c r="E509" s="328">
        <v>43821.0</v>
      </c>
      <c r="F509" s="162" t="str">
        <f>HYPERLINK("https://www.cnnindonesia.com/nasional/20191222123242-20-459088/5-tuntutan-ruwatan-perempuan-di-hari-ibu ","sumber")</f>
        <v>sumber</v>
      </c>
      <c r="G509" s="269" t="s">
        <v>33</v>
      </c>
      <c r="H509" s="44">
        <v>352.0</v>
      </c>
      <c r="I509" s="44">
        <v>4.0</v>
      </c>
      <c r="J509" s="44">
        <v>1.0</v>
      </c>
      <c r="K509" s="164" t="s">
        <v>4038</v>
      </c>
      <c r="L509" s="44">
        <v>0.0</v>
      </c>
      <c r="M509" s="44">
        <v>0.0</v>
      </c>
      <c r="N509" s="44">
        <v>0.0</v>
      </c>
      <c r="O509" s="44">
        <v>0.0</v>
      </c>
      <c r="P509" s="44">
        <v>0.0</v>
      </c>
      <c r="Q509" s="164" t="s">
        <v>1078</v>
      </c>
      <c r="R509" s="44" t="s">
        <v>392</v>
      </c>
      <c r="S509" s="164"/>
      <c r="T509" s="44">
        <v>0.0</v>
      </c>
      <c r="U509" s="44">
        <v>0.0</v>
      </c>
      <c r="V509" s="44">
        <v>0.0</v>
      </c>
      <c r="W509" s="45"/>
      <c r="X509" s="45"/>
      <c r="Y509" s="45"/>
      <c r="Z509" s="9"/>
    </row>
    <row r="510" ht="14.25" customHeight="1">
      <c r="A510" s="189">
        <v>1.0</v>
      </c>
      <c r="B510" s="245" t="s">
        <v>1073</v>
      </c>
      <c r="C510" s="55">
        <v>507.0</v>
      </c>
      <c r="D510" s="55">
        <v>3.0</v>
      </c>
      <c r="E510" s="327">
        <v>43822.0</v>
      </c>
      <c r="F510" s="171" t="str">
        <f>HYPERLINK("https://economy.okezone.com/read/2019/12/23/320/2145044/sri-mulyani-ibu-teman-dekat-saat-anaknya-mengalami-masa-sulit","sumber")</f>
        <v>sumber</v>
      </c>
      <c r="G510" s="277" t="s">
        <v>33</v>
      </c>
      <c r="H510" s="55">
        <v>311.0</v>
      </c>
      <c r="I510" s="55">
        <v>3.0</v>
      </c>
      <c r="J510" s="55">
        <v>5.0</v>
      </c>
      <c r="K510" s="172" t="s">
        <v>4039</v>
      </c>
      <c r="L510" s="55">
        <v>0.0</v>
      </c>
      <c r="M510" s="55">
        <v>0.0</v>
      </c>
      <c r="N510" s="55">
        <v>0.0</v>
      </c>
      <c r="O510" s="55">
        <v>0.0</v>
      </c>
      <c r="P510" s="55">
        <v>0.0</v>
      </c>
      <c r="Q510" s="55" t="s">
        <v>61</v>
      </c>
      <c r="R510" s="55" t="s">
        <v>192</v>
      </c>
      <c r="S510" s="172"/>
      <c r="T510" s="55">
        <v>0.0</v>
      </c>
      <c r="U510" s="55">
        <v>0.0</v>
      </c>
      <c r="V510" s="55">
        <v>0.0</v>
      </c>
      <c r="W510" s="46"/>
      <c r="X510" s="46"/>
      <c r="Y510" s="46"/>
      <c r="Z510" s="31"/>
    </row>
    <row r="511" ht="14.25" customHeight="1">
      <c r="A511" s="231">
        <v>1.0</v>
      </c>
      <c r="B511" s="44" t="s">
        <v>4040</v>
      </c>
      <c r="C511" s="44">
        <v>508.0</v>
      </c>
      <c r="D511" s="44">
        <v>7.0</v>
      </c>
      <c r="E511" s="328">
        <v>43822.0</v>
      </c>
      <c r="F511" s="162" t="str">
        <f>HYPERLINK("https://www.tribunnews.com/seleb/2019/12/23/5-fakta-penderitaan-yuni-shara-menikah-dengan-raymond-manthey-bertahan-cuma-4-bulan-drama-kdrt ","sumber")</f>
        <v>sumber</v>
      </c>
      <c r="G511" s="269" t="s">
        <v>33</v>
      </c>
      <c r="H511" s="44">
        <v>95.0</v>
      </c>
      <c r="I511" s="44">
        <v>1.0</v>
      </c>
      <c r="J511" s="44">
        <v>1.0</v>
      </c>
      <c r="K511" s="164" t="s">
        <v>4041</v>
      </c>
      <c r="L511" s="44">
        <v>0.0</v>
      </c>
      <c r="M511" s="44">
        <v>-1.0</v>
      </c>
      <c r="N511" s="44">
        <v>-1.0</v>
      </c>
      <c r="O511" s="44">
        <v>0.0</v>
      </c>
      <c r="P511" s="44">
        <v>0.0</v>
      </c>
      <c r="Q511" s="44">
        <v>2.0</v>
      </c>
      <c r="R511" s="44">
        <v>0.0</v>
      </c>
      <c r="S511" s="164"/>
      <c r="T511" s="44">
        <v>0.0</v>
      </c>
      <c r="U511" s="44">
        <v>-1.0</v>
      </c>
      <c r="V511" s="44">
        <v>0.0</v>
      </c>
      <c r="W511" s="45"/>
      <c r="X511" s="45"/>
      <c r="Y511" s="45"/>
      <c r="Z511" s="9"/>
    </row>
    <row r="512" ht="14.25" customHeight="1">
      <c r="A512" s="43">
        <v>2.0</v>
      </c>
      <c r="B512" s="47" t="s">
        <v>1975</v>
      </c>
      <c r="C512" s="47">
        <v>509.0</v>
      </c>
      <c r="D512" s="47">
        <v>5.0</v>
      </c>
      <c r="E512" s="320">
        <v>43826.0</v>
      </c>
      <c r="F512" s="156" t="str">
        <f>HYPERLINK("https://tirto.id/jelang-nataru-polda-metro-jaya-tangkap-47-orang-terkait-narkoba-epiW ","sumber")</f>
        <v>sumber</v>
      </c>
      <c r="G512" s="274" t="s">
        <v>33</v>
      </c>
      <c r="H512" s="47">
        <v>260.0</v>
      </c>
      <c r="I512" s="47">
        <v>1.0</v>
      </c>
      <c r="J512" s="47">
        <v>1.0</v>
      </c>
      <c r="K512" s="165"/>
      <c r="L512" s="48"/>
      <c r="M512" s="48"/>
      <c r="N512" s="48"/>
      <c r="O512" s="48"/>
      <c r="P512" s="48"/>
      <c r="Q512" s="48"/>
      <c r="R512" s="48"/>
      <c r="S512" s="165"/>
      <c r="T512" s="48"/>
      <c r="U512" s="48"/>
      <c r="V512" s="48"/>
      <c r="W512" s="48"/>
      <c r="X512" s="48"/>
      <c r="Y512" s="48"/>
      <c r="Z512" s="43"/>
    </row>
    <row r="513" ht="14.25" customHeight="1">
      <c r="A513" s="231">
        <v>1.0</v>
      </c>
      <c r="B513" s="44" t="s">
        <v>1079</v>
      </c>
      <c r="C513" s="44">
        <v>510.0</v>
      </c>
      <c r="D513" s="44">
        <v>9.0</v>
      </c>
      <c r="E513" s="328">
        <v>43827.0</v>
      </c>
      <c r="F513" s="162" t="str">
        <f>HYPERLINK("https://nasional.republika.co.id/berita/q37tou349/polri-pelaporan-kasus-pemerkosaan-meningkat-di-2019 ","sumber")</f>
        <v>sumber</v>
      </c>
      <c r="G513" s="269" t="s">
        <v>33</v>
      </c>
      <c r="H513" s="44">
        <v>205.0</v>
      </c>
      <c r="I513" s="44">
        <v>1.0</v>
      </c>
      <c r="J513" s="44">
        <v>1.0</v>
      </c>
      <c r="K513" s="164" t="s">
        <v>1081</v>
      </c>
      <c r="L513" s="44">
        <v>0.0</v>
      </c>
      <c r="M513" s="44">
        <v>-1.0</v>
      </c>
      <c r="N513" s="44">
        <v>0.0</v>
      </c>
      <c r="O513" s="44">
        <v>0.0</v>
      </c>
      <c r="P513" s="44">
        <v>0.0</v>
      </c>
      <c r="Q513" s="44">
        <v>0.0</v>
      </c>
      <c r="R513" s="44">
        <v>1.0</v>
      </c>
      <c r="S513" s="164"/>
      <c r="T513" s="44">
        <v>0.0</v>
      </c>
      <c r="U513" s="44">
        <v>0.0</v>
      </c>
      <c r="V513" s="44">
        <v>0.0</v>
      </c>
      <c r="W513" s="45"/>
      <c r="X513" s="45"/>
      <c r="Y513" s="45"/>
      <c r="Z513" s="9"/>
    </row>
    <row r="514" ht="14.25" customHeight="1">
      <c r="A514" s="257"/>
      <c r="G514" s="329"/>
    </row>
    <row r="515" ht="14.25" customHeight="1">
      <c r="A515" s="257"/>
      <c r="G515" s="329"/>
    </row>
    <row r="516" ht="14.25" customHeight="1">
      <c r="A516" s="257"/>
      <c r="G516" s="329"/>
    </row>
    <row r="517" ht="14.25" customHeight="1">
      <c r="A517" s="257"/>
      <c r="G517" s="329"/>
    </row>
    <row r="518" ht="14.25" customHeight="1">
      <c r="A518" s="257"/>
      <c r="G518" s="329"/>
    </row>
    <row r="519" ht="14.25" customHeight="1">
      <c r="A519" s="257"/>
      <c r="G519" s="329"/>
    </row>
    <row r="520" ht="14.25" customHeight="1">
      <c r="A520" s="257"/>
      <c r="G520" s="329"/>
    </row>
    <row r="521" ht="14.25" customHeight="1">
      <c r="A521" s="257"/>
      <c r="G521" s="329"/>
    </row>
    <row r="522" ht="14.25" customHeight="1">
      <c r="A522" s="257"/>
      <c r="G522" s="329"/>
    </row>
    <row r="523" ht="14.25" customHeight="1">
      <c r="A523" s="257"/>
      <c r="G523" s="329"/>
    </row>
    <row r="524" ht="14.25" customHeight="1">
      <c r="A524" s="257"/>
      <c r="G524" s="329"/>
    </row>
    <row r="525" ht="14.25" customHeight="1">
      <c r="A525" s="257"/>
      <c r="G525" s="329"/>
    </row>
    <row r="526" ht="14.25" customHeight="1">
      <c r="A526" s="257"/>
      <c r="G526" s="329"/>
    </row>
    <row r="527" ht="14.25" customHeight="1">
      <c r="A527" s="257"/>
      <c r="G527" s="329"/>
    </row>
    <row r="528" ht="14.25" customHeight="1">
      <c r="A528" s="257"/>
      <c r="G528" s="329"/>
    </row>
    <row r="529" ht="14.25" customHeight="1">
      <c r="A529" s="257"/>
      <c r="G529" s="329"/>
    </row>
    <row r="530" ht="14.25" customHeight="1">
      <c r="A530" s="257"/>
      <c r="G530" s="329"/>
    </row>
    <row r="531" ht="14.25" customHeight="1">
      <c r="A531" s="257"/>
      <c r="G531" s="329"/>
    </row>
    <row r="532" ht="14.25" customHeight="1">
      <c r="A532" s="257"/>
      <c r="G532" s="329"/>
    </row>
    <row r="533" ht="14.25" customHeight="1">
      <c r="A533" s="257"/>
      <c r="G533" s="329"/>
    </row>
    <row r="534" ht="14.25" customHeight="1">
      <c r="A534" s="257"/>
      <c r="G534" s="329"/>
    </row>
    <row r="535" ht="14.25" customHeight="1">
      <c r="A535" s="257"/>
      <c r="G535" s="329"/>
    </row>
    <row r="536" ht="14.25" customHeight="1">
      <c r="A536" s="257"/>
      <c r="G536" s="329"/>
    </row>
    <row r="537" ht="14.25" customHeight="1">
      <c r="A537" s="257"/>
      <c r="G537" s="329"/>
    </row>
    <row r="538" ht="14.25" customHeight="1">
      <c r="A538" s="257"/>
      <c r="G538" s="329"/>
    </row>
    <row r="539" ht="14.25" customHeight="1">
      <c r="A539" s="257"/>
      <c r="G539" s="329"/>
    </row>
    <row r="540" ht="14.25" customHeight="1">
      <c r="A540" s="257"/>
      <c r="G540" s="329"/>
    </row>
    <row r="541" ht="14.25" customHeight="1">
      <c r="A541" s="257"/>
      <c r="G541" s="329"/>
    </row>
    <row r="542" ht="14.25" customHeight="1">
      <c r="A542" s="257"/>
      <c r="G542" s="329"/>
    </row>
    <row r="543" ht="14.25" customHeight="1">
      <c r="A543" s="257"/>
      <c r="G543" s="329"/>
    </row>
    <row r="544" ht="14.25" customHeight="1">
      <c r="A544" s="257"/>
      <c r="G544" s="329"/>
    </row>
    <row r="545" ht="14.25" customHeight="1">
      <c r="A545" s="257"/>
      <c r="G545" s="329"/>
    </row>
    <row r="546" ht="14.25" customHeight="1">
      <c r="A546" s="257"/>
      <c r="G546" s="329"/>
    </row>
    <row r="547" ht="14.25" customHeight="1">
      <c r="A547" s="257"/>
      <c r="G547" s="329"/>
    </row>
    <row r="548" ht="14.25" customHeight="1">
      <c r="A548" s="257"/>
      <c r="G548" s="329"/>
    </row>
    <row r="549" ht="14.25" customHeight="1">
      <c r="A549" s="257"/>
      <c r="G549" s="329"/>
    </row>
    <row r="550" ht="14.25" customHeight="1">
      <c r="A550" s="257"/>
      <c r="G550" s="329"/>
    </row>
    <row r="551" ht="14.25" customHeight="1">
      <c r="A551" s="257"/>
      <c r="G551" s="329"/>
    </row>
    <row r="552" ht="14.25" customHeight="1">
      <c r="A552" s="257"/>
      <c r="G552" s="329"/>
    </row>
    <row r="553" ht="14.25" customHeight="1">
      <c r="A553" s="257"/>
      <c r="G553" s="329"/>
    </row>
    <row r="554" ht="14.25" customHeight="1">
      <c r="A554" s="257"/>
      <c r="G554" s="329"/>
    </row>
    <row r="555" ht="14.25" customHeight="1">
      <c r="A555" s="257"/>
      <c r="G555" s="329"/>
    </row>
    <row r="556" ht="14.25" customHeight="1">
      <c r="A556" s="257"/>
      <c r="G556" s="329"/>
    </row>
    <row r="557" ht="14.25" customHeight="1">
      <c r="A557" s="257"/>
      <c r="G557" s="329"/>
    </row>
    <row r="558" ht="14.25" customHeight="1">
      <c r="A558" s="257"/>
      <c r="G558" s="329"/>
    </row>
    <row r="559" ht="14.25" customHeight="1">
      <c r="A559" s="257"/>
      <c r="G559" s="329"/>
    </row>
    <row r="560" ht="14.25" customHeight="1">
      <c r="A560" s="257"/>
      <c r="G560" s="329"/>
    </row>
    <row r="561" ht="14.25" customHeight="1">
      <c r="A561" s="257"/>
      <c r="G561" s="329"/>
    </row>
    <row r="562" ht="14.25" customHeight="1">
      <c r="A562" s="257"/>
      <c r="G562" s="329"/>
    </row>
    <row r="563" ht="14.25" customHeight="1">
      <c r="A563" s="257"/>
      <c r="G563" s="329"/>
    </row>
    <row r="564" ht="14.25" customHeight="1">
      <c r="A564" s="257"/>
      <c r="G564" s="329"/>
    </row>
    <row r="565" ht="14.25" customHeight="1">
      <c r="A565" s="257"/>
      <c r="G565" s="329"/>
    </row>
    <row r="566" ht="14.25" customHeight="1">
      <c r="A566" s="257"/>
      <c r="G566" s="329"/>
    </row>
    <row r="567" ht="14.25" customHeight="1">
      <c r="A567" s="257"/>
      <c r="G567" s="329"/>
    </row>
    <row r="568" ht="14.25" customHeight="1">
      <c r="A568" s="257"/>
      <c r="G568" s="329"/>
    </row>
    <row r="569" ht="14.25" customHeight="1">
      <c r="A569" s="257"/>
      <c r="G569" s="329"/>
    </row>
    <row r="570" ht="14.25" customHeight="1">
      <c r="A570" s="257"/>
      <c r="G570" s="329"/>
    </row>
    <row r="571" ht="14.25" customHeight="1">
      <c r="A571" s="257"/>
      <c r="G571" s="329"/>
    </row>
    <row r="572" ht="14.25" customHeight="1">
      <c r="A572" s="257"/>
      <c r="G572" s="329"/>
    </row>
    <row r="573" ht="14.25" customHeight="1">
      <c r="A573" s="257"/>
      <c r="G573" s="329"/>
    </row>
    <row r="574" ht="14.25" customHeight="1">
      <c r="A574" s="257"/>
      <c r="G574" s="329"/>
    </row>
    <row r="575" ht="14.25" customHeight="1">
      <c r="A575" s="257"/>
      <c r="G575" s="329"/>
    </row>
    <row r="576" ht="14.25" customHeight="1">
      <c r="A576" s="257"/>
      <c r="G576" s="329"/>
    </row>
    <row r="577" ht="14.25" customHeight="1">
      <c r="A577" s="257"/>
      <c r="G577" s="329"/>
    </row>
    <row r="578" ht="14.25" customHeight="1">
      <c r="A578" s="257"/>
      <c r="G578" s="329"/>
    </row>
    <row r="579" ht="14.25" customHeight="1">
      <c r="A579" s="257"/>
      <c r="G579" s="329"/>
    </row>
    <row r="580" ht="14.25" customHeight="1">
      <c r="A580" s="257"/>
      <c r="G580" s="329"/>
    </row>
    <row r="581" ht="14.25" customHeight="1">
      <c r="A581" s="257"/>
      <c r="G581" s="329"/>
    </row>
    <row r="582" ht="14.25" customHeight="1">
      <c r="A582" s="257"/>
      <c r="G582" s="329"/>
    </row>
    <row r="583" ht="14.25" customHeight="1">
      <c r="A583" s="257"/>
      <c r="G583" s="329"/>
    </row>
    <row r="584" ht="14.25" customHeight="1">
      <c r="A584" s="257"/>
      <c r="G584" s="329"/>
    </row>
    <row r="585" ht="14.25" customHeight="1">
      <c r="A585" s="257"/>
      <c r="G585" s="329"/>
    </row>
    <row r="586" ht="14.25" customHeight="1">
      <c r="A586" s="257"/>
      <c r="G586" s="329"/>
    </row>
    <row r="587" ht="14.25" customHeight="1">
      <c r="A587" s="257"/>
      <c r="G587" s="329"/>
    </row>
    <row r="588" ht="14.25" customHeight="1">
      <c r="A588" s="257"/>
      <c r="G588" s="329"/>
    </row>
    <row r="589" ht="14.25" customHeight="1">
      <c r="A589" s="257"/>
      <c r="G589" s="329"/>
    </row>
    <row r="590" ht="14.25" customHeight="1">
      <c r="A590" s="257"/>
      <c r="G590" s="329"/>
    </row>
    <row r="591" ht="14.25" customHeight="1">
      <c r="A591" s="257"/>
      <c r="G591" s="329"/>
    </row>
    <row r="592" ht="14.25" customHeight="1">
      <c r="A592" s="257"/>
      <c r="G592" s="329"/>
    </row>
    <row r="593" ht="14.25" customHeight="1">
      <c r="A593" s="257"/>
      <c r="G593" s="329"/>
    </row>
    <row r="594" ht="14.25" customHeight="1">
      <c r="A594" s="257"/>
      <c r="G594" s="329"/>
    </row>
    <row r="595" ht="14.25" customHeight="1">
      <c r="A595" s="257"/>
      <c r="G595" s="329"/>
    </row>
    <row r="596" ht="14.25" customHeight="1">
      <c r="A596" s="257"/>
      <c r="G596" s="329"/>
    </row>
    <row r="597" ht="14.25" customHeight="1">
      <c r="A597" s="257"/>
      <c r="G597" s="329"/>
    </row>
    <row r="598" ht="14.25" customHeight="1">
      <c r="A598" s="257"/>
      <c r="G598" s="329"/>
    </row>
    <row r="599" ht="14.25" customHeight="1">
      <c r="A599" s="257"/>
      <c r="G599" s="329"/>
    </row>
    <row r="600" ht="14.25" customHeight="1">
      <c r="A600" s="257"/>
      <c r="G600" s="329"/>
    </row>
    <row r="601" ht="14.25" customHeight="1">
      <c r="A601" s="257"/>
      <c r="G601" s="329"/>
    </row>
    <row r="602" ht="14.25" customHeight="1">
      <c r="A602" s="257"/>
      <c r="G602" s="329"/>
    </row>
    <row r="603" ht="14.25" customHeight="1">
      <c r="A603" s="257"/>
      <c r="G603" s="329"/>
    </row>
    <row r="604" ht="14.25" customHeight="1">
      <c r="A604" s="257"/>
      <c r="G604" s="329"/>
    </row>
    <row r="605" ht="14.25" customHeight="1">
      <c r="A605" s="257"/>
      <c r="G605" s="329"/>
    </row>
    <row r="606" ht="14.25" customHeight="1">
      <c r="A606" s="257"/>
      <c r="G606" s="329"/>
    </row>
    <row r="607" ht="14.25" customHeight="1">
      <c r="A607" s="257"/>
      <c r="G607" s="329"/>
    </row>
    <row r="608" ht="14.25" customHeight="1">
      <c r="A608" s="257"/>
      <c r="G608" s="329"/>
    </row>
    <row r="609" ht="14.25" customHeight="1">
      <c r="A609" s="257"/>
      <c r="G609" s="329"/>
    </row>
    <row r="610" ht="14.25" customHeight="1">
      <c r="A610" s="257"/>
      <c r="G610" s="329"/>
    </row>
    <row r="611" ht="14.25" customHeight="1">
      <c r="A611" s="257"/>
      <c r="G611" s="329"/>
    </row>
    <row r="612" ht="14.25" customHeight="1">
      <c r="A612" s="257"/>
      <c r="G612" s="329"/>
    </row>
    <row r="613" ht="14.25" customHeight="1">
      <c r="A613" s="257"/>
      <c r="G613" s="329"/>
    </row>
    <row r="614" ht="14.25" customHeight="1">
      <c r="A614" s="257"/>
      <c r="G614" s="329"/>
    </row>
    <row r="615" ht="14.25" customHeight="1">
      <c r="A615" s="257"/>
      <c r="G615" s="329"/>
    </row>
    <row r="616" ht="14.25" customHeight="1">
      <c r="A616" s="257"/>
      <c r="G616" s="329"/>
    </row>
    <row r="617" ht="14.25" customHeight="1">
      <c r="A617" s="257"/>
      <c r="G617" s="329"/>
    </row>
    <row r="618" ht="14.25" customHeight="1">
      <c r="A618" s="257"/>
      <c r="G618" s="329"/>
    </row>
    <row r="619" ht="14.25" customHeight="1">
      <c r="A619" s="257"/>
      <c r="G619" s="329"/>
    </row>
    <row r="620" ht="14.25" customHeight="1">
      <c r="A620" s="257"/>
      <c r="G620" s="329"/>
    </row>
    <row r="621" ht="14.25" customHeight="1">
      <c r="A621" s="257"/>
      <c r="G621" s="329"/>
    </row>
    <row r="622" ht="14.25" customHeight="1">
      <c r="A622" s="257"/>
      <c r="G622" s="329"/>
    </row>
    <row r="623" ht="14.25" customHeight="1">
      <c r="A623" s="257"/>
      <c r="G623" s="329"/>
    </row>
    <row r="624" ht="14.25" customHeight="1">
      <c r="A624" s="257"/>
      <c r="G624" s="329"/>
    </row>
    <row r="625" ht="14.25" customHeight="1">
      <c r="A625" s="257"/>
      <c r="G625" s="329"/>
    </row>
    <row r="626" ht="14.25" customHeight="1">
      <c r="A626" s="257"/>
      <c r="G626" s="329"/>
    </row>
    <row r="627" ht="14.25" customHeight="1">
      <c r="A627" s="257"/>
      <c r="G627" s="329"/>
    </row>
    <row r="628" ht="14.25" customHeight="1">
      <c r="A628" s="257"/>
      <c r="G628" s="329"/>
    </row>
    <row r="629" ht="14.25" customHeight="1">
      <c r="A629" s="257"/>
      <c r="G629" s="329"/>
    </row>
    <row r="630" ht="14.25" customHeight="1">
      <c r="A630" s="257"/>
      <c r="G630" s="329"/>
    </row>
    <row r="631" ht="14.25" customHeight="1">
      <c r="A631" s="257"/>
      <c r="G631" s="329"/>
    </row>
    <row r="632" ht="14.25" customHeight="1">
      <c r="A632" s="257"/>
      <c r="G632" s="329"/>
    </row>
    <row r="633" ht="14.25" customHeight="1">
      <c r="A633" s="257"/>
      <c r="G633" s="329"/>
    </row>
    <row r="634" ht="14.25" customHeight="1">
      <c r="A634" s="257"/>
      <c r="G634" s="329"/>
    </row>
    <row r="635" ht="14.25" customHeight="1">
      <c r="A635" s="257"/>
      <c r="G635" s="329"/>
    </row>
    <row r="636" ht="14.25" customHeight="1">
      <c r="A636" s="257"/>
      <c r="G636" s="329"/>
    </row>
    <row r="637" ht="14.25" customHeight="1">
      <c r="A637" s="257"/>
      <c r="G637" s="329"/>
    </row>
    <row r="638" ht="14.25" customHeight="1">
      <c r="A638" s="257"/>
      <c r="G638" s="329"/>
    </row>
    <row r="639" ht="14.25" customHeight="1">
      <c r="A639" s="257"/>
      <c r="G639" s="329"/>
    </row>
    <row r="640" ht="14.25" customHeight="1">
      <c r="A640" s="257"/>
      <c r="G640" s="329"/>
    </row>
    <row r="641" ht="14.25" customHeight="1">
      <c r="A641" s="257"/>
      <c r="G641" s="329"/>
    </row>
    <row r="642" ht="14.25" customHeight="1">
      <c r="A642" s="257"/>
      <c r="G642" s="329"/>
    </row>
    <row r="643" ht="14.25" customHeight="1">
      <c r="A643" s="257"/>
      <c r="G643" s="329"/>
    </row>
    <row r="644" ht="14.25" customHeight="1">
      <c r="A644" s="257"/>
      <c r="G644" s="329"/>
    </row>
    <row r="645" ht="14.25" customHeight="1">
      <c r="A645" s="257"/>
      <c r="G645" s="329"/>
    </row>
    <row r="646" ht="14.25" customHeight="1">
      <c r="A646" s="257"/>
      <c r="G646" s="329"/>
    </row>
    <row r="647" ht="14.25" customHeight="1">
      <c r="A647" s="257"/>
      <c r="G647" s="329"/>
    </row>
    <row r="648" ht="14.25" customHeight="1">
      <c r="A648" s="257"/>
      <c r="G648" s="329"/>
    </row>
    <row r="649" ht="14.25" customHeight="1">
      <c r="A649" s="257"/>
      <c r="G649" s="329"/>
    </row>
    <row r="650" ht="14.25" customHeight="1">
      <c r="A650" s="257"/>
      <c r="G650" s="329"/>
    </row>
    <row r="651" ht="14.25" customHeight="1">
      <c r="A651" s="257"/>
      <c r="G651" s="329"/>
    </row>
    <row r="652" ht="14.25" customHeight="1">
      <c r="A652" s="257"/>
      <c r="G652" s="329"/>
    </row>
    <row r="653" ht="14.25" customHeight="1">
      <c r="A653" s="257"/>
      <c r="G653" s="329"/>
    </row>
    <row r="654" ht="14.25" customHeight="1">
      <c r="A654" s="257"/>
      <c r="G654" s="329"/>
    </row>
    <row r="655" ht="14.25" customHeight="1">
      <c r="A655" s="257"/>
      <c r="G655" s="329"/>
    </row>
    <row r="656" ht="14.25" customHeight="1">
      <c r="A656" s="257"/>
      <c r="G656" s="329"/>
    </row>
    <row r="657" ht="14.25" customHeight="1">
      <c r="A657" s="257"/>
      <c r="G657" s="329"/>
    </row>
    <row r="658" ht="14.25" customHeight="1">
      <c r="A658" s="257"/>
      <c r="G658" s="329"/>
    </row>
    <row r="659" ht="14.25" customHeight="1">
      <c r="A659" s="257"/>
      <c r="G659" s="329"/>
    </row>
    <row r="660" ht="14.25" customHeight="1">
      <c r="A660" s="257"/>
      <c r="G660" s="329"/>
    </row>
    <row r="661" ht="14.25" customHeight="1">
      <c r="A661" s="257"/>
      <c r="G661" s="329"/>
    </row>
    <row r="662" ht="14.25" customHeight="1">
      <c r="A662" s="257"/>
      <c r="G662" s="329"/>
    </row>
    <row r="663" ht="14.25" customHeight="1">
      <c r="A663" s="257"/>
      <c r="G663" s="329"/>
    </row>
    <row r="664" ht="14.25" customHeight="1">
      <c r="A664" s="257"/>
      <c r="G664" s="329"/>
    </row>
    <row r="665" ht="14.25" customHeight="1">
      <c r="A665" s="257"/>
      <c r="G665" s="329"/>
    </row>
    <row r="666" ht="14.25" customHeight="1">
      <c r="A666" s="257"/>
      <c r="G666" s="329"/>
    </row>
    <row r="667" ht="14.25" customHeight="1">
      <c r="A667" s="257"/>
      <c r="G667" s="329"/>
    </row>
    <row r="668" ht="14.25" customHeight="1">
      <c r="A668" s="257"/>
      <c r="G668" s="329"/>
    </row>
    <row r="669" ht="14.25" customHeight="1">
      <c r="A669" s="257"/>
      <c r="G669" s="329"/>
    </row>
    <row r="670" ht="14.25" customHeight="1">
      <c r="A670" s="257"/>
      <c r="G670" s="329"/>
    </row>
    <row r="671" ht="14.25" customHeight="1">
      <c r="A671" s="257"/>
      <c r="G671" s="329"/>
    </row>
    <row r="672" ht="14.25" customHeight="1">
      <c r="A672" s="257"/>
      <c r="G672" s="329"/>
    </row>
    <row r="673" ht="14.25" customHeight="1">
      <c r="A673" s="257"/>
      <c r="G673" s="329"/>
    </row>
    <row r="674" ht="14.25" customHeight="1">
      <c r="A674" s="257"/>
      <c r="G674" s="329"/>
    </row>
    <row r="675" ht="14.25" customHeight="1">
      <c r="A675" s="257"/>
      <c r="G675" s="329"/>
    </row>
    <row r="676" ht="14.25" customHeight="1">
      <c r="A676" s="257"/>
      <c r="G676" s="329"/>
    </row>
    <row r="677" ht="14.25" customHeight="1">
      <c r="A677" s="257"/>
      <c r="G677" s="329"/>
    </row>
    <row r="678" ht="14.25" customHeight="1">
      <c r="A678" s="257"/>
      <c r="G678" s="329"/>
    </row>
    <row r="679" ht="14.25" customHeight="1">
      <c r="A679" s="257"/>
      <c r="G679" s="329"/>
    </row>
    <row r="680" ht="14.25" customHeight="1">
      <c r="A680" s="257"/>
      <c r="G680" s="329"/>
    </row>
    <row r="681" ht="14.25" customHeight="1">
      <c r="A681" s="257"/>
      <c r="G681" s="329"/>
    </row>
    <row r="682" ht="14.25" customHeight="1">
      <c r="A682" s="257"/>
      <c r="G682" s="329"/>
    </row>
    <row r="683" ht="14.25" customHeight="1">
      <c r="A683" s="257"/>
      <c r="G683" s="329"/>
    </row>
    <row r="684" ht="14.25" customHeight="1">
      <c r="A684" s="257"/>
      <c r="G684" s="329"/>
    </row>
    <row r="685" ht="14.25" customHeight="1">
      <c r="A685" s="257"/>
      <c r="G685" s="329"/>
    </row>
    <row r="686" ht="14.25" customHeight="1">
      <c r="A686" s="257"/>
      <c r="G686" s="329"/>
    </row>
    <row r="687" ht="14.25" customHeight="1">
      <c r="A687" s="257"/>
      <c r="G687" s="329"/>
    </row>
    <row r="688" ht="14.25" customHeight="1">
      <c r="A688" s="257"/>
      <c r="G688" s="329"/>
    </row>
    <row r="689" ht="14.25" customHeight="1">
      <c r="A689" s="257"/>
      <c r="G689" s="329"/>
    </row>
    <row r="690" ht="14.25" customHeight="1">
      <c r="A690" s="257"/>
      <c r="G690" s="329"/>
    </row>
    <row r="691" ht="14.25" customHeight="1">
      <c r="A691" s="257"/>
      <c r="G691" s="329"/>
    </row>
    <row r="692" ht="14.25" customHeight="1">
      <c r="A692" s="257"/>
      <c r="G692" s="329"/>
    </row>
    <row r="693" ht="14.25" customHeight="1">
      <c r="A693" s="257"/>
      <c r="G693" s="329"/>
    </row>
    <row r="694" ht="14.25" customHeight="1">
      <c r="A694" s="257"/>
      <c r="G694" s="329"/>
    </row>
    <row r="695" ht="14.25" customHeight="1">
      <c r="A695" s="257"/>
      <c r="G695" s="329"/>
    </row>
    <row r="696" ht="14.25" customHeight="1">
      <c r="A696" s="257"/>
      <c r="G696" s="329"/>
    </row>
    <row r="697" ht="14.25" customHeight="1">
      <c r="A697" s="257"/>
      <c r="G697" s="329"/>
    </row>
    <row r="698" ht="14.25" customHeight="1">
      <c r="A698" s="257"/>
      <c r="G698" s="329"/>
    </row>
    <row r="699" ht="14.25" customHeight="1">
      <c r="A699" s="257"/>
      <c r="G699" s="329"/>
    </row>
    <row r="700" ht="14.25" customHeight="1">
      <c r="A700" s="257"/>
      <c r="G700" s="329"/>
    </row>
    <row r="701" ht="14.25" customHeight="1">
      <c r="A701" s="257"/>
      <c r="G701" s="329"/>
    </row>
    <row r="702" ht="14.25" customHeight="1">
      <c r="A702" s="257"/>
      <c r="G702" s="329"/>
    </row>
    <row r="703" ht="14.25" customHeight="1">
      <c r="A703" s="257"/>
      <c r="G703" s="329"/>
    </row>
    <row r="704" ht="14.25" customHeight="1">
      <c r="A704" s="257"/>
      <c r="G704" s="329"/>
    </row>
    <row r="705" ht="14.25" customHeight="1">
      <c r="A705" s="257"/>
      <c r="G705" s="329"/>
    </row>
    <row r="706" ht="14.25" customHeight="1">
      <c r="A706" s="257"/>
      <c r="G706" s="329"/>
    </row>
    <row r="707" ht="14.25" customHeight="1">
      <c r="A707" s="257"/>
      <c r="G707" s="329"/>
    </row>
    <row r="708" ht="14.25" customHeight="1">
      <c r="A708" s="257"/>
      <c r="G708" s="329"/>
    </row>
    <row r="709" ht="14.25" customHeight="1">
      <c r="A709" s="257"/>
      <c r="G709" s="329"/>
    </row>
    <row r="710" ht="14.25" customHeight="1">
      <c r="A710" s="257"/>
      <c r="G710" s="329"/>
    </row>
    <row r="711" ht="14.25" customHeight="1">
      <c r="A711" s="257"/>
      <c r="G711" s="329"/>
    </row>
    <row r="712" ht="14.25" customHeight="1">
      <c r="A712" s="257"/>
      <c r="G712" s="329"/>
    </row>
    <row r="713" ht="14.25" customHeight="1">
      <c r="A713" s="257"/>
      <c r="G713" s="329"/>
    </row>
    <row r="714" ht="14.25" customHeight="1">
      <c r="A714" s="257"/>
      <c r="G714" s="329"/>
    </row>
    <row r="715" ht="14.25" customHeight="1">
      <c r="A715" s="257"/>
      <c r="G715" s="329"/>
    </row>
    <row r="716" ht="14.25" customHeight="1">
      <c r="A716" s="257"/>
      <c r="G716" s="329"/>
    </row>
    <row r="717" ht="14.25" customHeight="1">
      <c r="A717" s="257"/>
      <c r="G717" s="329"/>
    </row>
    <row r="718" ht="14.25" customHeight="1">
      <c r="A718" s="257"/>
      <c r="G718" s="329"/>
    </row>
    <row r="719" ht="14.25" customHeight="1">
      <c r="A719" s="257"/>
      <c r="G719" s="329"/>
    </row>
    <row r="720" ht="14.25" customHeight="1">
      <c r="A720" s="257"/>
      <c r="G720" s="329"/>
    </row>
    <row r="721" ht="14.25" customHeight="1">
      <c r="A721" s="257"/>
      <c r="G721" s="329"/>
    </row>
    <row r="722" ht="14.25" customHeight="1">
      <c r="A722" s="257"/>
      <c r="G722" s="329"/>
    </row>
    <row r="723" ht="14.25" customHeight="1">
      <c r="A723" s="257"/>
      <c r="G723" s="329"/>
    </row>
    <row r="724" ht="14.25" customHeight="1">
      <c r="A724" s="257"/>
      <c r="G724" s="329"/>
    </row>
    <row r="725" ht="14.25" customHeight="1">
      <c r="A725" s="257"/>
      <c r="G725" s="329"/>
    </row>
    <row r="726" ht="14.25" customHeight="1">
      <c r="A726" s="257"/>
      <c r="G726" s="329"/>
    </row>
    <row r="727" ht="14.25" customHeight="1">
      <c r="A727" s="257"/>
      <c r="G727" s="329"/>
    </row>
    <row r="728" ht="14.25" customHeight="1">
      <c r="A728" s="257"/>
      <c r="G728" s="329"/>
    </row>
    <row r="729" ht="14.25" customHeight="1">
      <c r="A729" s="257"/>
      <c r="G729" s="329"/>
    </row>
    <row r="730" ht="14.25" customHeight="1">
      <c r="A730" s="257"/>
      <c r="G730" s="329"/>
    </row>
    <row r="731" ht="14.25" customHeight="1">
      <c r="A731" s="257"/>
      <c r="G731" s="329"/>
    </row>
    <row r="732" ht="14.25" customHeight="1">
      <c r="A732" s="257"/>
      <c r="G732" s="329"/>
    </row>
    <row r="733" ht="14.25" customHeight="1">
      <c r="A733" s="257"/>
      <c r="G733" s="329"/>
    </row>
    <row r="734" ht="14.25" customHeight="1">
      <c r="A734" s="257"/>
      <c r="G734" s="329"/>
    </row>
    <row r="735" ht="14.25" customHeight="1">
      <c r="A735" s="257"/>
      <c r="G735" s="329"/>
    </row>
    <row r="736" ht="14.25" customHeight="1">
      <c r="A736" s="257"/>
      <c r="G736" s="329"/>
    </row>
    <row r="737" ht="14.25" customHeight="1">
      <c r="A737" s="257"/>
      <c r="G737" s="329"/>
    </row>
    <row r="738" ht="14.25" customHeight="1">
      <c r="A738" s="257"/>
      <c r="G738" s="329"/>
    </row>
    <row r="739" ht="14.25" customHeight="1">
      <c r="A739" s="257"/>
      <c r="G739" s="329"/>
    </row>
    <row r="740" ht="14.25" customHeight="1">
      <c r="A740" s="257"/>
      <c r="G740" s="329"/>
    </row>
    <row r="741" ht="14.25" customHeight="1">
      <c r="A741" s="257"/>
      <c r="G741" s="329"/>
    </row>
    <row r="742" ht="14.25" customHeight="1">
      <c r="A742" s="257"/>
      <c r="G742" s="329"/>
    </row>
    <row r="743" ht="14.25" customHeight="1">
      <c r="A743" s="257"/>
      <c r="G743" s="329"/>
    </row>
    <row r="744" ht="14.25" customHeight="1">
      <c r="A744" s="257"/>
      <c r="G744" s="329"/>
    </row>
    <row r="745" ht="14.25" customHeight="1">
      <c r="A745" s="257"/>
      <c r="G745" s="329"/>
    </row>
    <row r="746" ht="14.25" customHeight="1">
      <c r="A746" s="257"/>
      <c r="G746" s="329"/>
    </row>
    <row r="747" ht="14.25" customHeight="1">
      <c r="A747" s="257"/>
      <c r="G747" s="329"/>
    </row>
    <row r="748" ht="14.25" customHeight="1">
      <c r="A748" s="257"/>
      <c r="G748" s="329"/>
    </row>
    <row r="749" ht="14.25" customHeight="1">
      <c r="A749" s="257"/>
      <c r="G749" s="329"/>
    </row>
    <row r="750" ht="14.25" customHeight="1">
      <c r="A750" s="257"/>
      <c r="G750" s="329"/>
    </row>
    <row r="751" ht="14.25" customHeight="1">
      <c r="A751" s="257"/>
      <c r="G751" s="329"/>
    </row>
    <row r="752" ht="14.25" customHeight="1">
      <c r="A752" s="257"/>
      <c r="G752" s="329"/>
    </row>
    <row r="753" ht="14.25" customHeight="1">
      <c r="A753" s="257"/>
      <c r="G753" s="329"/>
    </row>
    <row r="754" ht="14.25" customHeight="1">
      <c r="A754" s="257"/>
      <c r="G754" s="329"/>
    </row>
    <row r="755" ht="14.25" customHeight="1">
      <c r="A755" s="257"/>
      <c r="G755" s="329"/>
    </row>
    <row r="756" ht="14.25" customHeight="1">
      <c r="A756" s="257"/>
      <c r="G756" s="329"/>
    </row>
    <row r="757" ht="14.25" customHeight="1">
      <c r="A757" s="257"/>
      <c r="G757" s="329"/>
    </row>
    <row r="758" ht="14.25" customHeight="1">
      <c r="A758" s="257"/>
      <c r="G758" s="329"/>
    </row>
    <row r="759" ht="14.25" customHeight="1">
      <c r="A759" s="257"/>
      <c r="G759" s="329"/>
    </row>
    <row r="760" ht="14.25" customHeight="1">
      <c r="A760" s="257"/>
      <c r="G760" s="329"/>
    </row>
    <row r="761" ht="14.25" customHeight="1">
      <c r="A761" s="257"/>
      <c r="G761" s="329"/>
    </row>
    <row r="762" ht="14.25" customHeight="1">
      <c r="A762" s="257"/>
      <c r="G762" s="329"/>
    </row>
    <row r="763" ht="14.25" customHeight="1">
      <c r="A763" s="257"/>
      <c r="G763" s="329"/>
    </row>
    <row r="764" ht="14.25" customHeight="1">
      <c r="A764" s="257"/>
      <c r="G764" s="329"/>
    </row>
    <row r="765" ht="14.25" customHeight="1">
      <c r="A765" s="257"/>
      <c r="G765" s="329"/>
    </row>
    <row r="766" ht="14.25" customHeight="1">
      <c r="A766" s="257"/>
      <c r="G766" s="329"/>
    </row>
    <row r="767" ht="14.25" customHeight="1">
      <c r="A767" s="257"/>
      <c r="G767" s="329"/>
    </row>
    <row r="768" ht="14.25" customHeight="1">
      <c r="A768" s="257"/>
      <c r="G768" s="329"/>
    </row>
    <row r="769" ht="14.25" customHeight="1">
      <c r="A769" s="257"/>
      <c r="G769" s="329"/>
    </row>
    <row r="770" ht="14.25" customHeight="1">
      <c r="A770" s="257"/>
      <c r="G770" s="329"/>
    </row>
    <row r="771" ht="14.25" customHeight="1">
      <c r="A771" s="257"/>
      <c r="G771" s="329"/>
    </row>
    <row r="772" ht="14.25" customHeight="1">
      <c r="A772" s="257"/>
      <c r="G772" s="329"/>
    </row>
    <row r="773" ht="14.25" customHeight="1">
      <c r="A773" s="257"/>
      <c r="G773" s="329"/>
    </row>
    <row r="774" ht="14.25" customHeight="1">
      <c r="A774" s="257"/>
      <c r="G774" s="329"/>
    </row>
    <row r="775" ht="14.25" customHeight="1">
      <c r="A775" s="257"/>
      <c r="G775" s="329"/>
    </row>
    <row r="776" ht="14.25" customHeight="1">
      <c r="A776" s="257"/>
      <c r="G776" s="329"/>
    </row>
    <row r="777" ht="14.25" customHeight="1">
      <c r="A777" s="257"/>
      <c r="G777" s="329"/>
    </row>
    <row r="778" ht="14.25" customHeight="1">
      <c r="A778" s="257"/>
      <c r="G778" s="329"/>
    </row>
    <row r="779" ht="14.25" customHeight="1">
      <c r="A779" s="257"/>
      <c r="G779" s="329"/>
    </row>
    <row r="780" ht="14.25" customHeight="1">
      <c r="A780" s="257"/>
      <c r="G780" s="329"/>
    </row>
    <row r="781" ht="14.25" customHeight="1">
      <c r="A781" s="257"/>
      <c r="G781" s="329"/>
    </row>
    <row r="782" ht="14.25" customHeight="1">
      <c r="A782" s="257"/>
      <c r="G782" s="329"/>
    </row>
    <row r="783" ht="14.25" customHeight="1">
      <c r="A783" s="257"/>
      <c r="G783" s="329"/>
    </row>
    <row r="784" ht="14.25" customHeight="1">
      <c r="A784" s="257"/>
      <c r="G784" s="329"/>
    </row>
    <row r="785" ht="14.25" customHeight="1">
      <c r="A785" s="257"/>
      <c r="G785" s="329"/>
    </row>
    <row r="786" ht="14.25" customHeight="1">
      <c r="A786" s="257"/>
      <c r="G786" s="329"/>
    </row>
    <row r="787" ht="14.25" customHeight="1">
      <c r="A787" s="257"/>
      <c r="G787" s="329"/>
    </row>
    <row r="788" ht="14.25" customHeight="1">
      <c r="A788" s="257"/>
      <c r="G788" s="329"/>
    </row>
    <row r="789" ht="14.25" customHeight="1">
      <c r="A789" s="257"/>
      <c r="G789" s="329"/>
    </row>
    <row r="790" ht="14.25" customHeight="1">
      <c r="A790" s="257"/>
      <c r="G790" s="329"/>
    </row>
    <row r="791" ht="14.25" customHeight="1">
      <c r="A791" s="257"/>
      <c r="G791" s="329"/>
    </row>
    <row r="792" ht="14.25" customHeight="1">
      <c r="A792" s="257"/>
      <c r="G792" s="329"/>
    </row>
    <row r="793" ht="14.25" customHeight="1">
      <c r="A793" s="257"/>
      <c r="G793" s="329"/>
    </row>
    <row r="794" ht="14.25" customHeight="1">
      <c r="A794" s="257"/>
      <c r="G794" s="329"/>
    </row>
    <row r="795" ht="14.25" customHeight="1">
      <c r="A795" s="257"/>
      <c r="G795" s="329"/>
    </row>
    <row r="796" ht="14.25" customHeight="1">
      <c r="A796" s="257"/>
      <c r="G796" s="329"/>
    </row>
    <row r="797" ht="14.25" customHeight="1">
      <c r="A797" s="257"/>
      <c r="G797" s="329"/>
    </row>
    <row r="798" ht="14.25" customHeight="1">
      <c r="A798" s="257"/>
      <c r="G798" s="329"/>
    </row>
    <row r="799" ht="14.25" customHeight="1">
      <c r="A799" s="257"/>
      <c r="G799" s="329"/>
    </row>
    <row r="800" ht="14.25" customHeight="1">
      <c r="A800" s="257"/>
      <c r="G800" s="329"/>
    </row>
    <row r="801" ht="14.25" customHeight="1">
      <c r="A801" s="257"/>
      <c r="G801" s="329"/>
    </row>
    <row r="802" ht="14.25" customHeight="1">
      <c r="A802" s="257"/>
      <c r="G802" s="329"/>
    </row>
    <row r="803" ht="14.25" customHeight="1">
      <c r="A803" s="257"/>
      <c r="G803" s="329"/>
    </row>
    <row r="804" ht="14.25" customHeight="1">
      <c r="A804" s="257"/>
      <c r="G804" s="329"/>
    </row>
    <row r="805" ht="14.25" customHeight="1">
      <c r="A805" s="257"/>
      <c r="G805" s="329"/>
    </row>
    <row r="806" ht="14.25" customHeight="1">
      <c r="A806" s="257"/>
      <c r="G806" s="329"/>
    </row>
    <row r="807" ht="14.25" customHeight="1">
      <c r="A807" s="257"/>
      <c r="G807" s="329"/>
    </row>
    <row r="808" ht="14.25" customHeight="1">
      <c r="A808" s="257"/>
      <c r="G808" s="329"/>
    </row>
    <row r="809" ht="14.25" customHeight="1">
      <c r="A809" s="257"/>
      <c r="G809" s="329"/>
    </row>
    <row r="810" ht="14.25" customHeight="1">
      <c r="A810" s="257"/>
      <c r="G810" s="329"/>
    </row>
    <row r="811" ht="14.25" customHeight="1">
      <c r="A811" s="257"/>
      <c r="G811" s="329"/>
    </row>
    <row r="812" ht="14.25" customHeight="1">
      <c r="A812" s="257"/>
      <c r="G812" s="329"/>
    </row>
    <row r="813" ht="14.25" customHeight="1">
      <c r="A813" s="257"/>
      <c r="G813" s="329"/>
    </row>
    <row r="814" ht="14.25" customHeight="1">
      <c r="A814" s="257"/>
      <c r="G814" s="329"/>
    </row>
    <row r="815" ht="14.25" customHeight="1">
      <c r="A815" s="257"/>
      <c r="G815" s="329"/>
    </row>
    <row r="816" ht="14.25" customHeight="1">
      <c r="A816" s="257"/>
      <c r="G816" s="329"/>
    </row>
    <row r="817" ht="14.25" customHeight="1">
      <c r="A817" s="257"/>
      <c r="G817" s="329"/>
    </row>
    <row r="818" ht="14.25" customHeight="1">
      <c r="A818" s="257"/>
      <c r="G818" s="329"/>
    </row>
    <row r="819" ht="14.25" customHeight="1">
      <c r="A819" s="257"/>
      <c r="G819" s="329"/>
    </row>
    <row r="820" ht="14.25" customHeight="1">
      <c r="A820" s="257"/>
      <c r="G820" s="329"/>
    </row>
    <row r="821" ht="14.25" customHeight="1">
      <c r="A821" s="257"/>
      <c r="G821" s="329"/>
    </row>
    <row r="822" ht="14.25" customHeight="1">
      <c r="A822" s="257"/>
      <c r="G822" s="329"/>
    </row>
    <row r="823" ht="14.25" customHeight="1">
      <c r="A823" s="257"/>
      <c r="G823" s="329"/>
    </row>
    <row r="824" ht="14.25" customHeight="1">
      <c r="A824" s="257"/>
      <c r="G824" s="329"/>
    </row>
    <row r="825" ht="14.25" customHeight="1">
      <c r="A825" s="257"/>
      <c r="G825" s="329"/>
    </row>
    <row r="826" ht="14.25" customHeight="1">
      <c r="A826" s="257"/>
      <c r="G826" s="329"/>
    </row>
    <row r="827" ht="14.25" customHeight="1">
      <c r="A827" s="257"/>
      <c r="G827" s="329"/>
    </row>
    <row r="828" ht="14.25" customHeight="1">
      <c r="A828" s="257"/>
      <c r="G828" s="329"/>
    </row>
    <row r="829" ht="14.25" customHeight="1">
      <c r="A829" s="257"/>
      <c r="G829" s="329"/>
    </row>
    <row r="830" ht="14.25" customHeight="1">
      <c r="A830" s="257"/>
      <c r="G830" s="329"/>
    </row>
    <row r="831" ht="14.25" customHeight="1">
      <c r="A831" s="257"/>
      <c r="G831" s="329"/>
    </row>
    <row r="832" ht="14.25" customHeight="1">
      <c r="A832" s="257"/>
      <c r="G832" s="329"/>
    </row>
    <row r="833" ht="14.25" customHeight="1">
      <c r="A833" s="257"/>
      <c r="G833" s="329"/>
    </row>
    <row r="834" ht="14.25" customHeight="1">
      <c r="A834" s="257"/>
      <c r="G834" s="329"/>
    </row>
    <row r="835" ht="14.25" customHeight="1">
      <c r="A835" s="257"/>
      <c r="G835" s="329"/>
    </row>
    <row r="836" ht="14.25" customHeight="1">
      <c r="A836" s="257"/>
      <c r="G836" s="329"/>
    </row>
    <row r="837" ht="14.25" customHeight="1">
      <c r="A837" s="257"/>
      <c r="G837" s="329"/>
    </row>
    <row r="838" ht="14.25" customHeight="1">
      <c r="A838" s="257"/>
      <c r="G838" s="329"/>
    </row>
    <row r="839" ht="14.25" customHeight="1">
      <c r="A839" s="257"/>
      <c r="G839" s="329"/>
    </row>
    <row r="840" ht="14.25" customHeight="1">
      <c r="A840" s="257"/>
      <c r="G840" s="329"/>
    </row>
    <row r="841" ht="14.25" customHeight="1">
      <c r="A841" s="257"/>
      <c r="G841" s="329"/>
    </row>
    <row r="842" ht="14.25" customHeight="1">
      <c r="A842" s="257"/>
      <c r="G842" s="329"/>
    </row>
    <row r="843" ht="14.25" customHeight="1">
      <c r="A843" s="257"/>
      <c r="G843" s="329"/>
    </row>
    <row r="844" ht="14.25" customHeight="1">
      <c r="A844" s="257"/>
      <c r="G844" s="329"/>
    </row>
    <row r="845" ht="14.25" customHeight="1">
      <c r="A845" s="257"/>
      <c r="G845" s="329"/>
    </row>
    <row r="846" ht="14.25" customHeight="1">
      <c r="A846" s="257"/>
      <c r="G846" s="329"/>
    </row>
    <row r="847" ht="14.25" customHeight="1">
      <c r="A847" s="257"/>
      <c r="G847" s="329"/>
    </row>
    <row r="848" ht="14.25" customHeight="1">
      <c r="A848" s="257"/>
      <c r="G848" s="329"/>
    </row>
    <row r="849" ht="14.25" customHeight="1">
      <c r="A849" s="257"/>
      <c r="G849" s="329"/>
    </row>
    <row r="850" ht="14.25" customHeight="1">
      <c r="A850" s="257"/>
      <c r="G850" s="329"/>
    </row>
    <row r="851" ht="14.25" customHeight="1">
      <c r="A851" s="257"/>
      <c r="G851" s="329"/>
    </row>
    <row r="852" ht="14.25" customHeight="1">
      <c r="A852" s="257"/>
      <c r="G852" s="329"/>
    </row>
    <row r="853" ht="14.25" customHeight="1">
      <c r="A853" s="257"/>
      <c r="G853" s="329"/>
    </row>
    <row r="854" ht="14.25" customHeight="1">
      <c r="A854" s="257"/>
      <c r="G854" s="329"/>
    </row>
    <row r="855" ht="14.25" customHeight="1">
      <c r="A855" s="257"/>
      <c r="G855" s="329"/>
    </row>
    <row r="856" ht="14.25" customHeight="1">
      <c r="A856" s="257"/>
      <c r="G856" s="329"/>
    </row>
    <row r="857" ht="14.25" customHeight="1">
      <c r="A857" s="257"/>
      <c r="G857" s="329"/>
    </row>
    <row r="858" ht="14.25" customHeight="1">
      <c r="A858" s="257"/>
      <c r="G858" s="329"/>
    </row>
    <row r="859" ht="14.25" customHeight="1">
      <c r="A859" s="257"/>
      <c r="G859" s="329"/>
    </row>
    <row r="860" ht="14.25" customHeight="1">
      <c r="A860" s="257"/>
      <c r="G860" s="329"/>
    </row>
    <row r="861" ht="14.25" customHeight="1">
      <c r="A861" s="257"/>
      <c r="G861" s="329"/>
    </row>
    <row r="862" ht="14.25" customHeight="1">
      <c r="A862" s="257"/>
      <c r="G862" s="329"/>
    </row>
    <row r="863" ht="14.25" customHeight="1">
      <c r="A863" s="257"/>
      <c r="G863" s="329"/>
    </row>
    <row r="864" ht="14.25" customHeight="1">
      <c r="A864" s="257"/>
      <c r="G864" s="329"/>
    </row>
    <row r="865" ht="14.25" customHeight="1">
      <c r="A865" s="257"/>
      <c r="G865" s="329"/>
    </row>
    <row r="866" ht="14.25" customHeight="1">
      <c r="A866" s="257"/>
      <c r="G866" s="329"/>
    </row>
    <row r="867" ht="14.25" customHeight="1">
      <c r="A867" s="257"/>
      <c r="G867" s="329"/>
    </row>
    <row r="868" ht="14.25" customHeight="1">
      <c r="A868" s="257"/>
      <c r="G868" s="329"/>
    </row>
    <row r="869" ht="14.25" customHeight="1">
      <c r="A869" s="257"/>
      <c r="G869" s="329"/>
    </row>
    <row r="870" ht="14.25" customHeight="1">
      <c r="A870" s="257"/>
      <c r="G870" s="329"/>
    </row>
    <row r="871" ht="14.25" customHeight="1">
      <c r="A871" s="257"/>
      <c r="G871" s="329"/>
    </row>
    <row r="872" ht="14.25" customHeight="1">
      <c r="A872" s="257"/>
      <c r="G872" s="329"/>
    </row>
    <row r="873" ht="14.25" customHeight="1">
      <c r="A873" s="257"/>
      <c r="G873" s="329"/>
    </row>
    <row r="874" ht="14.25" customHeight="1">
      <c r="A874" s="257"/>
      <c r="G874" s="329"/>
    </row>
    <row r="875" ht="14.25" customHeight="1">
      <c r="A875" s="257"/>
      <c r="G875" s="329"/>
    </row>
    <row r="876" ht="14.25" customHeight="1">
      <c r="A876" s="257"/>
      <c r="G876" s="329"/>
    </row>
    <row r="877" ht="14.25" customHeight="1">
      <c r="A877" s="257"/>
      <c r="G877" s="329"/>
    </row>
    <row r="878" ht="14.25" customHeight="1">
      <c r="A878" s="257"/>
      <c r="G878" s="329"/>
    </row>
    <row r="879" ht="14.25" customHeight="1">
      <c r="A879" s="257"/>
      <c r="G879" s="329"/>
    </row>
    <row r="880" ht="14.25" customHeight="1">
      <c r="A880" s="257"/>
      <c r="G880" s="329"/>
    </row>
    <row r="881" ht="14.25" customHeight="1">
      <c r="A881" s="257"/>
      <c r="G881" s="329"/>
    </row>
    <row r="882" ht="14.25" customHeight="1">
      <c r="A882" s="257"/>
      <c r="G882" s="329"/>
    </row>
    <row r="883" ht="14.25" customHeight="1">
      <c r="A883" s="257"/>
      <c r="G883" s="329"/>
    </row>
    <row r="884" ht="14.25" customHeight="1">
      <c r="A884" s="257"/>
      <c r="G884" s="329"/>
    </row>
    <row r="885" ht="14.25" customHeight="1">
      <c r="A885" s="257"/>
      <c r="G885" s="329"/>
    </row>
    <row r="886" ht="14.25" customHeight="1">
      <c r="A886" s="257"/>
      <c r="G886" s="329"/>
    </row>
    <row r="887" ht="14.25" customHeight="1">
      <c r="A887" s="257"/>
      <c r="G887" s="329"/>
    </row>
    <row r="888" ht="14.25" customHeight="1">
      <c r="A888" s="257"/>
      <c r="G888" s="329"/>
    </row>
    <row r="889" ht="14.25" customHeight="1">
      <c r="A889" s="257"/>
      <c r="G889" s="329"/>
    </row>
    <row r="890" ht="14.25" customHeight="1">
      <c r="A890" s="257"/>
      <c r="G890" s="329"/>
    </row>
    <row r="891" ht="14.25" customHeight="1">
      <c r="A891" s="257"/>
      <c r="G891" s="329"/>
    </row>
    <row r="892" ht="14.25" customHeight="1">
      <c r="A892" s="257"/>
      <c r="G892" s="329"/>
    </row>
    <row r="893" ht="14.25" customHeight="1">
      <c r="A893" s="257"/>
      <c r="G893" s="329"/>
    </row>
    <row r="894" ht="14.25" customHeight="1">
      <c r="A894" s="257"/>
      <c r="G894" s="329"/>
    </row>
    <row r="895" ht="14.25" customHeight="1">
      <c r="A895" s="257"/>
      <c r="G895" s="329"/>
    </row>
    <row r="896" ht="14.25" customHeight="1">
      <c r="A896" s="257"/>
      <c r="G896" s="329"/>
    </row>
    <row r="897" ht="14.25" customHeight="1">
      <c r="A897" s="257"/>
      <c r="G897" s="329"/>
    </row>
    <row r="898" ht="14.25" customHeight="1">
      <c r="A898" s="257"/>
      <c r="G898" s="329"/>
    </row>
    <row r="899" ht="14.25" customHeight="1">
      <c r="A899" s="257"/>
      <c r="G899" s="329"/>
    </row>
    <row r="900" ht="14.25" customHeight="1">
      <c r="A900" s="257"/>
      <c r="G900" s="329"/>
    </row>
    <row r="901" ht="14.25" customHeight="1">
      <c r="A901" s="257"/>
      <c r="G901" s="329"/>
    </row>
    <row r="902" ht="14.25" customHeight="1">
      <c r="A902" s="257"/>
      <c r="G902" s="329"/>
    </row>
    <row r="903" ht="14.25" customHeight="1">
      <c r="A903" s="257"/>
      <c r="G903" s="329"/>
    </row>
    <row r="904" ht="14.25" customHeight="1">
      <c r="A904" s="257"/>
      <c r="G904" s="329"/>
    </row>
    <row r="905" ht="14.25" customHeight="1">
      <c r="A905" s="257"/>
      <c r="G905" s="329"/>
    </row>
    <row r="906" ht="14.25" customHeight="1">
      <c r="A906" s="257"/>
      <c r="G906" s="329"/>
    </row>
    <row r="907" ht="14.25" customHeight="1">
      <c r="A907" s="257"/>
      <c r="G907" s="329"/>
    </row>
    <row r="908" ht="14.25" customHeight="1">
      <c r="A908" s="257"/>
      <c r="G908" s="329"/>
    </row>
    <row r="909" ht="14.25" customHeight="1">
      <c r="A909" s="257"/>
      <c r="G909" s="329"/>
    </row>
    <row r="910" ht="14.25" customHeight="1">
      <c r="A910" s="257"/>
      <c r="G910" s="329"/>
    </row>
    <row r="911" ht="14.25" customHeight="1">
      <c r="A911" s="257"/>
      <c r="G911" s="329"/>
    </row>
    <row r="912" ht="14.25" customHeight="1">
      <c r="A912" s="257"/>
      <c r="G912" s="329"/>
    </row>
    <row r="913" ht="14.25" customHeight="1">
      <c r="A913" s="257"/>
      <c r="G913" s="329"/>
    </row>
    <row r="914" ht="14.25" customHeight="1">
      <c r="A914" s="257"/>
      <c r="G914" s="329"/>
    </row>
    <row r="915" ht="14.25" customHeight="1">
      <c r="A915" s="257"/>
      <c r="G915" s="329"/>
    </row>
    <row r="916" ht="14.25" customHeight="1">
      <c r="A916" s="257"/>
      <c r="G916" s="329"/>
    </row>
    <row r="917" ht="14.25" customHeight="1">
      <c r="A917" s="257"/>
      <c r="G917" s="329"/>
    </row>
    <row r="918" ht="14.25" customHeight="1">
      <c r="A918" s="257"/>
      <c r="G918" s="329"/>
    </row>
    <row r="919" ht="14.25" customHeight="1">
      <c r="A919" s="257"/>
      <c r="G919" s="329"/>
    </row>
    <row r="920" ht="14.25" customHeight="1">
      <c r="A920" s="257"/>
      <c r="G920" s="329"/>
    </row>
    <row r="921" ht="14.25" customHeight="1">
      <c r="A921" s="257"/>
      <c r="G921" s="329"/>
    </row>
    <row r="922" ht="14.25" customHeight="1">
      <c r="A922" s="257"/>
      <c r="G922" s="329"/>
    </row>
    <row r="923" ht="14.25" customHeight="1">
      <c r="A923" s="257"/>
      <c r="G923" s="329"/>
    </row>
    <row r="924" ht="14.25" customHeight="1">
      <c r="A924" s="257"/>
      <c r="G924" s="329"/>
    </row>
    <row r="925" ht="14.25" customHeight="1">
      <c r="A925" s="257"/>
      <c r="G925" s="329"/>
    </row>
    <row r="926" ht="14.25" customHeight="1">
      <c r="A926" s="257"/>
      <c r="G926" s="329"/>
    </row>
    <row r="927" ht="14.25" customHeight="1">
      <c r="A927" s="257"/>
      <c r="G927" s="329"/>
    </row>
    <row r="928" ht="14.25" customHeight="1">
      <c r="A928" s="257"/>
      <c r="G928" s="329"/>
    </row>
    <row r="929" ht="14.25" customHeight="1">
      <c r="A929" s="257"/>
      <c r="G929" s="329"/>
    </row>
    <row r="930" ht="14.25" customHeight="1">
      <c r="A930" s="257"/>
      <c r="G930" s="329"/>
    </row>
    <row r="931" ht="14.25" customHeight="1">
      <c r="A931" s="257"/>
      <c r="G931" s="329"/>
    </row>
    <row r="932" ht="14.25" customHeight="1">
      <c r="A932" s="257"/>
      <c r="G932" s="329"/>
    </row>
    <row r="933" ht="14.25" customHeight="1">
      <c r="A933" s="257"/>
      <c r="G933" s="329"/>
    </row>
    <row r="934" ht="14.25" customHeight="1">
      <c r="A934" s="257"/>
      <c r="G934" s="329"/>
    </row>
    <row r="935" ht="14.25" customHeight="1">
      <c r="A935" s="257"/>
      <c r="G935" s="329"/>
    </row>
    <row r="936" ht="14.25" customHeight="1">
      <c r="A936" s="257"/>
      <c r="G936" s="329"/>
    </row>
    <row r="937" ht="14.25" customHeight="1">
      <c r="A937" s="257"/>
      <c r="G937" s="329"/>
    </row>
    <row r="938" ht="14.25" customHeight="1">
      <c r="A938" s="257"/>
      <c r="G938" s="329"/>
    </row>
    <row r="939" ht="14.25" customHeight="1">
      <c r="A939" s="257"/>
      <c r="G939" s="329"/>
    </row>
    <row r="940" ht="14.25" customHeight="1">
      <c r="A940" s="257"/>
      <c r="G940" s="329"/>
    </row>
    <row r="941" ht="14.25" customHeight="1">
      <c r="A941" s="257"/>
      <c r="G941" s="329"/>
    </row>
    <row r="942" ht="14.25" customHeight="1">
      <c r="A942" s="257"/>
      <c r="G942" s="329"/>
    </row>
    <row r="943" ht="14.25" customHeight="1">
      <c r="A943" s="257"/>
      <c r="G943" s="329"/>
    </row>
    <row r="944" ht="14.25" customHeight="1">
      <c r="A944" s="257"/>
      <c r="G944" s="329"/>
    </row>
    <row r="945" ht="14.25" customHeight="1">
      <c r="A945" s="257"/>
      <c r="G945" s="329"/>
    </row>
    <row r="946" ht="14.25" customHeight="1">
      <c r="A946" s="257"/>
      <c r="G946" s="329"/>
    </row>
    <row r="947" ht="14.25" customHeight="1">
      <c r="A947" s="257"/>
      <c r="G947" s="329"/>
    </row>
    <row r="948" ht="14.25" customHeight="1">
      <c r="A948" s="257"/>
      <c r="G948" s="329"/>
    </row>
    <row r="949" ht="14.25" customHeight="1">
      <c r="A949" s="257"/>
      <c r="G949" s="329"/>
    </row>
    <row r="950" ht="14.25" customHeight="1">
      <c r="A950" s="257"/>
      <c r="G950" s="329"/>
    </row>
    <row r="951" ht="14.25" customHeight="1">
      <c r="A951" s="257"/>
      <c r="G951" s="329"/>
    </row>
    <row r="952" ht="14.25" customHeight="1">
      <c r="A952" s="257"/>
      <c r="G952" s="329"/>
    </row>
    <row r="953" ht="14.25" customHeight="1">
      <c r="A953" s="257"/>
      <c r="G953" s="329"/>
    </row>
    <row r="954" ht="14.25" customHeight="1">
      <c r="A954" s="257"/>
      <c r="G954" s="329"/>
    </row>
    <row r="955" ht="14.25" customHeight="1">
      <c r="A955" s="257"/>
      <c r="G955" s="329"/>
    </row>
    <row r="956" ht="14.25" customHeight="1">
      <c r="A956" s="257"/>
      <c r="G956" s="329"/>
    </row>
    <row r="957" ht="14.25" customHeight="1">
      <c r="A957" s="257"/>
      <c r="G957" s="329"/>
    </row>
    <row r="958" ht="14.25" customHeight="1">
      <c r="A958" s="257"/>
      <c r="G958" s="329"/>
    </row>
    <row r="959" ht="14.25" customHeight="1">
      <c r="A959" s="257"/>
      <c r="G959" s="329"/>
    </row>
    <row r="960" ht="14.25" customHeight="1">
      <c r="A960" s="257"/>
      <c r="G960" s="329"/>
    </row>
    <row r="961" ht="14.25" customHeight="1">
      <c r="A961" s="257"/>
      <c r="G961" s="329"/>
    </row>
    <row r="962" ht="14.25" customHeight="1">
      <c r="A962" s="257"/>
      <c r="G962" s="329"/>
    </row>
    <row r="963" ht="14.25" customHeight="1">
      <c r="A963" s="257"/>
      <c r="G963" s="329"/>
    </row>
    <row r="964" ht="14.25" customHeight="1">
      <c r="A964" s="257"/>
      <c r="G964" s="329"/>
    </row>
    <row r="965" ht="14.25" customHeight="1">
      <c r="A965" s="257"/>
      <c r="G965" s="329"/>
    </row>
    <row r="966" ht="14.25" customHeight="1">
      <c r="A966" s="257"/>
      <c r="G966" s="329"/>
    </row>
    <row r="967" ht="14.25" customHeight="1">
      <c r="A967" s="257"/>
      <c r="G967" s="329"/>
    </row>
    <row r="968" ht="14.25" customHeight="1">
      <c r="A968" s="257"/>
      <c r="G968" s="329"/>
    </row>
    <row r="969" ht="14.25" customHeight="1">
      <c r="A969" s="257"/>
      <c r="G969" s="329"/>
    </row>
    <row r="970" ht="14.25" customHeight="1">
      <c r="A970" s="257"/>
      <c r="G970" s="329"/>
    </row>
    <row r="971" ht="14.25" customHeight="1">
      <c r="A971" s="257"/>
      <c r="G971" s="329"/>
    </row>
    <row r="972" ht="14.25" customHeight="1">
      <c r="A972" s="257"/>
      <c r="G972" s="329"/>
    </row>
    <row r="973" ht="14.25" customHeight="1">
      <c r="A973" s="257"/>
      <c r="G973" s="329"/>
    </row>
    <row r="974" ht="14.25" customHeight="1">
      <c r="A974" s="257"/>
      <c r="G974" s="329"/>
    </row>
    <row r="975" ht="14.25" customHeight="1">
      <c r="A975" s="257"/>
      <c r="G975" s="329"/>
    </row>
    <row r="976" ht="14.25" customHeight="1">
      <c r="A976" s="257"/>
      <c r="G976" s="329"/>
    </row>
    <row r="977" ht="14.25" customHeight="1">
      <c r="A977" s="257"/>
      <c r="G977" s="329"/>
    </row>
    <row r="978" ht="14.25" customHeight="1">
      <c r="A978" s="257"/>
      <c r="G978" s="329"/>
    </row>
    <row r="979" ht="14.25" customHeight="1">
      <c r="A979" s="257"/>
      <c r="G979" s="329"/>
    </row>
    <row r="980" ht="14.25" customHeight="1">
      <c r="A980" s="257"/>
      <c r="G980" s="329"/>
    </row>
    <row r="981" ht="14.25" customHeight="1">
      <c r="A981" s="257"/>
      <c r="G981" s="329"/>
    </row>
    <row r="982" ht="14.25" customHeight="1">
      <c r="A982" s="257"/>
      <c r="G982" s="329"/>
    </row>
    <row r="983" ht="14.25" customHeight="1">
      <c r="A983" s="257"/>
      <c r="G983" s="329"/>
    </row>
    <row r="984" ht="14.25" customHeight="1">
      <c r="A984" s="257"/>
      <c r="G984" s="329"/>
    </row>
    <row r="985" ht="14.25" customHeight="1">
      <c r="A985" s="257"/>
      <c r="G985" s="329"/>
    </row>
    <row r="986" ht="14.25" customHeight="1">
      <c r="A986" s="257"/>
      <c r="G986" s="329"/>
    </row>
    <row r="987" ht="14.25" customHeight="1">
      <c r="A987" s="257"/>
      <c r="G987" s="329"/>
    </row>
    <row r="988" ht="14.25" customHeight="1">
      <c r="A988" s="257"/>
      <c r="G988" s="329"/>
    </row>
    <row r="989" ht="14.25" customHeight="1">
      <c r="A989" s="257"/>
      <c r="G989" s="329"/>
    </row>
    <row r="990" ht="14.25" customHeight="1">
      <c r="A990" s="257"/>
      <c r="G990" s="329"/>
    </row>
    <row r="991" ht="14.25" customHeight="1">
      <c r="A991" s="257"/>
      <c r="G991" s="329"/>
    </row>
    <row r="992" ht="14.25" customHeight="1">
      <c r="A992" s="257"/>
      <c r="G992" s="329"/>
    </row>
    <row r="993" ht="14.25" customHeight="1">
      <c r="A993" s="257"/>
      <c r="G993" s="329"/>
    </row>
    <row r="994" ht="14.25" customHeight="1">
      <c r="A994" s="257"/>
      <c r="G994" s="329"/>
    </row>
    <row r="995" ht="14.25" customHeight="1">
      <c r="A995" s="257"/>
      <c r="G995" s="329"/>
    </row>
    <row r="996" ht="14.25" customHeight="1">
      <c r="A996" s="257"/>
      <c r="G996" s="329"/>
    </row>
    <row r="997" ht="14.25" customHeight="1">
      <c r="A997" s="257"/>
      <c r="G997" s="329"/>
    </row>
    <row r="998" ht="14.25" customHeight="1">
      <c r="A998" s="257"/>
      <c r="G998" s="329"/>
    </row>
    <row r="999" ht="14.25" customHeight="1">
      <c r="A999" s="257"/>
      <c r="G999" s="329"/>
    </row>
    <row r="1000" ht="14.25" customHeight="1">
      <c r="A1000" s="257"/>
      <c r="G1000" s="329"/>
    </row>
    <row r="1001" ht="14.25" customHeight="1">
      <c r="A1001" s="257"/>
      <c r="G1001" s="329"/>
    </row>
    <row r="1002" ht="14.25" customHeight="1">
      <c r="A1002" s="257"/>
      <c r="G1002" s="329"/>
    </row>
    <row r="1003" ht="14.25" customHeight="1">
      <c r="A1003" s="257"/>
      <c r="G1003" s="329"/>
    </row>
    <row r="1004" ht="14.25" customHeight="1">
      <c r="A1004" s="257"/>
      <c r="G1004" s="329"/>
    </row>
    <row r="1005" ht="14.25" customHeight="1">
      <c r="A1005" s="257"/>
      <c r="G1005" s="329"/>
    </row>
    <row r="1006" ht="14.25" customHeight="1">
      <c r="A1006" s="257"/>
      <c r="G1006" s="329"/>
    </row>
    <row r="1007" ht="14.25" customHeight="1">
      <c r="A1007" s="257"/>
      <c r="G1007" s="329"/>
    </row>
    <row r="1008" ht="14.25" customHeight="1">
      <c r="A1008" s="257"/>
      <c r="G1008" s="329"/>
    </row>
    <row r="1009" ht="14.25" customHeight="1">
      <c r="A1009" s="257"/>
      <c r="G1009" s="329"/>
    </row>
    <row r="1010" ht="14.25" customHeight="1">
      <c r="A1010" s="257"/>
      <c r="G1010" s="329"/>
    </row>
    <row r="1011" ht="14.25" customHeight="1">
      <c r="A1011" s="257"/>
      <c r="G1011" s="329"/>
    </row>
    <row r="1012" ht="14.25" customHeight="1">
      <c r="A1012" s="257"/>
      <c r="G1012" s="329"/>
    </row>
    <row r="1013" ht="14.25" customHeight="1">
      <c r="A1013" s="257"/>
      <c r="G1013" s="329"/>
    </row>
    <row r="1014" ht="14.25" customHeight="1">
      <c r="A1014" s="257"/>
      <c r="G1014" s="329"/>
    </row>
    <row r="1015" ht="14.25" customHeight="1">
      <c r="A1015" s="257"/>
      <c r="G1015" s="329"/>
    </row>
    <row r="1016" ht="14.25" customHeight="1">
      <c r="A1016" s="257"/>
      <c r="G1016" s="329"/>
    </row>
    <row r="1017" ht="14.25" customHeight="1">
      <c r="A1017" s="257"/>
      <c r="G1017" s="329"/>
    </row>
    <row r="1018" ht="14.25" customHeight="1">
      <c r="A1018" s="257"/>
      <c r="G1018" s="329"/>
    </row>
    <row r="1019" ht="14.25" customHeight="1">
      <c r="A1019" s="257"/>
      <c r="G1019" s="329"/>
    </row>
    <row r="1020" ht="14.25" customHeight="1">
      <c r="A1020" s="257"/>
      <c r="G1020" s="329"/>
    </row>
    <row r="1021" ht="14.25" customHeight="1">
      <c r="A1021" s="257"/>
      <c r="G1021" s="329"/>
    </row>
    <row r="1022" ht="14.25" customHeight="1">
      <c r="A1022" s="257"/>
      <c r="G1022" s="329"/>
    </row>
    <row r="1023" ht="14.25" customHeight="1">
      <c r="A1023" s="257"/>
      <c r="G1023" s="329"/>
    </row>
    <row r="1024" ht="14.25" customHeight="1">
      <c r="A1024" s="257"/>
      <c r="G1024" s="329"/>
    </row>
    <row r="1025" ht="14.25" customHeight="1">
      <c r="A1025" s="257"/>
      <c r="G1025" s="329"/>
    </row>
    <row r="1026" ht="14.25" customHeight="1">
      <c r="A1026" s="257"/>
      <c r="G1026" s="329"/>
    </row>
    <row r="1027" ht="14.25" customHeight="1">
      <c r="A1027" s="257"/>
      <c r="G1027" s="329"/>
    </row>
    <row r="1028" ht="14.25" customHeight="1">
      <c r="A1028" s="257"/>
      <c r="G1028" s="329"/>
    </row>
    <row r="1029" ht="14.25" customHeight="1">
      <c r="A1029" s="257"/>
      <c r="G1029" s="329"/>
    </row>
    <row r="1030" ht="14.25" customHeight="1">
      <c r="A1030" s="257"/>
      <c r="G1030" s="329"/>
    </row>
    <row r="1031" ht="14.25" customHeight="1">
      <c r="A1031" s="257"/>
      <c r="G1031" s="329"/>
    </row>
    <row r="1032" ht="14.25" customHeight="1">
      <c r="A1032" s="257"/>
      <c r="G1032" s="329"/>
    </row>
    <row r="1033" ht="14.25" customHeight="1">
      <c r="A1033" s="257"/>
      <c r="G1033" s="329"/>
    </row>
    <row r="1034" ht="14.25" customHeight="1">
      <c r="A1034" s="257"/>
      <c r="G1034" s="329"/>
    </row>
    <row r="1035" ht="14.25" customHeight="1">
      <c r="A1035" s="257"/>
      <c r="G1035" s="329"/>
    </row>
    <row r="1036" ht="14.25" customHeight="1">
      <c r="A1036" s="257"/>
      <c r="G1036" s="329"/>
    </row>
    <row r="1037" ht="14.25" customHeight="1">
      <c r="A1037" s="257"/>
      <c r="G1037" s="329"/>
    </row>
    <row r="1038" ht="14.25" customHeight="1">
      <c r="A1038" s="257"/>
      <c r="G1038" s="329"/>
    </row>
    <row r="1039" ht="14.25" customHeight="1">
      <c r="A1039" s="257"/>
      <c r="G1039" s="329"/>
    </row>
    <row r="1040" ht="14.25" customHeight="1">
      <c r="A1040" s="257"/>
      <c r="G1040" s="329"/>
    </row>
    <row r="1041" ht="14.25" customHeight="1">
      <c r="A1041" s="257"/>
      <c r="G1041" s="329"/>
    </row>
    <row r="1042" ht="14.25" customHeight="1">
      <c r="A1042" s="257"/>
      <c r="G1042" s="329"/>
    </row>
    <row r="1043" ht="14.25" customHeight="1">
      <c r="A1043" s="257"/>
      <c r="G1043" s="329"/>
    </row>
    <row r="1044" ht="14.25" customHeight="1">
      <c r="A1044" s="257"/>
      <c r="G1044" s="329"/>
    </row>
    <row r="1045" ht="14.25" customHeight="1">
      <c r="A1045" s="257"/>
      <c r="G1045" s="329"/>
    </row>
    <row r="1046" ht="14.25" customHeight="1">
      <c r="A1046" s="257"/>
      <c r="G1046" s="329"/>
    </row>
    <row r="1047" ht="14.25" customHeight="1">
      <c r="A1047" s="257"/>
      <c r="G1047" s="329"/>
    </row>
    <row r="1048" ht="14.25" customHeight="1">
      <c r="A1048" s="257"/>
      <c r="G1048" s="329"/>
    </row>
    <row r="1049" ht="14.25" customHeight="1">
      <c r="A1049" s="257"/>
      <c r="G1049" s="329"/>
    </row>
    <row r="1050" ht="14.25" customHeight="1">
      <c r="A1050" s="257"/>
      <c r="G1050" s="329"/>
    </row>
    <row r="1051" ht="14.25" customHeight="1">
      <c r="A1051" s="257"/>
      <c r="G1051" s="329"/>
    </row>
    <row r="1052" ht="14.25" customHeight="1">
      <c r="A1052" s="257"/>
      <c r="G1052" s="329"/>
    </row>
    <row r="1053" ht="14.25" customHeight="1">
      <c r="A1053" s="257"/>
      <c r="G1053" s="329"/>
    </row>
    <row r="1054" ht="14.25" customHeight="1">
      <c r="A1054" s="257"/>
      <c r="G1054" s="329"/>
    </row>
    <row r="1055" ht="14.25" customHeight="1">
      <c r="A1055" s="257"/>
      <c r="G1055" s="329"/>
    </row>
    <row r="1056" ht="14.25" customHeight="1">
      <c r="A1056" s="257"/>
      <c r="G1056" s="329"/>
    </row>
    <row r="1057" ht="14.25" customHeight="1">
      <c r="A1057" s="257"/>
      <c r="G1057" s="329"/>
    </row>
    <row r="1058" ht="14.25" customHeight="1">
      <c r="A1058" s="257"/>
      <c r="G1058" s="329"/>
    </row>
    <row r="1059" ht="14.25" customHeight="1">
      <c r="A1059" s="257"/>
      <c r="G1059" s="329"/>
    </row>
    <row r="1060" ht="14.25" customHeight="1">
      <c r="A1060" s="257"/>
      <c r="G1060" s="329"/>
    </row>
    <row r="1061" ht="14.25" customHeight="1">
      <c r="A1061" s="257"/>
      <c r="G1061" s="329"/>
    </row>
    <row r="1062" ht="14.25" customHeight="1">
      <c r="A1062" s="257"/>
      <c r="G1062" s="329"/>
    </row>
    <row r="1063" ht="14.25" customHeight="1">
      <c r="A1063" s="257"/>
      <c r="G1063" s="329"/>
    </row>
    <row r="1064" ht="14.25" customHeight="1">
      <c r="A1064" s="257"/>
      <c r="G1064" s="329"/>
    </row>
    <row r="1065" ht="14.25" customHeight="1">
      <c r="A1065" s="257"/>
      <c r="G1065" s="329"/>
    </row>
    <row r="1066" ht="14.25" customHeight="1">
      <c r="A1066" s="257"/>
      <c r="G1066" s="329"/>
    </row>
    <row r="1067" ht="14.25" customHeight="1">
      <c r="A1067" s="257"/>
      <c r="G1067" s="329"/>
    </row>
    <row r="1068" ht="14.25" customHeight="1">
      <c r="A1068" s="257"/>
      <c r="G1068" s="329"/>
    </row>
    <row r="1069" ht="14.25" customHeight="1">
      <c r="A1069" s="257"/>
      <c r="G1069" s="329"/>
    </row>
    <row r="1070" ht="14.25" customHeight="1">
      <c r="A1070" s="257"/>
      <c r="G1070" s="329"/>
    </row>
    <row r="1071" ht="14.25" customHeight="1">
      <c r="A1071" s="257"/>
      <c r="G1071" s="329"/>
    </row>
    <row r="1072" ht="14.25" customHeight="1">
      <c r="A1072" s="257"/>
      <c r="G1072" s="329"/>
    </row>
    <row r="1073" ht="14.25" customHeight="1">
      <c r="A1073" s="257"/>
      <c r="G1073" s="329"/>
    </row>
    <row r="1074" ht="14.25" customHeight="1">
      <c r="A1074" s="257"/>
      <c r="G1074" s="329"/>
    </row>
    <row r="1075" ht="14.25" customHeight="1">
      <c r="A1075" s="257"/>
      <c r="G1075" s="329"/>
    </row>
    <row r="1076" ht="14.25" customHeight="1">
      <c r="A1076" s="257"/>
      <c r="G1076" s="329"/>
    </row>
    <row r="1077" ht="14.25" customHeight="1">
      <c r="A1077" s="257"/>
      <c r="G1077" s="329"/>
    </row>
    <row r="1078" ht="14.25" customHeight="1">
      <c r="A1078" s="257"/>
      <c r="G1078" s="329"/>
    </row>
    <row r="1079" ht="14.25" customHeight="1">
      <c r="A1079" s="257"/>
      <c r="G1079" s="329"/>
    </row>
    <row r="1080" ht="14.25" customHeight="1">
      <c r="A1080" s="257"/>
      <c r="G1080" s="329"/>
    </row>
    <row r="1081" ht="14.25" customHeight="1">
      <c r="A1081" s="257"/>
      <c r="G1081" s="329"/>
    </row>
    <row r="1082" ht="14.25" customHeight="1">
      <c r="A1082" s="257"/>
      <c r="G1082" s="329"/>
    </row>
    <row r="1083" ht="14.25" customHeight="1">
      <c r="A1083" s="257"/>
      <c r="G1083" s="329"/>
    </row>
    <row r="1084" ht="14.25" customHeight="1">
      <c r="A1084" s="257"/>
      <c r="G1084" s="329"/>
    </row>
    <row r="1085" ht="14.25" customHeight="1">
      <c r="A1085" s="257"/>
      <c r="G1085" s="329"/>
    </row>
    <row r="1086" ht="14.25" customHeight="1">
      <c r="A1086" s="257"/>
      <c r="G1086" s="329"/>
    </row>
    <row r="1087" ht="14.25" customHeight="1">
      <c r="A1087" s="257"/>
      <c r="G1087" s="329"/>
    </row>
    <row r="1088" ht="14.25" customHeight="1">
      <c r="A1088" s="257"/>
      <c r="G1088" s="329"/>
    </row>
    <row r="1089" ht="14.25" customHeight="1">
      <c r="A1089" s="257"/>
      <c r="G1089" s="329"/>
    </row>
    <row r="1090" ht="14.25" customHeight="1">
      <c r="A1090" s="257"/>
      <c r="G1090" s="329"/>
    </row>
    <row r="1091" ht="14.25" customHeight="1">
      <c r="A1091" s="257"/>
      <c r="G1091" s="329"/>
    </row>
    <row r="1092" ht="14.25" customHeight="1">
      <c r="A1092" s="257"/>
      <c r="G1092" s="329"/>
    </row>
    <row r="1093" ht="14.25" customHeight="1">
      <c r="A1093" s="257"/>
      <c r="G1093" s="329"/>
    </row>
    <row r="1094" ht="14.25" customHeight="1">
      <c r="A1094" s="257"/>
      <c r="G1094" s="329"/>
    </row>
    <row r="1095" ht="14.25" customHeight="1">
      <c r="A1095" s="257"/>
      <c r="G1095" s="329"/>
    </row>
    <row r="1096" ht="14.25" customHeight="1">
      <c r="A1096" s="257"/>
      <c r="G1096" s="329"/>
    </row>
    <row r="1097" ht="14.25" customHeight="1">
      <c r="A1097" s="257"/>
      <c r="G1097" s="329"/>
    </row>
    <row r="1098" ht="14.25" customHeight="1">
      <c r="A1098" s="257"/>
      <c r="G1098" s="329"/>
    </row>
    <row r="1099" ht="14.25" customHeight="1">
      <c r="A1099" s="257"/>
      <c r="G1099" s="329"/>
    </row>
    <row r="1100" ht="14.25" customHeight="1">
      <c r="A1100" s="257"/>
      <c r="G1100" s="329"/>
    </row>
    <row r="1101" ht="14.25" customHeight="1">
      <c r="A1101" s="257"/>
      <c r="G1101" s="329"/>
    </row>
    <row r="1102" ht="14.25" customHeight="1">
      <c r="A1102" s="257"/>
      <c r="G1102" s="329"/>
    </row>
    <row r="1103" ht="14.25" customHeight="1">
      <c r="A1103" s="257"/>
      <c r="G1103" s="329"/>
    </row>
    <row r="1104" ht="14.25" customHeight="1">
      <c r="A1104" s="257"/>
      <c r="G1104" s="329"/>
    </row>
    <row r="1105" ht="14.25" customHeight="1">
      <c r="A1105" s="257"/>
      <c r="G1105" s="329"/>
    </row>
    <row r="1106" ht="14.25" customHeight="1">
      <c r="A1106" s="257"/>
      <c r="G1106" s="329"/>
    </row>
    <row r="1107" ht="14.25" customHeight="1">
      <c r="A1107" s="257"/>
      <c r="G1107" s="329"/>
    </row>
    <row r="1108" ht="14.25" customHeight="1">
      <c r="A1108" s="257"/>
      <c r="G1108" s="329"/>
    </row>
    <row r="1109" ht="14.25" customHeight="1">
      <c r="A1109" s="257"/>
      <c r="G1109" s="329"/>
    </row>
    <row r="1110" ht="14.25" customHeight="1">
      <c r="A1110" s="257"/>
      <c r="G1110" s="329"/>
    </row>
    <row r="1111" ht="14.25" customHeight="1">
      <c r="A1111" s="257"/>
      <c r="G1111" s="329"/>
    </row>
    <row r="1112" ht="14.25" customHeight="1">
      <c r="A1112" s="257"/>
      <c r="G1112" s="329"/>
    </row>
    <row r="1113" ht="14.25" customHeight="1">
      <c r="A1113" s="257"/>
      <c r="G1113" s="329"/>
    </row>
    <row r="1114" ht="14.25" customHeight="1">
      <c r="A1114" s="257"/>
      <c r="G1114" s="329"/>
    </row>
    <row r="1115" ht="14.25" customHeight="1">
      <c r="A1115" s="257"/>
      <c r="G1115" s="329"/>
    </row>
    <row r="1116" ht="14.25" customHeight="1">
      <c r="A1116" s="257"/>
      <c r="G1116" s="329"/>
    </row>
    <row r="1117" ht="14.25" customHeight="1">
      <c r="A1117" s="257"/>
      <c r="G1117" s="329"/>
    </row>
    <row r="1118" ht="14.25" customHeight="1">
      <c r="A1118" s="257"/>
      <c r="G1118" s="329"/>
    </row>
    <row r="1119" ht="14.25" customHeight="1">
      <c r="A1119" s="257"/>
      <c r="G1119" s="329"/>
    </row>
    <row r="1120" ht="14.25" customHeight="1">
      <c r="A1120" s="257"/>
      <c r="G1120" s="329"/>
    </row>
    <row r="1121" ht="14.25" customHeight="1">
      <c r="A1121" s="257"/>
      <c r="G1121" s="329"/>
    </row>
    <row r="1122" ht="14.25" customHeight="1">
      <c r="A1122" s="257"/>
      <c r="G1122" s="329"/>
    </row>
    <row r="1123" ht="14.25" customHeight="1">
      <c r="A1123" s="257"/>
      <c r="G1123" s="329"/>
    </row>
    <row r="1124" ht="14.25" customHeight="1">
      <c r="A1124" s="257"/>
      <c r="G1124" s="329"/>
    </row>
    <row r="1125" ht="14.25" customHeight="1">
      <c r="A1125" s="257"/>
      <c r="G1125" s="329"/>
    </row>
    <row r="1126" ht="14.25" customHeight="1">
      <c r="A1126" s="257"/>
      <c r="G1126" s="329"/>
    </row>
    <row r="1127" ht="14.25" customHeight="1">
      <c r="A1127" s="257"/>
      <c r="G1127" s="329"/>
    </row>
    <row r="1128" ht="14.25" customHeight="1">
      <c r="A1128" s="257"/>
      <c r="G1128" s="329"/>
    </row>
    <row r="1129" ht="14.25" customHeight="1">
      <c r="A1129" s="257"/>
      <c r="G1129" s="329"/>
    </row>
    <row r="1130" ht="14.25" customHeight="1">
      <c r="A1130" s="257"/>
      <c r="G1130" s="329"/>
    </row>
    <row r="1131" ht="14.25" customHeight="1">
      <c r="A1131" s="257"/>
      <c r="G1131" s="329"/>
    </row>
    <row r="1132" ht="14.25" customHeight="1">
      <c r="A1132" s="257"/>
      <c r="G1132" s="329"/>
    </row>
    <row r="1133" ht="14.25" customHeight="1">
      <c r="A1133" s="257"/>
      <c r="G1133" s="329"/>
    </row>
    <row r="1134" ht="14.25" customHeight="1">
      <c r="A1134" s="257"/>
      <c r="G1134" s="329"/>
    </row>
    <row r="1135" ht="14.25" customHeight="1">
      <c r="A1135" s="257"/>
      <c r="G1135" s="329"/>
    </row>
    <row r="1136" ht="14.25" customHeight="1">
      <c r="A1136" s="257"/>
      <c r="G1136" s="329"/>
    </row>
    <row r="1137" ht="14.25" customHeight="1">
      <c r="A1137" s="257"/>
      <c r="G1137" s="329"/>
    </row>
    <row r="1138" ht="14.25" customHeight="1">
      <c r="A1138" s="257"/>
      <c r="G1138" s="329"/>
    </row>
    <row r="1139" ht="14.25" customHeight="1">
      <c r="A1139" s="257"/>
      <c r="G1139" s="329"/>
    </row>
    <row r="1140" ht="14.25" customHeight="1">
      <c r="A1140" s="257"/>
      <c r="G1140" s="329"/>
    </row>
    <row r="1141" ht="14.25" customHeight="1">
      <c r="A1141" s="257"/>
      <c r="G1141" s="329"/>
    </row>
    <row r="1142" ht="14.25" customHeight="1">
      <c r="A1142" s="257"/>
      <c r="G1142" s="329"/>
    </row>
    <row r="1143" ht="14.25" customHeight="1">
      <c r="A1143" s="257"/>
      <c r="G1143" s="329"/>
    </row>
    <row r="1144" ht="14.25" customHeight="1">
      <c r="A1144" s="257"/>
      <c r="G1144" s="329"/>
    </row>
    <row r="1145" ht="14.25" customHeight="1">
      <c r="A1145" s="257"/>
      <c r="G1145" s="329"/>
    </row>
    <row r="1146" ht="14.25" customHeight="1">
      <c r="A1146" s="257"/>
      <c r="G1146" s="329"/>
    </row>
    <row r="1147" ht="14.25" customHeight="1">
      <c r="A1147" s="257"/>
      <c r="G1147" s="329"/>
    </row>
    <row r="1148" ht="14.25" customHeight="1">
      <c r="A1148" s="257"/>
      <c r="G1148" s="329"/>
    </row>
    <row r="1149" ht="14.25" customHeight="1">
      <c r="A1149" s="257"/>
      <c r="G1149" s="329"/>
    </row>
    <row r="1150" ht="14.25" customHeight="1">
      <c r="A1150" s="257"/>
      <c r="G1150" s="329"/>
    </row>
    <row r="1151" ht="14.25" customHeight="1">
      <c r="A1151" s="257"/>
      <c r="G1151" s="329"/>
    </row>
    <row r="1152" ht="14.25" customHeight="1">
      <c r="A1152" s="257"/>
      <c r="G1152" s="329"/>
    </row>
    <row r="1153" ht="14.25" customHeight="1">
      <c r="A1153" s="257"/>
      <c r="G1153" s="329"/>
    </row>
    <row r="1154" ht="14.25" customHeight="1">
      <c r="A1154" s="257"/>
      <c r="G1154" s="329"/>
    </row>
    <row r="1155" ht="14.25" customHeight="1">
      <c r="A1155" s="257"/>
      <c r="G1155" s="329"/>
    </row>
    <row r="1156" ht="14.25" customHeight="1">
      <c r="A1156" s="257"/>
      <c r="G1156" s="329"/>
    </row>
    <row r="1157" ht="14.25" customHeight="1">
      <c r="A1157" s="257"/>
      <c r="G1157" s="329"/>
    </row>
    <row r="1158" ht="14.25" customHeight="1">
      <c r="A1158" s="257"/>
      <c r="G1158" s="329"/>
    </row>
    <row r="1159" ht="14.25" customHeight="1">
      <c r="A1159" s="257"/>
      <c r="G1159" s="329"/>
    </row>
    <row r="1160" ht="14.25" customHeight="1">
      <c r="A1160" s="257"/>
      <c r="G1160" s="329"/>
    </row>
    <row r="1161" ht="14.25" customHeight="1">
      <c r="A1161" s="257"/>
      <c r="G1161" s="329"/>
    </row>
    <row r="1162" ht="14.25" customHeight="1">
      <c r="A1162" s="257"/>
      <c r="G1162" s="329"/>
    </row>
    <row r="1163" ht="14.25" customHeight="1">
      <c r="A1163" s="257"/>
      <c r="G1163" s="329"/>
    </row>
    <row r="1164" ht="14.25" customHeight="1">
      <c r="A1164" s="257"/>
      <c r="G1164" s="329"/>
    </row>
    <row r="1165" ht="14.25" customHeight="1">
      <c r="A1165" s="257"/>
      <c r="G1165" s="329"/>
    </row>
    <row r="1166" ht="14.25" customHeight="1">
      <c r="A1166" s="257"/>
      <c r="G1166" s="329"/>
    </row>
    <row r="1167" ht="14.25" customHeight="1">
      <c r="A1167" s="257"/>
      <c r="G1167" s="329"/>
    </row>
    <row r="1168" ht="14.25" customHeight="1">
      <c r="A1168" s="257"/>
      <c r="G1168" s="329"/>
    </row>
    <row r="1169" ht="14.25" customHeight="1">
      <c r="A1169" s="257"/>
      <c r="G1169" s="329"/>
    </row>
    <row r="1170" ht="14.25" customHeight="1">
      <c r="A1170" s="257"/>
      <c r="G1170" s="329"/>
    </row>
    <row r="1171" ht="14.25" customHeight="1">
      <c r="A1171" s="257"/>
      <c r="G1171" s="329"/>
    </row>
    <row r="1172" ht="14.25" customHeight="1">
      <c r="A1172" s="257"/>
      <c r="G1172" s="329"/>
    </row>
    <row r="1173" ht="14.25" customHeight="1">
      <c r="A1173" s="257"/>
      <c r="G1173" s="329"/>
    </row>
    <row r="1174" ht="14.25" customHeight="1">
      <c r="A1174" s="257"/>
      <c r="G1174" s="329"/>
    </row>
    <row r="1175" ht="14.25" customHeight="1">
      <c r="A1175" s="257"/>
      <c r="G1175" s="329"/>
    </row>
    <row r="1176" ht="14.25" customHeight="1">
      <c r="A1176" s="257"/>
      <c r="G1176" s="329"/>
    </row>
    <row r="1177" ht="14.25" customHeight="1">
      <c r="A1177" s="257"/>
      <c r="G1177" s="329"/>
    </row>
    <row r="1178" ht="14.25" customHeight="1">
      <c r="A1178" s="257"/>
      <c r="G1178" s="329"/>
    </row>
    <row r="1179" ht="14.25" customHeight="1">
      <c r="A1179" s="257"/>
      <c r="G1179" s="329"/>
    </row>
    <row r="1180" ht="14.25" customHeight="1">
      <c r="A1180" s="257"/>
      <c r="G1180" s="329"/>
    </row>
    <row r="1181" ht="14.25" customHeight="1">
      <c r="A1181" s="257"/>
      <c r="G1181" s="329"/>
    </row>
    <row r="1182" ht="14.25" customHeight="1">
      <c r="A1182" s="257"/>
      <c r="G1182" s="329"/>
    </row>
    <row r="1183" ht="14.25" customHeight="1">
      <c r="A1183" s="257"/>
      <c r="G1183" s="329"/>
    </row>
    <row r="1184" ht="14.25" customHeight="1">
      <c r="A1184" s="257"/>
      <c r="G1184" s="329"/>
    </row>
    <row r="1185" ht="14.25" customHeight="1">
      <c r="A1185" s="257"/>
      <c r="G1185" s="329"/>
    </row>
    <row r="1186" ht="14.25" customHeight="1">
      <c r="A1186" s="257"/>
      <c r="G1186" s="329"/>
    </row>
    <row r="1187" ht="14.25" customHeight="1">
      <c r="A1187" s="257"/>
      <c r="G1187" s="329"/>
    </row>
    <row r="1188" ht="14.25" customHeight="1">
      <c r="A1188" s="257"/>
      <c r="G1188" s="329"/>
    </row>
    <row r="1189" ht="14.25" customHeight="1">
      <c r="A1189" s="257"/>
      <c r="G1189" s="329"/>
    </row>
    <row r="1190" ht="14.25" customHeight="1">
      <c r="A1190" s="257"/>
      <c r="G1190" s="329"/>
    </row>
    <row r="1191" ht="14.25" customHeight="1">
      <c r="A1191" s="257"/>
      <c r="G1191" s="329"/>
    </row>
    <row r="1192" ht="14.25" customHeight="1">
      <c r="A1192" s="257"/>
      <c r="G1192" s="329"/>
    </row>
    <row r="1193" ht="14.25" customHeight="1">
      <c r="A1193" s="257"/>
      <c r="G1193" s="329"/>
    </row>
    <row r="1194" ht="14.25" customHeight="1">
      <c r="A1194" s="257"/>
      <c r="G1194" s="329"/>
    </row>
    <row r="1195" ht="14.25" customHeight="1">
      <c r="A1195" s="257"/>
      <c r="G1195" s="329"/>
    </row>
    <row r="1196" ht="14.25" customHeight="1">
      <c r="A1196" s="257"/>
      <c r="G1196" s="329"/>
    </row>
    <row r="1197" ht="14.25" customHeight="1">
      <c r="A1197" s="257"/>
      <c r="G1197" s="329"/>
    </row>
    <row r="1198" ht="14.25" customHeight="1">
      <c r="A1198" s="257"/>
      <c r="G1198" s="329"/>
    </row>
    <row r="1199" ht="14.25" customHeight="1">
      <c r="A1199" s="257"/>
      <c r="G1199" s="329"/>
    </row>
    <row r="1200" ht="14.25" customHeight="1">
      <c r="A1200" s="257"/>
      <c r="G1200" s="329"/>
    </row>
    <row r="1201" ht="14.25" customHeight="1">
      <c r="A1201" s="257"/>
      <c r="G1201" s="329"/>
    </row>
    <row r="1202" ht="14.25" customHeight="1">
      <c r="A1202" s="257"/>
      <c r="G1202" s="329"/>
    </row>
    <row r="1203" ht="14.25" customHeight="1">
      <c r="A1203" s="257"/>
      <c r="G1203" s="329"/>
    </row>
    <row r="1204" ht="14.25" customHeight="1">
      <c r="A1204" s="257"/>
      <c r="G1204" s="329"/>
    </row>
    <row r="1205" ht="14.25" customHeight="1">
      <c r="A1205" s="257"/>
      <c r="G1205" s="329"/>
    </row>
    <row r="1206" ht="14.25" customHeight="1">
      <c r="A1206" s="257"/>
      <c r="G1206" s="329"/>
    </row>
    <row r="1207" ht="14.25" customHeight="1">
      <c r="A1207" s="257"/>
      <c r="G1207" s="329"/>
    </row>
    <row r="1208" ht="14.25" customHeight="1">
      <c r="A1208" s="257"/>
      <c r="G1208" s="329"/>
    </row>
    <row r="1209" ht="14.25" customHeight="1">
      <c r="A1209" s="257"/>
      <c r="G1209" s="329"/>
    </row>
    <row r="1210" ht="14.25" customHeight="1">
      <c r="A1210" s="257"/>
      <c r="G1210" s="329"/>
    </row>
    <row r="1211" ht="14.25" customHeight="1">
      <c r="A1211" s="257"/>
      <c r="G1211" s="329"/>
    </row>
    <row r="1212" ht="14.25" customHeight="1">
      <c r="A1212" s="257"/>
      <c r="G1212" s="329"/>
    </row>
    <row r="1213" ht="14.25" customHeight="1">
      <c r="A1213" s="257"/>
      <c r="G1213" s="329"/>
    </row>
    <row r="1214" ht="14.25" customHeight="1">
      <c r="A1214" s="257"/>
      <c r="G1214" s="329"/>
    </row>
    <row r="1215" ht="14.25" customHeight="1">
      <c r="A1215" s="257"/>
      <c r="G1215" s="329"/>
    </row>
    <row r="1216" ht="14.25" customHeight="1">
      <c r="A1216" s="257"/>
      <c r="G1216" s="329"/>
    </row>
    <row r="1217" ht="14.25" customHeight="1">
      <c r="A1217" s="257"/>
      <c r="G1217" s="329"/>
    </row>
    <row r="1218" ht="14.25" customHeight="1">
      <c r="A1218" s="257"/>
      <c r="G1218" s="329"/>
    </row>
    <row r="1219" ht="14.25" customHeight="1">
      <c r="A1219" s="257"/>
      <c r="G1219" s="329"/>
    </row>
    <row r="1220" ht="14.25" customHeight="1">
      <c r="A1220" s="257"/>
      <c r="G1220" s="329"/>
    </row>
    <row r="1221" ht="14.25" customHeight="1">
      <c r="A1221" s="257"/>
      <c r="G1221" s="329"/>
    </row>
    <row r="1222" ht="14.25" customHeight="1">
      <c r="A1222" s="257"/>
      <c r="G1222" s="329"/>
    </row>
    <row r="1223" ht="14.25" customHeight="1">
      <c r="A1223" s="257"/>
      <c r="G1223" s="329"/>
    </row>
    <row r="1224" ht="14.25" customHeight="1">
      <c r="A1224" s="257"/>
      <c r="G1224" s="329"/>
    </row>
    <row r="1225" ht="14.25" customHeight="1">
      <c r="A1225" s="257"/>
      <c r="G1225" s="329"/>
    </row>
    <row r="1226" ht="14.25" customHeight="1">
      <c r="A1226" s="257"/>
      <c r="G1226" s="329"/>
    </row>
    <row r="1227" ht="14.25" customHeight="1">
      <c r="A1227" s="257"/>
      <c r="G1227" s="329"/>
    </row>
    <row r="1228" ht="14.25" customHeight="1">
      <c r="A1228" s="257"/>
      <c r="G1228" s="329"/>
    </row>
    <row r="1229" ht="14.25" customHeight="1">
      <c r="A1229" s="257"/>
      <c r="G1229" s="329"/>
    </row>
    <row r="1230" ht="14.25" customHeight="1">
      <c r="A1230" s="257"/>
      <c r="G1230" s="329"/>
    </row>
    <row r="1231" ht="14.25" customHeight="1">
      <c r="A1231" s="257"/>
      <c r="G1231" s="329"/>
    </row>
    <row r="1232" ht="14.25" customHeight="1">
      <c r="A1232" s="257"/>
      <c r="G1232" s="329"/>
    </row>
    <row r="1233" ht="14.25" customHeight="1">
      <c r="A1233" s="257"/>
      <c r="G1233" s="329"/>
    </row>
    <row r="1234" ht="14.25" customHeight="1">
      <c r="A1234" s="257"/>
      <c r="G1234" s="329"/>
    </row>
    <row r="1235" ht="14.25" customHeight="1">
      <c r="A1235" s="257"/>
      <c r="G1235" s="329"/>
    </row>
    <row r="1236" ht="14.25" customHeight="1">
      <c r="A1236" s="257"/>
      <c r="G1236" s="329"/>
    </row>
    <row r="1237" ht="14.25" customHeight="1">
      <c r="A1237" s="257"/>
      <c r="G1237" s="329"/>
    </row>
    <row r="1238" ht="14.25" customHeight="1">
      <c r="A1238" s="257"/>
      <c r="G1238" s="329"/>
    </row>
    <row r="1239" ht="14.25" customHeight="1">
      <c r="A1239" s="257"/>
      <c r="G1239" s="329"/>
    </row>
    <row r="1240" ht="14.25" customHeight="1">
      <c r="A1240" s="257"/>
      <c r="G1240" s="329"/>
    </row>
    <row r="1241" ht="14.25" customHeight="1">
      <c r="A1241" s="257"/>
      <c r="G1241" s="329"/>
    </row>
    <row r="1242" ht="14.25" customHeight="1">
      <c r="A1242" s="257"/>
      <c r="G1242" s="329"/>
    </row>
    <row r="1243" ht="14.25" customHeight="1">
      <c r="A1243" s="257"/>
      <c r="G1243" s="329"/>
    </row>
    <row r="1244" ht="14.25" customHeight="1">
      <c r="A1244" s="257"/>
      <c r="G1244" s="329"/>
    </row>
    <row r="1245" ht="14.25" customHeight="1">
      <c r="A1245" s="257"/>
      <c r="G1245" s="329"/>
    </row>
    <row r="1246" ht="14.25" customHeight="1">
      <c r="A1246" s="257"/>
      <c r="G1246" s="329"/>
    </row>
    <row r="1247" ht="14.25" customHeight="1">
      <c r="A1247" s="257"/>
      <c r="G1247" s="329"/>
    </row>
    <row r="1248" ht="14.25" customHeight="1">
      <c r="A1248" s="257"/>
      <c r="G1248" s="329"/>
    </row>
    <row r="1249" ht="14.25" customHeight="1">
      <c r="A1249" s="257"/>
      <c r="G1249" s="329"/>
    </row>
    <row r="1250" ht="14.25" customHeight="1">
      <c r="A1250" s="257"/>
      <c r="G1250" s="329"/>
    </row>
    <row r="1251" ht="14.25" customHeight="1">
      <c r="A1251" s="257"/>
      <c r="G1251" s="329"/>
    </row>
    <row r="1252" ht="14.25" customHeight="1">
      <c r="A1252" s="257"/>
      <c r="G1252" s="329"/>
    </row>
    <row r="1253" ht="14.25" customHeight="1">
      <c r="A1253" s="257"/>
      <c r="G1253" s="329"/>
    </row>
    <row r="1254" ht="14.25" customHeight="1">
      <c r="A1254" s="257"/>
      <c r="G1254" s="329"/>
    </row>
    <row r="1255" ht="14.25" customHeight="1">
      <c r="A1255" s="257"/>
      <c r="G1255" s="329"/>
    </row>
    <row r="1256" ht="14.25" customHeight="1">
      <c r="A1256" s="257"/>
      <c r="G1256" s="329"/>
    </row>
    <row r="1257" ht="14.25" customHeight="1">
      <c r="A1257" s="257"/>
      <c r="G1257" s="329"/>
    </row>
    <row r="1258" ht="14.25" customHeight="1">
      <c r="A1258" s="257"/>
      <c r="G1258" s="329"/>
    </row>
    <row r="1259" ht="14.25" customHeight="1">
      <c r="A1259" s="257"/>
      <c r="G1259" s="329"/>
    </row>
    <row r="1260" ht="14.25" customHeight="1">
      <c r="A1260" s="257"/>
      <c r="G1260" s="329"/>
    </row>
    <row r="1261" ht="14.25" customHeight="1">
      <c r="A1261" s="257"/>
      <c r="G1261" s="329"/>
    </row>
    <row r="1262" ht="14.25" customHeight="1">
      <c r="A1262" s="257"/>
      <c r="G1262" s="329"/>
    </row>
    <row r="1263" ht="14.25" customHeight="1">
      <c r="A1263" s="257"/>
      <c r="G1263" s="329"/>
    </row>
    <row r="1264" ht="14.25" customHeight="1">
      <c r="A1264" s="257"/>
      <c r="G1264" s="329"/>
    </row>
    <row r="1265" ht="14.25" customHeight="1">
      <c r="A1265" s="257"/>
      <c r="G1265" s="329"/>
    </row>
    <row r="1266" ht="14.25" customHeight="1">
      <c r="A1266" s="257"/>
      <c r="G1266" s="329"/>
    </row>
    <row r="1267" ht="14.25" customHeight="1">
      <c r="A1267" s="257"/>
      <c r="G1267" s="329"/>
    </row>
    <row r="1268" ht="14.25" customHeight="1">
      <c r="A1268" s="257"/>
      <c r="G1268" s="329"/>
    </row>
    <row r="1269" ht="14.25" customHeight="1">
      <c r="A1269" s="257"/>
      <c r="G1269" s="329"/>
    </row>
    <row r="1270" ht="14.25" customHeight="1">
      <c r="A1270" s="257"/>
      <c r="G1270" s="329"/>
    </row>
    <row r="1271" ht="14.25" customHeight="1">
      <c r="A1271" s="257"/>
      <c r="G1271" s="329"/>
    </row>
    <row r="1272" ht="14.25" customHeight="1">
      <c r="A1272" s="257"/>
      <c r="G1272" s="329"/>
    </row>
    <row r="1273" ht="14.25" customHeight="1">
      <c r="A1273" s="257"/>
      <c r="G1273" s="329"/>
    </row>
    <row r="1274" ht="14.25" customHeight="1">
      <c r="A1274" s="257"/>
      <c r="G1274" s="329"/>
    </row>
    <row r="1275" ht="14.25" customHeight="1">
      <c r="A1275" s="257"/>
      <c r="G1275" s="329"/>
    </row>
    <row r="1276" ht="14.25" customHeight="1">
      <c r="A1276" s="257"/>
      <c r="G1276" s="329"/>
    </row>
    <row r="1277" ht="14.25" customHeight="1">
      <c r="A1277" s="257"/>
      <c r="G1277" s="329"/>
    </row>
    <row r="1278" ht="14.25" customHeight="1">
      <c r="A1278" s="257"/>
      <c r="G1278" s="329"/>
    </row>
    <row r="1279" ht="14.25" customHeight="1">
      <c r="A1279" s="257"/>
      <c r="G1279" s="329"/>
    </row>
    <row r="1280" ht="14.25" customHeight="1">
      <c r="A1280" s="257"/>
      <c r="G1280" s="329"/>
    </row>
    <row r="1281" ht="14.25" customHeight="1">
      <c r="A1281" s="257"/>
      <c r="G1281" s="329"/>
    </row>
    <row r="1282" ht="14.25" customHeight="1">
      <c r="A1282" s="257"/>
      <c r="G1282" s="329"/>
    </row>
    <row r="1283" ht="14.25" customHeight="1">
      <c r="A1283" s="257"/>
      <c r="G1283" s="329"/>
    </row>
    <row r="1284" ht="14.25" customHeight="1">
      <c r="A1284" s="257"/>
      <c r="G1284" s="329"/>
    </row>
    <row r="1285" ht="14.25" customHeight="1">
      <c r="A1285" s="257"/>
      <c r="G1285" s="329"/>
    </row>
    <row r="1286" ht="14.25" customHeight="1">
      <c r="A1286" s="257"/>
      <c r="G1286" s="329"/>
    </row>
    <row r="1287" ht="14.25" customHeight="1">
      <c r="A1287" s="257"/>
      <c r="G1287" s="329"/>
    </row>
    <row r="1288" ht="14.25" customHeight="1">
      <c r="A1288" s="257"/>
      <c r="G1288" s="329"/>
    </row>
    <row r="1289" ht="14.25" customHeight="1">
      <c r="A1289" s="257"/>
      <c r="G1289" s="329"/>
    </row>
    <row r="1290" ht="14.25" customHeight="1">
      <c r="A1290" s="257"/>
      <c r="G1290" s="329"/>
    </row>
    <row r="1291" ht="14.25" customHeight="1">
      <c r="A1291" s="257"/>
      <c r="G1291" s="329"/>
    </row>
    <row r="1292" ht="14.25" customHeight="1">
      <c r="A1292" s="257"/>
      <c r="G1292" s="329"/>
    </row>
    <row r="1293" ht="14.25" customHeight="1">
      <c r="A1293" s="257"/>
      <c r="G1293" s="329"/>
    </row>
    <row r="1294" ht="14.25" customHeight="1">
      <c r="A1294" s="257"/>
      <c r="G1294" s="329"/>
    </row>
    <row r="1295" ht="14.25" customHeight="1">
      <c r="A1295" s="257"/>
      <c r="G1295" s="329"/>
    </row>
    <row r="1296" ht="14.25" customHeight="1">
      <c r="A1296" s="257"/>
      <c r="G1296" s="329"/>
    </row>
    <row r="1297" ht="14.25" customHeight="1">
      <c r="A1297" s="257"/>
      <c r="G1297" s="329"/>
    </row>
    <row r="1298" ht="14.25" customHeight="1">
      <c r="A1298" s="257"/>
      <c r="G1298" s="329"/>
    </row>
    <row r="1299" ht="14.25" customHeight="1">
      <c r="A1299" s="257"/>
      <c r="G1299" s="329"/>
    </row>
    <row r="1300" ht="14.25" customHeight="1">
      <c r="A1300" s="257"/>
      <c r="G1300" s="329"/>
    </row>
    <row r="1301" ht="14.25" customHeight="1">
      <c r="A1301" s="257"/>
      <c r="G1301" s="329"/>
    </row>
    <row r="1302" ht="14.25" customHeight="1">
      <c r="A1302" s="257"/>
      <c r="G1302" s="329"/>
    </row>
    <row r="1303" ht="14.25" customHeight="1">
      <c r="A1303" s="257"/>
      <c r="G1303" s="329"/>
    </row>
    <row r="1304" ht="14.25" customHeight="1">
      <c r="A1304" s="257"/>
      <c r="G1304" s="329"/>
    </row>
    <row r="1305" ht="14.25" customHeight="1">
      <c r="A1305" s="257"/>
      <c r="G1305" s="329"/>
    </row>
    <row r="1306" ht="14.25" customHeight="1">
      <c r="A1306" s="257"/>
      <c r="G1306" s="329"/>
    </row>
    <row r="1307" ht="14.25" customHeight="1">
      <c r="A1307" s="257"/>
      <c r="G1307" s="329"/>
    </row>
    <row r="1308" ht="14.25" customHeight="1">
      <c r="A1308" s="257"/>
      <c r="G1308" s="329"/>
    </row>
    <row r="1309" ht="14.25" customHeight="1">
      <c r="A1309" s="257"/>
      <c r="G1309" s="329"/>
    </row>
    <row r="1310" ht="14.25" customHeight="1">
      <c r="A1310" s="257"/>
      <c r="G1310" s="329"/>
    </row>
    <row r="1311" ht="14.25" customHeight="1">
      <c r="A1311" s="257"/>
      <c r="G1311" s="329"/>
    </row>
    <row r="1312" ht="14.25" customHeight="1">
      <c r="A1312" s="257"/>
      <c r="G1312" s="329"/>
    </row>
    <row r="1313" ht="14.25" customHeight="1">
      <c r="A1313" s="257"/>
      <c r="G1313" s="329"/>
    </row>
    <row r="1314" ht="14.25" customHeight="1">
      <c r="A1314" s="257"/>
      <c r="G1314" s="329"/>
    </row>
    <row r="1315" ht="14.25" customHeight="1">
      <c r="A1315" s="257"/>
      <c r="G1315" s="329"/>
    </row>
    <row r="1316" ht="14.25" customHeight="1">
      <c r="A1316" s="257"/>
      <c r="G1316" s="329"/>
    </row>
    <row r="1317" ht="14.25" customHeight="1">
      <c r="A1317" s="257"/>
      <c r="G1317" s="329"/>
    </row>
    <row r="1318" ht="14.25" customHeight="1">
      <c r="A1318" s="257"/>
      <c r="G1318" s="329"/>
    </row>
    <row r="1319" ht="14.25" customHeight="1">
      <c r="A1319" s="257"/>
      <c r="G1319" s="329"/>
    </row>
    <row r="1320" ht="14.25" customHeight="1">
      <c r="A1320" s="257"/>
      <c r="G1320" s="329"/>
    </row>
    <row r="1321" ht="14.25" customHeight="1">
      <c r="A1321" s="257"/>
      <c r="G1321" s="329"/>
    </row>
    <row r="1322" ht="14.25" customHeight="1">
      <c r="A1322" s="257"/>
      <c r="G1322" s="329"/>
    </row>
    <row r="1323" ht="14.25" customHeight="1">
      <c r="A1323" s="257"/>
      <c r="G1323" s="329"/>
    </row>
    <row r="1324" ht="14.25" customHeight="1">
      <c r="A1324" s="257"/>
      <c r="G1324" s="329"/>
    </row>
    <row r="1325" ht="14.25" customHeight="1">
      <c r="A1325" s="257"/>
      <c r="G1325" s="329"/>
    </row>
    <row r="1326" ht="14.25" customHeight="1">
      <c r="A1326" s="257"/>
      <c r="G1326" s="329"/>
    </row>
    <row r="1327" ht="14.25" customHeight="1">
      <c r="A1327" s="257"/>
      <c r="G1327" s="329"/>
    </row>
    <row r="1328" ht="14.25" customHeight="1">
      <c r="A1328" s="257"/>
      <c r="G1328" s="329"/>
    </row>
    <row r="1329" ht="14.25" customHeight="1">
      <c r="A1329" s="257"/>
      <c r="G1329" s="329"/>
    </row>
    <row r="1330" ht="14.25" customHeight="1">
      <c r="A1330" s="257"/>
      <c r="G1330" s="329"/>
    </row>
    <row r="1331" ht="14.25" customHeight="1">
      <c r="A1331" s="257"/>
      <c r="G1331" s="329"/>
    </row>
    <row r="1332" ht="14.25" customHeight="1">
      <c r="A1332" s="257"/>
      <c r="G1332" s="329"/>
    </row>
    <row r="1333" ht="14.25" customHeight="1">
      <c r="A1333" s="257"/>
      <c r="G1333" s="329"/>
    </row>
    <row r="1334" ht="14.25" customHeight="1">
      <c r="A1334" s="257"/>
      <c r="G1334" s="329"/>
    </row>
    <row r="1335" ht="14.25" customHeight="1">
      <c r="A1335" s="257"/>
      <c r="G1335" s="329"/>
    </row>
    <row r="1336" ht="14.25" customHeight="1">
      <c r="A1336" s="257"/>
      <c r="G1336" s="329"/>
    </row>
    <row r="1337" ht="14.25" customHeight="1">
      <c r="A1337" s="257"/>
      <c r="G1337" s="329"/>
    </row>
    <row r="1338" ht="14.25" customHeight="1">
      <c r="A1338" s="257"/>
      <c r="G1338" s="329"/>
    </row>
    <row r="1339" ht="14.25" customHeight="1">
      <c r="A1339" s="257"/>
      <c r="G1339" s="329"/>
    </row>
    <row r="1340" ht="14.25" customHeight="1">
      <c r="A1340" s="257"/>
      <c r="G1340" s="329"/>
    </row>
    <row r="1341" ht="14.25" customHeight="1">
      <c r="A1341" s="257"/>
      <c r="G1341" s="329"/>
    </row>
    <row r="1342" ht="14.25" customHeight="1">
      <c r="A1342" s="257"/>
      <c r="G1342" s="329"/>
    </row>
    <row r="1343" ht="14.25" customHeight="1">
      <c r="A1343" s="257"/>
      <c r="G1343" s="329"/>
    </row>
    <row r="1344" ht="14.25" customHeight="1">
      <c r="A1344" s="257"/>
      <c r="G1344" s="329"/>
    </row>
    <row r="1345" ht="14.25" customHeight="1">
      <c r="A1345" s="257"/>
      <c r="G1345" s="329"/>
    </row>
    <row r="1346" ht="14.25" customHeight="1">
      <c r="A1346" s="257"/>
      <c r="G1346" s="329"/>
    </row>
    <row r="1347" ht="14.25" customHeight="1">
      <c r="A1347" s="257"/>
      <c r="G1347" s="329"/>
    </row>
    <row r="1348" ht="14.25" customHeight="1">
      <c r="A1348" s="257"/>
      <c r="G1348" s="329"/>
    </row>
    <row r="1349" ht="14.25" customHeight="1">
      <c r="A1349" s="257"/>
      <c r="G1349" s="329"/>
    </row>
    <row r="1350" ht="14.25" customHeight="1">
      <c r="A1350" s="257"/>
      <c r="G1350" s="329"/>
    </row>
    <row r="1351" ht="14.25" customHeight="1">
      <c r="A1351" s="257"/>
      <c r="G1351" s="329"/>
    </row>
    <row r="1352" ht="14.25" customHeight="1">
      <c r="A1352" s="257"/>
      <c r="G1352" s="329"/>
    </row>
    <row r="1353" ht="14.25" customHeight="1">
      <c r="A1353" s="257"/>
      <c r="G1353" s="329"/>
    </row>
    <row r="1354" ht="14.25" customHeight="1">
      <c r="A1354" s="257"/>
      <c r="G1354" s="329"/>
    </row>
    <row r="1355" ht="14.25" customHeight="1">
      <c r="A1355" s="257"/>
      <c r="G1355" s="329"/>
    </row>
    <row r="1356" ht="14.25" customHeight="1">
      <c r="A1356" s="257"/>
      <c r="G1356" s="329"/>
    </row>
    <row r="1357" ht="14.25" customHeight="1">
      <c r="A1357" s="257"/>
      <c r="G1357" s="329"/>
    </row>
    <row r="1358" ht="14.25" customHeight="1">
      <c r="A1358" s="257"/>
      <c r="G1358" s="329"/>
    </row>
    <row r="1359" ht="14.25" customHeight="1">
      <c r="A1359" s="257"/>
      <c r="G1359" s="329"/>
    </row>
    <row r="1360" ht="14.25" customHeight="1">
      <c r="A1360" s="257"/>
      <c r="G1360" s="329"/>
    </row>
    <row r="1361" ht="14.25" customHeight="1">
      <c r="A1361" s="257"/>
      <c r="G1361" s="329"/>
    </row>
    <row r="1362" ht="14.25" customHeight="1">
      <c r="A1362" s="257"/>
      <c r="G1362" s="329"/>
    </row>
    <row r="1363" ht="14.25" customHeight="1">
      <c r="A1363" s="257"/>
      <c r="G1363" s="329"/>
    </row>
    <row r="1364" ht="14.25" customHeight="1">
      <c r="A1364" s="257"/>
      <c r="G1364" s="329"/>
    </row>
    <row r="1365" ht="14.25" customHeight="1">
      <c r="A1365" s="257"/>
      <c r="G1365" s="329"/>
    </row>
    <row r="1366" ht="14.25" customHeight="1">
      <c r="A1366" s="257"/>
      <c r="G1366" s="329"/>
    </row>
    <row r="1367" ht="14.25" customHeight="1">
      <c r="A1367" s="257"/>
      <c r="G1367" s="329"/>
    </row>
    <row r="1368" ht="14.25" customHeight="1">
      <c r="A1368" s="257"/>
      <c r="G1368" s="329"/>
    </row>
    <row r="1369" ht="14.25" customHeight="1">
      <c r="A1369" s="257"/>
      <c r="G1369" s="329"/>
    </row>
    <row r="1370" ht="14.25" customHeight="1">
      <c r="A1370" s="257"/>
      <c r="G1370" s="329"/>
    </row>
    <row r="1371" ht="14.25" customHeight="1">
      <c r="A1371" s="257"/>
      <c r="G1371" s="329"/>
    </row>
    <row r="1372" ht="14.25" customHeight="1">
      <c r="A1372" s="257"/>
      <c r="G1372" s="329"/>
    </row>
    <row r="1373" ht="14.25" customHeight="1">
      <c r="A1373" s="257"/>
      <c r="G1373" s="329"/>
    </row>
    <row r="1374" ht="14.25" customHeight="1">
      <c r="A1374" s="257"/>
      <c r="G1374" s="329"/>
    </row>
    <row r="1375" ht="14.25" customHeight="1">
      <c r="A1375" s="257"/>
      <c r="G1375" s="329"/>
    </row>
    <row r="1376" ht="14.25" customHeight="1">
      <c r="A1376" s="257"/>
      <c r="G1376" s="329"/>
    </row>
    <row r="1377" ht="14.25" customHeight="1">
      <c r="A1377" s="257"/>
      <c r="G1377" s="329"/>
    </row>
    <row r="1378" ht="14.25" customHeight="1">
      <c r="A1378" s="257"/>
      <c r="G1378" s="329"/>
    </row>
    <row r="1379" ht="14.25" customHeight="1">
      <c r="A1379" s="257"/>
      <c r="G1379" s="329"/>
    </row>
    <row r="1380" ht="14.25" customHeight="1">
      <c r="A1380" s="257"/>
      <c r="G1380" s="329"/>
    </row>
    <row r="1381" ht="14.25" customHeight="1">
      <c r="A1381" s="257"/>
      <c r="G1381" s="329"/>
    </row>
    <row r="1382" ht="14.25" customHeight="1">
      <c r="A1382" s="257"/>
      <c r="G1382" s="329"/>
    </row>
    <row r="1383" ht="14.25" customHeight="1">
      <c r="A1383" s="257"/>
      <c r="G1383" s="329"/>
    </row>
    <row r="1384" ht="14.25" customHeight="1">
      <c r="A1384" s="257"/>
      <c r="G1384" s="329"/>
    </row>
    <row r="1385" ht="14.25" customHeight="1">
      <c r="A1385" s="257"/>
      <c r="G1385" s="329"/>
    </row>
    <row r="1386" ht="14.25" customHeight="1">
      <c r="A1386" s="257"/>
      <c r="G1386" s="329"/>
    </row>
    <row r="1387" ht="14.25" customHeight="1">
      <c r="A1387" s="257"/>
      <c r="G1387" s="329"/>
    </row>
    <row r="1388" ht="14.25" customHeight="1">
      <c r="A1388" s="257"/>
      <c r="G1388" s="329"/>
    </row>
    <row r="1389" ht="14.25" customHeight="1">
      <c r="A1389" s="257"/>
      <c r="G1389" s="329"/>
    </row>
    <row r="1390" ht="14.25" customHeight="1">
      <c r="A1390" s="257"/>
      <c r="G1390" s="329"/>
    </row>
    <row r="1391" ht="14.25" customHeight="1">
      <c r="A1391" s="257"/>
      <c r="G1391" s="329"/>
    </row>
    <row r="1392" ht="14.25" customHeight="1">
      <c r="A1392" s="257"/>
      <c r="G1392" s="329"/>
    </row>
    <row r="1393" ht="14.25" customHeight="1">
      <c r="A1393" s="257"/>
      <c r="G1393" s="329"/>
    </row>
    <row r="1394" ht="14.25" customHeight="1">
      <c r="A1394" s="257"/>
      <c r="G1394" s="329"/>
    </row>
    <row r="1395" ht="14.25" customHeight="1">
      <c r="A1395" s="257"/>
      <c r="G1395" s="329"/>
    </row>
    <row r="1396" ht="14.25" customHeight="1">
      <c r="A1396" s="257"/>
      <c r="G1396" s="329"/>
    </row>
    <row r="1397" ht="14.25" customHeight="1">
      <c r="A1397" s="257"/>
      <c r="G1397" s="329"/>
    </row>
    <row r="1398" ht="14.25" customHeight="1">
      <c r="A1398" s="257"/>
      <c r="G1398" s="329"/>
    </row>
    <row r="1399" ht="14.25" customHeight="1">
      <c r="A1399" s="257"/>
      <c r="G1399" s="329"/>
    </row>
    <row r="1400" ht="14.25" customHeight="1">
      <c r="A1400" s="257"/>
      <c r="G1400" s="329"/>
    </row>
    <row r="1401" ht="14.25" customHeight="1">
      <c r="A1401" s="257"/>
      <c r="G1401" s="329"/>
    </row>
    <row r="1402" ht="14.25" customHeight="1">
      <c r="A1402" s="257"/>
      <c r="G1402" s="329"/>
    </row>
    <row r="1403" ht="14.25" customHeight="1">
      <c r="A1403" s="257"/>
      <c r="G1403" s="329"/>
    </row>
    <row r="1404" ht="14.25" customHeight="1">
      <c r="A1404" s="257"/>
      <c r="G1404" s="329"/>
    </row>
    <row r="1405" ht="14.25" customHeight="1">
      <c r="A1405" s="257"/>
      <c r="G1405" s="329"/>
    </row>
    <row r="1406" ht="14.25" customHeight="1">
      <c r="A1406" s="257"/>
      <c r="G1406" s="329"/>
    </row>
    <row r="1407" ht="14.25" customHeight="1">
      <c r="A1407" s="257"/>
      <c r="G1407" s="329"/>
    </row>
    <row r="1408" ht="14.25" customHeight="1">
      <c r="A1408" s="257"/>
      <c r="G1408" s="329"/>
    </row>
    <row r="1409" ht="14.25" customHeight="1">
      <c r="A1409" s="257"/>
      <c r="G1409" s="329"/>
    </row>
    <row r="1410" ht="14.25" customHeight="1">
      <c r="A1410" s="257"/>
      <c r="G1410" s="329"/>
    </row>
    <row r="1411" ht="14.25" customHeight="1">
      <c r="A1411" s="257"/>
      <c r="G1411" s="329"/>
    </row>
    <row r="1412" ht="14.25" customHeight="1">
      <c r="A1412" s="257"/>
      <c r="G1412" s="329"/>
    </row>
    <row r="1413" ht="14.25" customHeight="1">
      <c r="A1413" s="257"/>
      <c r="G1413" s="329"/>
    </row>
    <row r="1414" ht="14.25" customHeight="1">
      <c r="A1414" s="257"/>
      <c r="G1414" s="329"/>
    </row>
    <row r="1415" ht="14.25" customHeight="1">
      <c r="A1415" s="257"/>
      <c r="G1415" s="329"/>
    </row>
    <row r="1416" ht="14.25" customHeight="1">
      <c r="A1416" s="257"/>
      <c r="G1416" s="329"/>
    </row>
    <row r="1417" ht="14.25" customHeight="1">
      <c r="A1417" s="257"/>
      <c r="G1417" s="329"/>
    </row>
    <row r="1418" ht="14.25" customHeight="1">
      <c r="A1418" s="257"/>
      <c r="G1418" s="329"/>
    </row>
    <row r="1419" ht="14.25" customHeight="1">
      <c r="A1419" s="257"/>
      <c r="G1419" s="329"/>
    </row>
    <row r="1420" ht="14.25" customHeight="1">
      <c r="A1420" s="257"/>
      <c r="G1420" s="329"/>
    </row>
    <row r="1421" ht="14.25" customHeight="1">
      <c r="A1421" s="257"/>
      <c r="G1421" s="329"/>
    </row>
    <row r="1422" ht="14.25" customHeight="1">
      <c r="A1422" s="257"/>
      <c r="G1422" s="329"/>
    </row>
    <row r="1423" ht="14.25" customHeight="1">
      <c r="A1423" s="257"/>
      <c r="G1423" s="329"/>
    </row>
    <row r="1424" ht="14.25" customHeight="1">
      <c r="A1424" s="257"/>
      <c r="G1424" s="329"/>
    </row>
    <row r="1425" ht="14.25" customHeight="1">
      <c r="A1425" s="257"/>
      <c r="G1425" s="329"/>
    </row>
    <row r="1426" ht="14.25" customHeight="1">
      <c r="A1426" s="257"/>
      <c r="G1426" s="329"/>
    </row>
    <row r="1427" ht="14.25" customHeight="1">
      <c r="A1427" s="257"/>
      <c r="G1427" s="329"/>
    </row>
    <row r="1428" ht="14.25" customHeight="1">
      <c r="A1428" s="257"/>
      <c r="G1428" s="329"/>
    </row>
    <row r="1429" ht="14.25" customHeight="1">
      <c r="A1429" s="257"/>
      <c r="G1429" s="329"/>
    </row>
    <row r="1430" ht="14.25" customHeight="1">
      <c r="A1430" s="257"/>
      <c r="G1430" s="329"/>
    </row>
    <row r="1431" ht="14.25" customHeight="1">
      <c r="A1431" s="257"/>
      <c r="G1431" s="329"/>
    </row>
    <row r="1432" ht="14.25" customHeight="1">
      <c r="A1432" s="257"/>
      <c r="G1432" s="329"/>
    </row>
    <row r="1433" ht="14.25" customHeight="1">
      <c r="A1433" s="257"/>
      <c r="G1433" s="329"/>
    </row>
    <row r="1434" ht="14.25" customHeight="1">
      <c r="A1434" s="257"/>
      <c r="G1434" s="329"/>
    </row>
    <row r="1435" ht="14.25" customHeight="1">
      <c r="A1435" s="257"/>
      <c r="G1435" s="329"/>
    </row>
    <row r="1436" ht="14.25" customHeight="1">
      <c r="A1436" s="257"/>
      <c r="G1436" s="329"/>
    </row>
    <row r="1437" ht="14.25" customHeight="1">
      <c r="A1437" s="257"/>
      <c r="G1437" s="329"/>
    </row>
    <row r="1438" ht="14.25" customHeight="1">
      <c r="A1438" s="257"/>
      <c r="G1438" s="329"/>
    </row>
    <row r="1439" ht="14.25" customHeight="1">
      <c r="A1439" s="257"/>
      <c r="G1439" s="329"/>
    </row>
    <row r="1440" ht="14.25" customHeight="1">
      <c r="A1440" s="257"/>
      <c r="G1440" s="329"/>
    </row>
    <row r="1441" ht="14.25" customHeight="1">
      <c r="A1441" s="257"/>
      <c r="G1441" s="329"/>
    </row>
    <row r="1442" ht="14.25" customHeight="1">
      <c r="A1442" s="257"/>
      <c r="G1442" s="329"/>
    </row>
    <row r="1443" ht="14.25" customHeight="1">
      <c r="A1443" s="257"/>
      <c r="G1443" s="329"/>
    </row>
    <row r="1444" ht="14.25" customHeight="1">
      <c r="A1444" s="257"/>
      <c r="G1444" s="329"/>
    </row>
    <row r="1445" ht="14.25" customHeight="1">
      <c r="A1445" s="257"/>
      <c r="G1445" s="329"/>
    </row>
    <row r="1446" ht="14.25" customHeight="1">
      <c r="A1446" s="257"/>
      <c r="G1446" s="329"/>
    </row>
    <row r="1447" ht="14.25" customHeight="1">
      <c r="A1447" s="257"/>
      <c r="G1447" s="329"/>
    </row>
    <row r="1448" ht="14.25" customHeight="1">
      <c r="A1448" s="257"/>
      <c r="G1448" s="329"/>
    </row>
    <row r="1449" ht="14.25" customHeight="1">
      <c r="A1449" s="257"/>
      <c r="G1449" s="329"/>
    </row>
    <row r="1450" ht="14.25" customHeight="1">
      <c r="A1450" s="257"/>
      <c r="G1450" s="329"/>
    </row>
    <row r="1451" ht="14.25" customHeight="1">
      <c r="A1451" s="257"/>
      <c r="G1451" s="329"/>
    </row>
    <row r="1452" ht="14.25" customHeight="1">
      <c r="A1452" s="257"/>
      <c r="G1452" s="329"/>
    </row>
    <row r="1453" ht="14.25" customHeight="1">
      <c r="A1453" s="257"/>
      <c r="G1453" s="329"/>
    </row>
    <row r="1454" ht="14.25" customHeight="1">
      <c r="A1454" s="257"/>
      <c r="G1454" s="329"/>
    </row>
    <row r="1455" ht="14.25" customHeight="1">
      <c r="A1455" s="257"/>
      <c r="G1455" s="329"/>
    </row>
    <row r="1456" ht="14.25" customHeight="1">
      <c r="A1456" s="257"/>
      <c r="G1456" s="329"/>
    </row>
    <row r="1457" ht="14.25" customHeight="1">
      <c r="A1457" s="257"/>
      <c r="G1457" s="329"/>
    </row>
    <row r="1458" ht="14.25" customHeight="1">
      <c r="A1458" s="257"/>
      <c r="G1458" s="329"/>
    </row>
    <row r="1459" ht="14.25" customHeight="1">
      <c r="A1459" s="257"/>
      <c r="G1459" s="329"/>
    </row>
    <row r="1460" ht="14.25" customHeight="1">
      <c r="A1460" s="257"/>
      <c r="G1460" s="329"/>
    </row>
    <row r="1461" ht="14.25" customHeight="1">
      <c r="A1461" s="257"/>
      <c r="G1461" s="329"/>
    </row>
    <row r="1462" ht="14.25" customHeight="1">
      <c r="A1462" s="257"/>
      <c r="G1462" s="329"/>
    </row>
    <row r="1463" ht="14.25" customHeight="1">
      <c r="A1463" s="257"/>
      <c r="G1463" s="329"/>
    </row>
    <row r="1464" ht="14.25" customHeight="1">
      <c r="A1464" s="257"/>
      <c r="G1464" s="329"/>
    </row>
    <row r="1465" ht="14.25" customHeight="1">
      <c r="A1465" s="257"/>
      <c r="G1465" s="329"/>
    </row>
    <row r="1466" ht="14.25" customHeight="1">
      <c r="A1466" s="257"/>
      <c r="G1466" s="329"/>
    </row>
    <row r="1467" ht="14.25" customHeight="1">
      <c r="A1467" s="257"/>
      <c r="G1467" s="329"/>
    </row>
    <row r="1468" ht="14.25" customHeight="1">
      <c r="A1468" s="257"/>
      <c r="G1468" s="329"/>
    </row>
    <row r="1469" ht="14.25" customHeight="1">
      <c r="A1469" s="257"/>
      <c r="G1469" s="329"/>
    </row>
    <row r="1470" ht="14.25" customHeight="1">
      <c r="A1470" s="257"/>
      <c r="G1470" s="329"/>
    </row>
    <row r="1471" ht="14.25" customHeight="1">
      <c r="A1471" s="257"/>
      <c r="G1471" s="329"/>
    </row>
    <row r="1472" ht="14.25" customHeight="1">
      <c r="A1472" s="257"/>
      <c r="G1472" s="329"/>
    </row>
    <row r="1473" ht="14.25" customHeight="1">
      <c r="A1473" s="257"/>
      <c r="G1473" s="329"/>
    </row>
    <row r="1474" ht="14.25" customHeight="1">
      <c r="A1474" s="257"/>
      <c r="G1474" s="329"/>
    </row>
    <row r="1475" ht="14.25" customHeight="1">
      <c r="A1475" s="257"/>
      <c r="G1475" s="329"/>
    </row>
    <row r="1476" ht="14.25" customHeight="1">
      <c r="A1476" s="257"/>
      <c r="G1476" s="329"/>
    </row>
    <row r="1477" ht="14.25" customHeight="1">
      <c r="A1477" s="257"/>
      <c r="G1477" s="329"/>
    </row>
    <row r="1478" ht="14.25" customHeight="1">
      <c r="A1478" s="257"/>
      <c r="G1478" s="329"/>
    </row>
    <row r="1479" ht="14.25" customHeight="1">
      <c r="A1479" s="257"/>
      <c r="G1479" s="329"/>
    </row>
    <row r="1480" ht="14.25" customHeight="1">
      <c r="A1480" s="257"/>
      <c r="G1480" s="329"/>
    </row>
    <row r="1481" ht="14.25" customHeight="1">
      <c r="A1481" s="257"/>
      <c r="G1481" s="329"/>
    </row>
    <row r="1482" ht="14.25" customHeight="1">
      <c r="A1482" s="257"/>
      <c r="G1482" s="329"/>
    </row>
    <row r="1483" ht="14.25" customHeight="1">
      <c r="A1483" s="257"/>
      <c r="G1483" s="329"/>
    </row>
    <row r="1484" ht="14.25" customHeight="1">
      <c r="A1484" s="257"/>
      <c r="G1484" s="329"/>
    </row>
    <row r="1485" ht="14.25" customHeight="1">
      <c r="A1485" s="257"/>
      <c r="G1485" s="329"/>
    </row>
    <row r="1486" ht="14.25" customHeight="1">
      <c r="A1486" s="257"/>
      <c r="G1486" s="329"/>
    </row>
    <row r="1487" ht="14.25" customHeight="1">
      <c r="A1487" s="257"/>
      <c r="G1487" s="329"/>
    </row>
    <row r="1488" ht="14.25" customHeight="1">
      <c r="A1488" s="257"/>
      <c r="G1488" s="329"/>
    </row>
    <row r="1489" ht="14.25" customHeight="1">
      <c r="A1489" s="257"/>
      <c r="G1489" s="329"/>
    </row>
    <row r="1490" ht="14.25" customHeight="1">
      <c r="A1490" s="257"/>
      <c r="G1490" s="329"/>
    </row>
    <row r="1491" ht="14.25" customHeight="1">
      <c r="A1491" s="257"/>
      <c r="G1491" s="329"/>
    </row>
    <row r="1492" ht="14.25" customHeight="1">
      <c r="A1492" s="257"/>
      <c r="G1492" s="329"/>
    </row>
    <row r="1493" ht="14.25" customHeight="1">
      <c r="A1493" s="257"/>
      <c r="G1493" s="329"/>
    </row>
    <row r="1494" ht="14.25" customHeight="1">
      <c r="A1494" s="257"/>
      <c r="G1494" s="329"/>
    </row>
    <row r="1495" ht="14.25" customHeight="1">
      <c r="A1495" s="257"/>
      <c r="G1495" s="329"/>
    </row>
    <row r="1496" ht="14.25" customHeight="1">
      <c r="A1496" s="257"/>
      <c r="G1496" s="329"/>
    </row>
    <row r="1497" ht="14.25" customHeight="1">
      <c r="A1497" s="257"/>
      <c r="G1497" s="329"/>
    </row>
    <row r="1498" ht="14.25" customHeight="1">
      <c r="A1498" s="257"/>
      <c r="G1498" s="329"/>
    </row>
  </sheetData>
  <customSheetViews>
    <customSheetView guid="{E3B16FF4-157A-41A8-880D-5DDB83361892}" filter="1" showAutoFilter="1">
      <autoFilter ref="$Y$12"/>
    </customSheetView>
    <customSheetView guid="{66348944-9FC2-49D4-937A-1A6FEBFF4639}" filter="1" showAutoFilter="1">
      <autoFilter ref="$A$5:$A$513"/>
    </customSheetView>
    <customSheetView guid="{7A661D72-FC41-4646-AEAF-00CD193B6D95}" filter="1" showAutoFilter="1">
      <autoFilter ref="$P$5:$P$513">
        <filterColumn colId="0">
          <filters/>
        </filterColumn>
      </autoFilter>
    </customSheetView>
    <customSheetView guid="{62CFFA2F-2CDE-4159-80E8-0067D9460027}" filter="1" showAutoFilter="1">
      <autoFilter ref="$Z$1:$Z$1498"/>
    </customSheetView>
    <customSheetView guid="{0B48C2DC-E7D4-4DCC-ACB5-09BD4089ED05}" filter="1" showAutoFilter="1">
      <autoFilter ref="$Y$1:$Y$513"/>
    </customSheetView>
    <customSheetView guid="{17EFBF60-FA66-46DD-8C66-7DD74D543108}" filter="1" showAutoFilter="1">
      <autoFilter ref="$K$5:$K$513"/>
    </customSheetView>
    <customSheetView guid="{20CAB334-E8B9-4848-AC8F-2E0A8DBFE604}" filter="1" showAutoFilter="1">
      <autoFilter ref="$S$5:$S$513"/>
    </customSheetView>
  </customSheetViews>
  <mergeCells count="29">
    <mergeCell ref="L1:P1"/>
    <mergeCell ref="N2:P2"/>
    <mergeCell ref="P3:P4"/>
    <mergeCell ref="S3:S4"/>
    <mergeCell ref="A1:A4"/>
    <mergeCell ref="B1:B4"/>
    <mergeCell ref="C1:K1"/>
    <mergeCell ref="Q1:U1"/>
    <mergeCell ref="C2:C4"/>
    <mergeCell ref="D2:D4"/>
    <mergeCell ref="M2:M4"/>
    <mergeCell ref="T3:T4"/>
    <mergeCell ref="E2:E4"/>
    <mergeCell ref="F2:F4"/>
    <mergeCell ref="G2:G4"/>
    <mergeCell ref="H2:H4"/>
    <mergeCell ref="I2:I4"/>
    <mergeCell ref="J2:J4"/>
    <mergeCell ref="K2:K4"/>
    <mergeCell ref="L2:L4"/>
    <mergeCell ref="Q2:Q4"/>
    <mergeCell ref="R2:R4"/>
    <mergeCell ref="S2:T2"/>
    <mergeCell ref="U2:U4"/>
    <mergeCell ref="V2:V4"/>
    <mergeCell ref="W2:W4"/>
    <mergeCell ref="X2:X4"/>
    <mergeCell ref="N3:N4"/>
    <mergeCell ref="O3:O4"/>
  </mergeCells>
  <hyperlinks>
    <hyperlink r:id="rId2" ref="F125"/>
    <hyperlink r:id="rId3" ref="F281"/>
    <hyperlink r:id="rId4" ref="F489"/>
    <hyperlink r:id="rId5" ref="F496"/>
  </hyperlinks>
  <drawing r:id="rId6"/>
  <legacy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10.0"/>
    <col customWidth="1" min="3" max="3" width="4.29"/>
    <col customWidth="1" min="4" max="4" width="7.43"/>
    <col customWidth="1" min="5" max="5" width="11.43"/>
    <col customWidth="1" min="6" max="6" width="7.43"/>
    <col customWidth="1" min="7" max="7" width="7.0"/>
    <col customWidth="1" min="8" max="10" width="11.29"/>
    <col customWidth="1" min="11" max="11" width="20.0"/>
    <col customWidth="1" min="12" max="13" width="10.71"/>
    <col customWidth="1" min="14" max="16" width="12.0"/>
    <col customWidth="1" min="17" max="18" width="13.43"/>
    <col customWidth="1" min="19" max="19" width="29.29"/>
    <col customWidth="1" min="20" max="20" width="8.29"/>
    <col customWidth="1" min="21" max="21" width="8.57"/>
    <col customWidth="1" min="22" max="22" width="10.71"/>
    <col customWidth="1" min="23" max="24" width="8.14"/>
    <col customWidth="1" min="25" max="26" width="9.86"/>
    <col customWidth="1" min="27" max="28" width="12.14"/>
  </cols>
  <sheetData>
    <row r="1">
      <c r="A1" s="143" t="s">
        <v>0</v>
      </c>
      <c r="B1" s="1" t="s">
        <v>1</v>
      </c>
      <c r="C1" s="2" t="s">
        <v>2</v>
      </c>
      <c r="D1" s="3"/>
      <c r="E1" s="3"/>
      <c r="F1" s="3"/>
      <c r="G1" s="3"/>
      <c r="H1" s="3"/>
      <c r="I1" s="3"/>
      <c r="J1" s="3"/>
      <c r="K1" s="4"/>
      <c r="L1" s="5" t="s">
        <v>3</v>
      </c>
      <c r="M1" s="3"/>
      <c r="N1" s="3"/>
      <c r="O1" s="3"/>
      <c r="P1" s="3"/>
      <c r="Q1" s="6" t="s">
        <v>4</v>
      </c>
      <c r="R1" s="3"/>
      <c r="S1" s="3"/>
      <c r="T1" s="3"/>
      <c r="U1" s="4"/>
      <c r="V1" s="7" t="s">
        <v>5</v>
      </c>
      <c r="W1" s="144" t="s">
        <v>6</v>
      </c>
      <c r="X1" s="3"/>
      <c r="Y1" s="4"/>
      <c r="Z1" s="9"/>
      <c r="AA1" s="9"/>
      <c r="AB1" s="9"/>
      <c r="AC1" s="9"/>
      <c r="AD1" s="9"/>
      <c r="AE1" s="9"/>
      <c r="AF1" s="9"/>
    </row>
    <row r="2">
      <c r="B2" s="10"/>
      <c r="C2" s="11" t="s">
        <v>7</v>
      </c>
      <c r="D2" s="11" t="s">
        <v>8</v>
      </c>
      <c r="E2" s="11" t="s">
        <v>9</v>
      </c>
      <c r="F2" s="11" t="s">
        <v>10</v>
      </c>
      <c r="G2" s="11" t="s">
        <v>11</v>
      </c>
      <c r="H2" s="11" t="s">
        <v>12</v>
      </c>
      <c r="I2" s="11" t="s">
        <v>13</v>
      </c>
      <c r="J2" s="11" t="s">
        <v>14</v>
      </c>
      <c r="K2" s="11" t="s">
        <v>15</v>
      </c>
      <c r="L2" s="12" t="s">
        <v>16</v>
      </c>
      <c r="M2" s="13" t="s">
        <v>17</v>
      </c>
      <c r="N2" s="5" t="s">
        <v>18</v>
      </c>
      <c r="O2" s="3"/>
      <c r="P2" s="4"/>
      <c r="Q2" s="14" t="s">
        <v>19</v>
      </c>
      <c r="R2" s="14" t="s">
        <v>20</v>
      </c>
      <c r="S2" s="147" t="s">
        <v>21</v>
      </c>
      <c r="T2" s="4"/>
      <c r="U2" s="149" t="s">
        <v>22</v>
      </c>
      <c r="V2" s="16" t="s">
        <v>23</v>
      </c>
      <c r="W2" s="17" t="s">
        <v>24</v>
      </c>
      <c r="X2" s="17" t="s">
        <v>25</v>
      </c>
      <c r="Y2" s="266" t="s">
        <v>26</v>
      </c>
      <c r="Z2" s="9"/>
      <c r="AA2" s="9"/>
      <c r="AB2" s="9"/>
      <c r="AC2" s="9"/>
      <c r="AD2" s="9"/>
      <c r="AE2" s="9"/>
      <c r="AF2" s="9"/>
    </row>
    <row r="3" ht="9.75" customHeight="1">
      <c r="B3" s="10"/>
      <c r="C3" s="10"/>
      <c r="D3" s="10"/>
      <c r="E3" s="10"/>
      <c r="F3" s="10"/>
      <c r="G3" s="10"/>
      <c r="H3" s="10"/>
      <c r="I3" s="10"/>
      <c r="J3" s="10"/>
      <c r="K3" s="10"/>
      <c r="L3" s="10"/>
      <c r="M3" s="18"/>
      <c r="N3" s="19" t="s">
        <v>27</v>
      </c>
      <c r="O3" s="20" t="s">
        <v>28</v>
      </c>
      <c r="P3" s="12" t="s">
        <v>29</v>
      </c>
      <c r="Q3" s="10"/>
      <c r="R3" s="10"/>
      <c r="S3" s="149" t="s">
        <v>30</v>
      </c>
      <c r="T3" s="21" t="s">
        <v>31</v>
      </c>
      <c r="U3" s="10"/>
      <c r="V3" s="10"/>
      <c r="W3" s="10"/>
      <c r="X3" s="10"/>
      <c r="Y3" s="10"/>
      <c r="Z3" s="9"/>
      <c r="AA3" s="9"/>
      <c r="AB3" s="9"/>
      <c r="AC3" s="9"/>
      <c r="AD3" s="9"/>
      <c r="AE3" s="9"/>
      <c r="AF3" s="9"/>
    </row>
    <row r="4">
      <c r="B4" s="22"/>
      <c r="C4" s="22"/>
      <c r="D4" s="22"/>
      <c r="E4" s="22"/>
      <c r="F4" s="22"/>
      <c r="G4" s="22"/>
      <c r="H4" s="22"/>
      <c r="I4" s="22"/>
      <c r="J4" s="22"/>
      <c r="K4" s="22"/>
      <c r="L4" s="22"/>
      <c r="M4" s="23"/>
      <c r="N4" s="22"/>
      <c r="O4" s="22"/>
      <c r="P4" s="22"/>
      <c r="Q4" s="22"/>
      <c r="R4" s="22"/>
      <c r="S4" s="22"/>
      <c r="T4" s="18"/>
      <c r="U4" s="22"/>
      <c r="V4" s="22"/>
      <c r="W4" s="22"/>
      <c r="X4" s="22"/>
      <c r="Y4" s="22"/>
      <c r="Z4" s="9"/>
      <c r="AA4" s="9"/>
      <c r="AB4" s="9"/>
      <c r="AC4" s="9"/>
      <c r="AD4" s="9"/>
      <c r="AE4" s="9"/>
      <c r="AF4" s="9"/>
    </row>
    <row r="5">
      <c r="B5" s="143"/>
      <c r="C5" s="87"/>
      <c r="D5" s="87"/>
      <c r="E5" s="87"/>
      <c r="F5" s="87"/>
      <c r="G5" s="87"/>
      <c r="H5" s="87"/>
      <c r="I5" s="87"/>
      <c r="J5" s="87"/>
      <c r="K5" s="87"/>
      <c r="L5" s="89"/>
      <c r="M5" s="330"/>
      <c r="N5" s="331"/>
      <c r="O5" s="94"/>
      <c r="P5" s="89"/>
      <c r="Q5" s="332"/>
      <c r="R5" s="332"/>
      <c r="S5" s="333"/>
      <c r="T5" s="21"/>
      <c r="U5" s="333"/>
      <c r="V5" s="7"/>
      <c r="W5" s="334"/>
      <c r="X5" s="334"/>
      <c r="Y5" s="335"/>
      <c r="Z5" s="9"/>
      <c r="AA5" s="9"/>
      <c r="AB5" s="9"/>
      <c r="AC5" s="9"/>
      <c r="AD5" s="9"/>
      <c r="AE5" s="9"/>
      <c r="AF5" s="9"/>
    </row>
    <row r="6">
      <c r="A6" s="336">
        <v>2.0</v>
      </c>
      <c r="B6" s="337" t="s">
        <v>4042</v>
      </c>
      <c r="C6" s="47">
        <v>1.0</v>
      </c>
      <c r="D6" s="47">
        <v>1.0</v>
      </c>
      <c r="E6" s="280">
        <v>43497.0</v>
      </c>
      <c r="F6" s="156" t="str">
        <f>HYPERLINK("https://news.detik.com/berita-jawa-tengah/d-4367945/menristekdikti-dukung-pembukaan-prodi-kebencanaaan-di-universitas ","sumber")</f>
        <v>sumber</v>
      </c>
      <c r="G6" s="47" t="s">
        <v>33</v>
      </c>
      <c r="H6" s="47">
        <v>255.0</v>
      </c>
      <c r="I6" s="47"/>
      <c r="J6" s="47">
        <v>4.0</v>
      </c>
      <c r="K6" s="157"/>
      <c r="L6" s="47"/>
      <c r="M6" s="47"/>
      <c r="N6" s="47"/>
      <c r="O6" s="47"/>
      <c r="P6" s="47"/>
      <c r="Q6" s="47"/>
      <c r="R6" s="47"/>
      <c r="S6" s="157"/>
      <c r="T6" s="47"/>
      <c r="U6" s="47"/>
      <c r="V6" s="47"/>
      <c r="W6" s="47"/>
      <c r="X6" s="48"/>
      <c r="Y6" s="48"/>
      <c r="Z6" s="338"/>
      <c r="AA6" s="43"/>
      <c r="AB6" s="51"/>
      <c r="AC6" s="51"/>
      <c r="AD6" s="51"/>
      <c r="AE6" s="51"/>
      <c r="AF6" s="51"/>
    </row>
    <row r="7">
      <c r="A7" s="43">
        <v>2.0</v>
      </c>
      <c r="B7" s="47" t="s">
        <v>4043</v>
      </c>
      <c r="C7" s="47">
        <v>2.0</v>
      </c>
      <c r="D7" s="47">
        <v>2.0</v>
      </c>
      <c r="E7" s="280">
        <v>43525.0</v>
      </c>
      <c r="F7" s="156" t="str">
        <f>HYPERLINK("https://www.cnnindonesia.com/internasional/20190103141936-113-358215/penikaman-di-pusat-sekte-scientology-sydney-satu-orang-tewas","sumber")</f>
        <v>sumber</v>
      </c>
      <c r="G7" s="156" t="str">
        <f>HYPERLINK("https://drive.google.com/file/d/1HuvumzN5QmCvXheDZlQTAuue3FmByx-N/view?usp=sharing","lokasi")</f>
        <v>lokasi</v>
      </c>
      <c r="H7" s="47">
        <v>181.0</v>
      </c>
      <c r="I7" s="47">
        <v>1.0</v>
      </c>
      <c r="J7" s="47">
        <v>4.0</v>
      </c>
      <c r="K7" s="157" t="s">
        <v>4044</v>
      </c>
      <c r="L7" s="47">
        <v>0.0</v>
      </c>
      <c r="M7" s="47">
        <v>-1.0</v>
      </c>
      <c r="N7" s="47">
        <v>0.0</v>
      </c>
      <c r="O7" s="47">
        <v>0.0</v>
      </c>
      <c r="P7" s="47">
        <v>0.0</v>
      </c>
      <c r="Q7" s="47">
        <v>0.0</v>
      </c>
      <c r="R7" s="47">
        <v>0.0</v>
      </c>
      <c r="S7" s="165"/>
      <c r="T7" s="47">
        <v>0.0</v>
      </c>
      <c r="U7" s="47">
        <v>0.0</v>
      </c>
      <c r="V7" s="47">
        <v>1.0</v>
      </c>
      <c r="W7" s="48"/>
      <c r="X7" s="48"/>
      <c r="Y7" s="48"/>
      <c r="Z7" s="338"/>
      <c r="AA7" s="43"/>
      <c r="AB7" s="51"/>
      <c r="AC7" s="51"/>
      <c r="AD7" s="51"/>
      <c r="AE7" s="51"/>
      <c r="AF7" s="51"/>
    </row>
    <row r="8">
      <c r="A8" s="231">
        <v>1.0</v>
      </c>
      <c r="B8" s="44" t="s">
        <v>4045</v>
      </c>
      <c r="C8" s="44">
        <v>3.0</v>
      </c>
      <c r="D8" s="44">
        <v>5.0</v>
      </c>
      <c r="E8" s="44" t="s">
        <v>449</v>
      </c>
      <c r="F8" s="162" t="str">
        <f>HYPERLINK("https://tirto.id/yang-terjadi-di-balik-pembubaran-diskusi-buku-ahmadiyah-bandung-dd9e","sumber")</f>
        <v>sumber</v>
      </c>
      <c r="G8" s="162" t="str">
        <f>HYPERLINK("https://drive.google.com/file/d/1fpaLacwh1LRQp7gTBCC8YqoJQ1EcPtc_/view?usp=sharing","lokasi")</f>
        <v>lokasi</v>
      </c>
      <c r="H8" s="44">
        <v>1165.0</v>
      </c>
      <c r="I8" s="44">
        <v>1.0</v>
      </c>
      <c r="J8" s="44">
        <v>4.0</v>
      </c>
      <c r="K8" s="164" t="s">
        <v>4046</v>
      </c>
      <c r="L8" s="44">
        <v>0.0</v>
      </c>
      <c r="M8" s="44">
        <v>1.0</v>
      </c>
      <c r="N8" s="44">
        <v>0.0</v>
      </c>
      <c r="O8" s="44">
        <v>0.0</v>
      </c>
      <c r="P8" s="44">
        <v>0.0</v>
      </c>
      <c r="Q8" s="44" t="s">
        <v>3811</v>
      </c>
      <c r="R8" s="44" t="s">
        <v>1058</v>
      </c>
      <c r="S8" s="164"/>
      <c r="T8" s="44">
        <v>0.0</v>
      </c>
      <c r="U8" s="44">
        <v>0.0</v>
      </c>
      <c r="V8" s="44">
        <v>1.0</v>
      </c>
      <c r="W8" s="45"/>
      <c r="X8" s="45"/>
      <c r="Y8" s="45"/>
      <c r="Z8" s="9"/>
      <c r="AA8" s="9"/>
      <c r="AB8" s="9"/>
      <c r="AC8" s="9"/>
      <c r="AD8" s="9"/>
      <c r="AE8" s="9"/>
      <c r="AF8" s="9"/>
    </row>
    <row r="9">
      <c r="A9" s="339">
        <v>1.0</v>
      </c>
      <c r="B9" s="340" t="s">
        <v>2904</v>
      </c>
      <c r="C9" s="44">
        <v>4.0</v>
      </c>
      <c r="D9" s="44">
        <v>7.0</v>
      </c>
      <c r="E9" s="44" t="s">
        <v>2893</v>
      </c>
      <c r="F9" s="162" t="str">
        <f>HYPERLINK("https://www.tribunnews.com/nasional/2019/01/20/respon-rencana-pembebasan-baasyir-icjr-minta-pemerintah-tinjau-ulang-hukuman-mati?page=all","sumber")</f>
        <v>sumber</v>
      </c>
      <c r="G9" s="162" t="str">
        <f>HYPERLINK("https://drive.google.com/open?id=1FTcUDzebKiSlxpOJzc7-qdfkZfdD2CYb","lokasi")</f>
        <v>lokasi</v>
      </c>
      <c r="H9" s="44">
        <v>297.0</v>
      </c>
      <c r="I9" s="44">
        <v>4.0</v>
      </c>
      <c r="J9" s="44">
        <v>4.0</v>
      </c>
      <c r="K9" s="164" t="s">
        <v>4047</v>
      </c>
      <c r="L9" s="44">
        <v>0.0</v>
      </c>
      <c r="M9" s="44">
        <v>0.0</v>
      </c>
      <c r="N9" s="44">
        <v>0.0</v>
      </c>
      <c r="O9" s="44">
        <v>0.0</v>
      </c>
      <c r="P9" s="44">
        <v>0.0</v>
      </c>
      <c r="Q9" s="44">
        <v>0.0</v>
      </c>
      <c r="R9" s="44">
        <v>1.0</v>
      </c>
      <c r="S9" s="175"/>
      <c r="T9" s="44">
        <v>0.0</v>
      </c>
      <c r="U9" s="44">
        <v>0.0</v>
      </c>
      <c r="V9" s="44">
        <v>1.0</v>
      </c>
      <c r="W9" s="45"/>
      <c r="X9" s="45"/>
      <c r="Y9" s="45"/>
      <c r="Z9" s="9"/>
      <c r="AA9" s="9"/>
      <c r="AB9" s="9"/>
      <c r="AC9" s="9"/>
      <c r="AD9" s="9"/>
      <c r="AE9" s="9"/>
      <c r="AF9" s="9"/>
    </row>
    <row r="10">
      <c r="A10" s="167">
        <v>1.0</v>
      </c>
      <c r="B10" s="341" t="s">
        <v>1101</v>
      </c>
      <c r="C10" s="55">
        <v>5.0</v>
      </c>
      <c r="D10" s="55">
        <v>10.0</v>
      </c>
      <c r="E10" s="55" t="s">
        <v>4048</v>
      </c>
      <c r="F10" s="171" t="str">
        <f>HYPERLINK("https://pemilu.tempo.co/read/1164057/kontras-sebut-debat-capres-mirip-pemilihan-ketua-osis","sumber")</f>
        <v>sumber</v>
      </c>
      <c r="G10" s="171" t="str">
        <f>HYPERLINK("https://drive.google.com/open?id=1CQaZ7baW0Gu40N5DDPd7U6XLOMIwqyjf","lokasi")</f>
        <v>lokasi</v>
      </c>
      <c r="H10" s="55">
        <v>409.0</v>
      </c>
      <c r="I10" s="55">
        <v>1.0</v>
      </c>
      <c r="J10" s="55">
        <v>4.0</v>
      </c>
      <c r="K10" s="172" t="s">
        <v>4049</v>
      </c>
      <c r="L10" s="55">
        <v>0.0</v>
      </c>
      <c r="M10" s="188">
        <v>0.0</v>
      </c>
      <c r="N10" s="55">
        <v>0.0</v>
      </c>
      <c r="O10" s="55">
        <v>0.0</v>
      </c>
      <c r="P10" s="55">
        <v>0.0</v>
      </c>
      <c r="Q10" s="55" t="s">
        <v>53</v>
      </c>
      <c r="R10" s="55" t="s">
        <v>242</v>
      </c>
      <c r="S10" s="174"/>
      <c r="T10" s="55">
        <v>0.0</v>
      </c>
      <c r="U10" s="55">
        <v>0.0</v>
      </c>
      <c r="V10" s="55">
        <v>1.0</v>
      </c>
      <c r="W10" s="46"/>
      <c r="X10" s="46"/>
      <c r="Y10" s="46"/>
      <c r="Z10" s="302"/>
      <c r="AA10" s="30"/>
      <c r="AB10" s="31"/>
      <c r="AC10" s="31"/>
      <c r="AD10" s="31"/>
      <c r="AE10" s="31"/>
      <c r="AF10" s="31"/>
    </row>
    <row r="11">
      <c r="A11" s="339">
        <v>1.0</v>
      </c>
      <c r="B11" s="340" t="s">
        <v>4050</v>
      </c>
      <c r="C11" s="44">
        <v>6.0</v>
      </c>
      <c r="D11" s="44">
        <v>10.0</v>
      </c>
      <c r="E11" s="44" t="s">
        <v>87</v>
      </c>
      <c r="F11" s="162" t="str">
        <f>HYPERLINK("https://metro.tempo.co/read/1169016/beberkan-korban-lain-serupa-ahok-ini-ajakan-dan-desakan-kontras/full&amp;view=ok","sumber")</f>
        <v>sumber</v>
      </c>
      <c r="G11" s="162" t="str">
        <f>HYPERLINK("https://drive.google.com/open?id=1RyKTaZg_fF-gUnonj9yTvm8L-1yisgXq","lokasi")</f>
        <v>lokasi</v>
      </c>
      <c r="H11" s="44">
        <v>345.0</v>
      </c>
      <c r="I11" s="44">
        <v>4.0</v>
      </c>
      <c r="J11" s="44">
        <v>4.0</v>
      </c>
      <c r="K11" s="164" t="s">
        <v>4051</v>
      </c>
      <c r="L11" s="44">
        <v>0.0</v>
      </c>
      <c r="M11" s="44">
        <v>0.0</v>
      </c>
      <c r="N11" s="44">
        <v>0.0</v>
      </c>
      <c r="O11" s="44">
        <v>0.0</v>
      </c>
      <c r="P11" s="44">
        <v>0.0</v>
      </c>
      <c r="Q11" s="44">
        <v>0.0</v>
      </c>
      <c r="R11" s="44">
        <v>1.0</v>
      </c>
      <c r="S11" s="164"/>
      <c r="T11" s="44">
        <v>0.0</v>
      </c>
      <c r="U11" s="44">
        <v>0.0</v>
      </c>
      <c r="V11" s="44">
        <v>1.0</v>
      </c>
      <c r="W11" s="45"/>
      <c r="X11" s="45"/>
      <c r="Y11" s="45"/>
      <c r="Z11" s="9"/>
      <c r="AA11" s="9"/>
      <c r="AB11" s="9"/>
      <c r="AC11" s="9"/>
      <c r="AD11" s="9"/>
      <c r="AE11" s="9"/>
      <c r="AF11" s="9"/>
    </row>
    <row r="12">
      <c r="A12" s="339">
        <v>1.0</v>
      </c>
      <c r="B12" s="340" t="s">
        <v>4052</v>
      </c>
      <c r="C12" s="44">
        <v>7.0</v>
      </c>
      <c r="D12" s="44">
        <v>6.0</v>
      </c>
      <c r="E12" s="268">
        <v>43801.0</v>
      </c>
      <c r="F12" s="162" t="str">
        <f>HYPERLINK("https://internasional.kompas.com/read/2019/02/12/09491031/dibebaskan-thailand-pesepak-bola-bahrain-pulang-ke-melbourne","sumber")</f>
        <v>sumber</v>
      </c>
      <c r="G12" s="162" t="str">
        <f>HYPERLINK("https://drive.google.com/open?id=1THep2JyjU-uOqreu_f_avm0SnAcTEaxY","lokasi")</f>
        <v>lokasi</v>
      </c>
      <c r="H12" s="44">
        <v>379.0</v>
      </c>
      <c r="I12" s="44">
        <v>4.0</v>
      </c>
      <c r="J12" s="44">
        <v>4.0</v>
      </c>
      <c r="K12" s="164" t="s">
        <v>4053</v>
      </c>
      <c r="L12" s="44">
        <v>0.0</v>
      </c>
      <c r="M12" s="44">
        <v>0.0</v>
      </c>
      <c r="N12" s="44">
        <v>0.0</v>
      </c>
      <c r="O12" s="44">
        <v>0.0</v>
      </c>
      <c r="P12" s="44">
        <v>0.0</v>
      </c>
      <c r="Q12" s="44">
        <v>0.0</v>
      </c>
      <c r="R12" s="44">
        <v>0.0</v>
      </c>
      <c r="S12" s="164" t="s">
        <v>4054</v>
      </c>
      <c r="T12" s="44">
        <v>2.0</v>
      </c>
      <c r="U12" s="44">
        <v>0.0</v>
      </c>
      <c r="V12" s="44">
        <v>1.0</v>
      </c>
      <c r="W12" s="45"/>
      <c r="X12" s="45"/>
      <c r="Y12" s="45"/>
      <c r="Z12" s="9"/>
      <c r="AA12" s="9"/>
      <c r="AB12" s="9"/>
      <c r="AC12" s="9"/>
      <c r="AD12" s="9"/>
      <c r="AE12" s="9"/>
      <c r="AF12" s="9"/>
    </row>
    <row r="13">
      <c r="A13" s="252">
        <v>1.0</v>
      </c>
      <c r="B13" s="55" t="s">
        <v>4055</v>
      </c>
      <c r="C13" s="55">
        <v>8.0</v>
      </c>
      <c r="D13" s="55">
        <v>7.0</v>
      </c>
      <c r="E13" s="55" t="s">
        <v>2339</v>
      </c>
      <c r="F13" s="171" t="str">
        <f>HYPERLINK("http://www.tribunnews.com/nasional/2019/02/28/dirjen-dukcapil-bantah-isu-kolom-agama-pada-ktp-el-dihapus","sumber")</f>
        <v>sumber</v>
      </c>
      <c r="G13" s="171" t="str">
        <f>HYPERLINK("https://drive.google.com/open?id=1lMUTR6iJsXonOHPsqhsAdhTbj4avwlkr","lokasi")</f>
        <v>lokasi</v>
      </c>
      <c r="H13" s="55">
        <v>300.0</v>
      </c>
      <c r="I13" s="55">
        <v>3.0</v>
      </c>
      <c r="J13" s="55">
        <v>4.0</v>
      </c>
      <c r="K13" s="172" t="s">
        <v>4056</v>
      </c>
      <c r="L13" s="55">
        <v>0.0</v>
      </c>
      <c r="M13" s="55">
        <v>0.0</v>
      </c>
      <c r="N13" s="55">
        <v>0.0</v>
      </c>
      <c r="O13" s="55">
        <v>0.0</v>
      </c>
      <c r="P13" s="55">
        <v>0.0</v>
      </c>
      <c r="Q13" s="55">
        <v>0.0</v>
      </c>
      <c r="R13" s="55">
        <v>1.0</v>
      </c>
      <c r="S13" s="174"/>
      <c r="T13" s="55">
        <v>0.0</v>
      </c>
      <c r="U13" s="55">
        <v>0.0</v>
      </c>
      <c r="V13" s="55">
        <v>1.0</v>
      </c>
      <c r="W13" s="46"/>
      <c r="X13" s="46"/>
      <c r="Y13" s="46"/>
      <c r="Z13" s="302"/>
      <c r="AA13" s="30"/>
      <c r="AB13" s="31"/>
      <c r="AC13" s="31"/>
      <c r="AD13" s="31"/>
      <c r="AE13" s="31"/>
      <c r="AF13" s="31"/>
    </row>
    <row r="14">
      <c r="A14" s="231">
        <v>1.0</v>
      </c>
      <c r="B14" s="44" t="s">
        <v>4057</v>
      </c>
      <c r="C14" s="44">
        <v>9.0</v>
      </c>
      <c r="D14" s="44">
        <v>5.0</v>
      </c>
      <c r="E14" s="44" t="s">
        <v>2002</v>
      </c>
      <c r="F14" s="162" t="str">
        <f>HYPERLINK("https://tirto.id/penghayat-kepercayaan-di-jawa-barat-dapat-status-baru-di-kolom-ktp-dhBf ","sumber")</f>
        <v>sumber</v>
      </c>
      <c r="G14" s="162" t="str">
        <f>HYPERLINK("https://drive.google.com/open?id=1eBgcxyTsMrCqI33GNPfuIo4DNvI65mjj","lokasi")</f>
        <v>lokasi</v>
      </c>
      <c r="H14" s="44">
        <v>379.0</v>
      </c>
      <c r="I14" s="44">
        <v>2.0</v>
      </c>
      <c r="J14" s="44">
        <v>4.0</v>
      </c>
      <c r="K14" s="164" t="s">
        <v>4058</v>
      </c>
      <c r="L14" s="44">
        <v>0.0</v>
      </c>
      <c r="M14" s="44">
        <v>0.0</v>
      </c>
      <c r="N14" s="44">
        <v>0.0</v>
      </c>
      <c r="O14" s="44">
        <v>0.0</v>
      </c>
      <c r="P14" s="44">
        <v>0.0</v>
      </c>
      <c r="Q14" s="44">
        <v>1.0</v>
      </c>
      <c r="R14" s="44">
        <v>1.0</v>
      </c>
      <c r="S14" s="175"/>
      <c r="T14" s="44">
        <v>0.0</v>
      </c>
      <c r="U14" s="44">
        <v>0.0</v>
      </c>
      <c r="V14" s="44">
        <v>1.0</v>
      </c>
      <c r="W14" s="45"/>
      <c r="X14" s="45"/>
      <c r="Y14" s="45"/>
      <c r="Z14" s="9"/>
      <c r="AA14" s="9"/>
      <c r="AB14" s="9"/>
      <c r="AC14" s="9"/>
      <c r="AD14" s="9"/>
      <c r="AE14" s="9"/>
      <c r="AF14" s="9"/>
    </row>
    <row r="15">
      <c r="A15" s="339">
        <v>1.0</v>
      </c>
      <c r="B15" s="340" t="s">
        <v>4059</v>
      </c>
      <c r="C15" s="44">
        <v>10.0</v>
      </c>
      <c r="D15" s="44">
        <v>1.0</v>
      </c>
      <c r="E15" s="44" t="s">
        <v>496</v>
      </c>
      <c r="F15" s="162" t="str">
        <f>HYPERLINK("https://news.detik.com/berita/d-4442673/hore-puluhan-ribu-penghayat-di-sulsel-bisa-tulis-di-kolom-agama-ktp ","sumber")</f>
        <v>sumber</v>
      </c>
      <c r="G15" s="162" t="str">
        <f>HYPERLINK("https://drive.google.com/open?id=12d8J7_VFrTXRj1JHc7HJuT4NnhUfkV0a","lokasi")</f>
        <v>lokasi</v>
      </c>
      <c r="H15" s="44">
        <v>250.0</v>
      </c>
      <c r="I15" s="44">
        <v>4.0</v>
      </c>
      <c r="J15" s="44">
        <v>4.0</v>
      </c>
      <c r="K15" s="164" t="s">
        <v>4060</v>
      </c>
      <c r="L15" s="44">
        <v>0.0</v>
      </c>
      <c r="M15" s="44">
        <v>0.0</v>
      </c>
      <c r="N15" s="44">
        <v>0.0</v>
      </c>
      <c r="O15" s="44">
        <v>0.0</v>
      </c>
      <c r="P15" s="44">
        <v>-1.0</v>
      </c>
      <c r="Q15" s="44">
        <v>0.0</v>
      </c>
      <c r="R15" s="44">
        <v>1.0</v>
      </c>
      <c r="S15" s="175"/>
      <c r="T15" s="44">
        <v>0.0</v>
      </c>
      <c r="U15" s="44">
        <v>0.0</v>
      </c>
      <c r="V15" s="44">
        <v>1.0</v>
      </c>
      <c r="W15" s="45"/>
      <c r="X15" s="45"/>
      <c r="Y15" s="45"/>
      <c r="Z15" s="9"/>
      <c r="AA15" s="9"/>
      <c r="AB15" s="9"/>
      <c r="AC15" s="9"/>
      <c r="AD15" s="9"/>
      <c r="AE15" s="9"/>
      <c r="AF15" s="9"/>
    </row>
    <row r="16">
      <c r="A16" s="339">
        <v>1.0</v>
      </c>
      <c r="B16" s="340" t="s">
        <v>4061</v>
      </c>
      <c r="C16" s="44">
        <v>11.0</v>
      </c>
      <c r="D16" s="44">
        <v>4.0</v>
      </c>
      <c r="E16" s="44" t="s">
        <v>496</v>
      </c>
      <c r="F16" s="162" t="str">
        <f>HYPERLINK("https://www.liputan6.com/regional/read/3903408/begini-alur-mengubah-kolom-agama-jadi-kepercayaan-di-e-ktp ","sumber")</f>
        <v>sumber</v>
      </c>
      <c r="G16" s="162" t="str">
        <f>HYPERLINK("https://drive.google.com/open?id=1S1bdU7j9vHJruk8YydCU6mcE2xjuto9U","lokasi")</f>
        <v>lokasi</v>
      </c>
      <c r="H16" s="44">
        <v>346.0</v>
      </c>
      <c r="I16" s="44">
        <v>4.0</v>
      </c>
      <c r="J16" s="44">
        <v>4.0</v>
      </c>
      <c r="K16" s="164" t="s">
        <v>4062</v>
      </c>
      <c r="L16" s="44">
        <v>0.0</v>
      </c>
      <c r="M16" s="44">
        <v>0.0</v>
      </c>
      <c r="N16" s="44">
        <v>0.0</v>
      </c>
      <c r="O16" s="44">
        <v>0.0</v>
      </c>
      <c r="P16" s="44">
        <v>0.0</v>
      </c>
      <c r="Q16" s="44">
        <v>0.0</v>
      </c>
      <c r="R16" s="44">
        <v>0.0</v>
      </c>
      <c r="S16" s="175"/>
      <c r="T16" s="44">
        <v>0.0</v>
      </c>
      <c r="U16" s="44">
        <v>0.0</v>
      </c>
      <c r="V16" s="44">
        <v>1.0</v>
      </c>
      <c r="W16" s="45"/>
      <c r="X16" s="45"/>
      <c r="Y16" s="45"/>
      <c r="Z16" s="9"/>
      <c r="AA16" s="9"/>
      <c r="AB16" s="9"/>
      <c r="AC16" s="9"/>
      <c r="AD16" s="9"/>
      <c r="AE16" s="9"/>
      <c r="AF16" s="9"/>
    </row>
    <row r="17">
      <c r="A17" s="231">
        <v>1.0</v>
      </c>
      <c r="B17" s="44" t="s">
        <v>2004</v>
      </c>
      <c r="C17" s="44">
        <v>12.0</v>
      </c>
      <c r="D17" s="44">
        <v>3.0</v>
      </c>
      <c r="E17" s="44" t="s">
        <v>496</v>
      </c>
      <c r="F17" s="162" t="str">
        <f>HYPERLINK("https://nasional.okezone.com/read/2019/02/25/337/2022651/kolom-penghayat-kepercayaan-di-e-ktp-dukcapil-laksanakan-amanat-mk","sumber")</f>
        <v>sumber</v>
      </c>
      <c r="G17" s="162" t="str">
        <f>HYPERLINK("https://drive.google.com/open?id=1T3rZpRK6mAR6bq7prxBNVtnMtOATUgMq","lokasi")</f>
        <v>lokasi</v>
      </c>
      <c r="H17" s="44">
        <v>355.0</v>
      </c>
      <c r="I17" s="44">
        <v>4.0</v>
      </c>
      <c r="J17" s="44">
        <v>4.0</v>
      </c>
      <c r="K17" s="164" t="s">
        <v>4063</v>
      </c>
      <c r="L17" s="44">
        <v>0.0</v>
      </c>
      <c r="M17" s="44">
        <v>0.0</v>
      </c>
      <c r="N17" s="44">
        <v>0.0</v>
      </c>
      <c r="O17" s="44">
        <v>0.0</v>
      </c>
      <c r="P17" s="44">
        <v>0.0</v>
      </c>
      <c r="Q17" s="44">
        <v>0.0</v>
      </c>
      <c r="R17" s="44">
        <v>1.0</v>
      </c>
      <c r="S17" s="175"/>
      <c r="T17" s="44">
        <v>0.0</v>
      </c>
      <c r="U17" s="44">
        <v>0.0</v>
      </c>
      <c r="V17" s="44">
        <v>1.0</v>
      </c>
      <c r="W17" s="45"/>
      <c r="X17" s="45"/>
      <c r="Y17" s="45"/>
      <c r="Z17" s="9"/>
      <c r="AA17" s="9"/>
      <c r="AB17" s="9"/>
      <c r="AC17" s="9"/>
      <c r="AD17" s="9"/>
      <c r="AE17" s="9"/>
      <c r="AF17" s="9"/>
    </row>
    <row r="18">
      <c r="A18" s="231">
        <v>1.0</v>
      </c>
      <c r="B18" s="44" t="s">
        <v>4064</v>
      </c>
      <c r="C18" s="44">
        <v>13.0</v>
      </c>
      <c r="D18" s="44">
        <v>5.0</v>
      </c>
      <c r="E18" s="44" t="s">
        <v>357</v>
      </c>
      <c r="F18" s="162" t="str">
        <f>HYPERLINK("https://tirto.id/kolom-agama-ktp-penghayat-dirjen-dukcapil-kami-ikuti-putusan-mk-dhNy","sumber")</f>
        <v>sumber</v>
      </c>
      <c r="G18" s="162" t="str">
        <f>HYPERLINK("https://drive.google.com/open?id=1NFTcLyJmqx4_8pG9WqYmmfJqfc4_dep4","lokasi")</f>
        <v>lokasi</v>
      </c>
      <c r="H18" s="44">
        <v>352.0</v>
      </c>
      <c r="I18" s="44">
        <v>1.0</v>
      </c>
      <c r="J18" s="44">
        <v>4.0</v>
      </c>
      <c r="K18" s="164" t="s">
        <v>4065</v>
      </c>
      <c r="L18" s="44">
        <v>0.0</v>
      </c>
      <c r="M18" s="44">
        <v>1.0</v>
      </c>
      <c r="N18" s="44">
        <v>0.0</v>
      </c>
      <c r="O18" s="44">
        <v>0.0</v>
      </c>
      <c r="P18" s="44">
        <v>0.0</v>
      </c>
      <c r="Q18" s="44">
        <v>0.0</v>
      </c>
      <c r="R18" s="44">
        <v>1.0</v>
      </c>
      <c r="S18" s="175"/>
      <c r="T18" s="44">
        <v>0.0</v>
      </c>
      <c r="U18" s="44">
        <v>0.0</v>
      </c>
      <c r="V18" s="44">
        <v>1.0</v>
      </c>
      <c r="W18" s="45"/>
      <c r="X18" s="45"/>
      <c r="Y18" s="45"/>
      <c r="Z18" s="9"/>
      <c r="AA18" s="9"/>
      <c r="AB18" s="9"/>
      <c r="AC18" s="9"/>
      <c r="AD18" s="9"/>
      <c r="AE18" s="9"/>
      <c r="AF18" s="9"/>
    </row>
    <row r="19">
      <c r="A19" s="231">
        <v>1.0</v>
      </c>
      <c r="B19" s="44" t="s">
        <v>4066</v>
      </c>
      <c r="C19" s="44">
        <v>14.0</v>
      </c>
      <c r="D19" s="44">
        <v>7.0</v>
      </c>
      <c r="E19" s="44" t="s">
        <v>357</v>
      </c>
      <c r="F19" s="162" t="str">
        <f>HYPERLINK("https://www.tribunnews.com/nasional/2019/02/26/soal-penerapan-kolom-kepercayaan-di-ktp-elektronik-wapres-jk-wajar-ada-pro-kontra","sumber")</f>
        <v>sumber</v>
      </c>
      <c r="G19" s="162" t="str">
        <f>HYPERLINK("https://drive.google.com/open?id=1zEw3BUfJE7qVUiCH-TQ_a1ng9a9WIRjz","lokasi")</f>
        <v>lokasi</v>
      </c>
      <c r="H19" s="44">
        <v>249.0</v>
      </c>
      <c r="I19" s="44">
        <v>1.0</v>
      </c>
      <c r="J19" s="44">
        <v>4.0</v>
      </c>
      <c r="K19" s="164" t="s">
        <v>4067</v>
      </c>
      <c r="L19" s="44">
        <v>0.0</v>
      </c>
      <c r="M19" s="44">
        <v>-1.0</v>
      </c>
      <c r="N19" s="44">
        <v>0.0</v>
      </c>
      <c r="O19" s="44">
        <v>0.0</v>
      </c>
      <c r="P19" s="44">
        <v>0.0</v>
      </c>
      <c r="Q19" s="44">
        <v>0.0</v>
      </c>
      <c r="R19" s="44">
        <v>1.0</v>
      </c>
      <c r="S19" s="175"/>
      <c r="T19" s="44">
        <v>0.0</v>
      </c>
      <c r="U19" s="44">
        <v>0.0</v>
      </c>
      <c r="V19" s="44">
        <v>1.0</v>
      </c>
      <c r="W19" s="45"/>
      <c r="X19" s="45"/>
      <c r="Y19" s="45"/>
      <c r="Z19" s="9"/>
      <c r="AA19" s="9"/>
      <c r="AB19" s="9"/>
      <c r="AC19" s="9"/>
      <c r="AD19" s="9"/>
      <c r="AE19" s="9"/>
      <c r="AF19" s="9"/>
    </row>
    <row r="20">
      <c r="A20" s="336">
        <v>2.0</v>
      </c>
      <c r="B20" s="337" t="s">
        <v>4068</v>
      </c>
      <c r="C20" s="47">
        <v>15.0</v>
      </c>
      <c r="D20" s="47">
        <v>10.0</v>
      </c>
      <c r="E20" s="47" t="s">
        <v>360</v>
      </c>
      <c r="F20" s="156" t="str">
        <f>HYPERLINK("https://nasional.tempo.co/read/1180010/soal-isu-ktp-asing-untuk-pemilu-kemendagri-gelar-konferensi-pers ","sumber")</f>
        <v>sumber</v>
      </c>
      <c r="G20" s="156" t="str">
        <f>HYPERLINK("https://drive.google.com/open?id=1XmhW0MLIVTl0977RKdI-UmaOi8EHWPTW","lokasi")</f>
        <v>lokasi</v>
      </c>
      <c r="H20" s="47">
        <v>380.0</v>
      </c>
      <c r="I20" s="48"/>
      <c r="J20" s="47">
        <v>4.0</v>
      </c>
      <c r="K20" s="165"/>
      <c r="L20" s="48"/>
      <c r="M20" s="48"/>
      <c r="N20" s="48"/>
      <c r="O20" s="48"/>
      <c r="P20" s="48"/>
      <c r="Q20" s="48"/>
      <c r="R20" s="48"/>
      <c r="S20" s="165"/>
      <c r="T20" s="48"/>
      <c r="U20" s="48"/>
      <c r="V20" s="48"/>
      <c r="W20" s="48"/>
      <c r="X20" s="48"/>
      <c r="Y20" s="48"/>
      <c r="Z20" s="338"/>
      <c r="AA20" s="43"/>
      <c r="AB20" s="51"/>
      <c r="AC20" s="51"/>
      <c r="AD20" s="51"/>
      <c r="AE20" s="51"/>
      <c r="AF20" s="51"/>
    </row>
    <row r="21">
      <c r="A21" s="336">
        <v>2.0</v>
      </c>
      <c r="B21" s="337" t="s">
        <v>4069</v>
      </c>
      <c r="C21" s="47">
        <v>16.0</v>
      </c>
      <c r="D21" s="47">
        <v>9.0</v>
      </c>
      <c r="E21" s="280">
        <v>43468.0</v>
      </c>
      <c r="F21" s="156" t="str">
        <f>HYPERLINK("https://nasional.republika.co.id/berita/nasional/umum/pnonzs328/jk-ungkap-indonesia-bantu-bangun-masjid-raya-filipina ","sumber")</f>
        <v>sumber</v>
      </c>
      <c r="G21" s="156" t="str">
        <f>HYPERLINK("https://drive.google.com/open?id=1yJIGpiDKLdCEYFbrrcvEfnOdqRfUiIrP","lokasi")</f>
        <v>lokasi</v>
      </c>
      <c r="H21" s="47">
        <v>350.0</v>
      </c>
      <c r="I21" s="48"/>
      <c r="J21" s="47">
        <v>4.0</v>
      </c>
      <c r="K21" s="165"/>
      <c r="L21" s="48"/>
      <c r="M21" s="48"/>
      <c r="N21" s="48"/>
      <c r="O21" s="48"/>
      <c r="P21" s="48"/>
      <c r="Q21" s="48"/>
      <c r="R21" s="48"/>
      <c r="S21" s="165"/>
      <c r="T21" s="48"/>
      <c r="U21" s="48"/>
      <c r="V21" s="48"/>
      <c r="W21" s="48"/>
      <c r="X21" s="48"/>
      <c r="Y21" s="48"/>
      <c r="Z21" s="338"/>
      <c r="AA21" s="43"/>
      <c r="AB21" s="51"/>
      <c r="AC21" s="51"/>
      <c r="AD21" s="51"/>
      <c r="AE21" s="51"/>
      <c r="AF21" s="51"/>
    </row>
    <row r="22">
      <c r="A22" s="336">
        <v>2.0</v>
      </c>
      <c r="B22" s="337" t="s">
        <v>4070</v>
      </c>
      <c r="C22" s="47">
        <v>17.0</v>
      </c>
      <c r="D22" s="47">
        <v>2.0</v>
      </c>
      <c r="E22" s="280">
        <v>43558.0</v>
      </c>
      <c r="F22" s="156" t="str">
        <f>HYPERLINK("https://www.cnnindonesia.com/nasional/20190304001542-20-374244/satelit-deteksi-lima-titik-panas-di-aceh-indikasi-karhutla","sumber")</f>
        <v>sumber</v>
      </c>
      <c r="G22" s="156" t="str">
        <f>HYPERLINK("https://drive.google.com/open?id=1CFgldjf6wNtCeeQD8Tbnq0gyfXn_RODD","lokasi")</f>
        <v>lokasi</v>
      </c>
      <c r="H22" s="47">
        <v>315.0</v>
      </c>
      <c r="I22" s="48"/>
      <c r="J22" s="47">
        <v>4.0</v>
      </c>
      <c r="K22" s="165"/>
      <c r="L22" s="48"/>
      <c r="M22" s="48"/>
      <c r="N22" s="48"/>
      <c r="O22" s="48"/>
      <c r="P22" s="48"/>
      <c r="Q22" s="48"/>
      <c r="R22" s="48"/>
      <c r="S22" s="165"/>
      <c r="T22" s="48"/>
      <c r="U22" s="48"/>
      <c r="V22" s="48"/>
      <c r="W22" s="48"/>
      <c r="X22" s="48"/>
      <c r="Y22" s="48"/>
      <c r="Z22" s="338"/>
      <c r="AA22" s="43"/>
      <c r="AB22" s="51"/>
      <c r="AC22" s="51"/>
      <c r="AD22" s="51"/>
      <c r="AE22" s="51"/>
      <c r="AF22" s="51"/>
    </row>
    <row r="23">
      <c r="A23" s="336">
        <v>2.0</v>
      </c>
      <c r="B23" s="337" t="s">
        <v>4071</v>
      </c>
      <c r="C23" s="47">
        <v>18.0</v>
      </c>
      <c r="D23" s="47">
        <v>9.0</v>
      </c>
      <c r="E23" s="280">
        <v>43558.0</v>
      </c>
      <c r="F23" s="156" t="str">
        <f>HYPERLINK("https://nasional.republika.co.id/berita/nasional/hukum/pnu8rn320/jalani-hukuman-cambuk-6-wanita-pelanggar-syariat-dipapah","sumber")</f>
        <v>sumber</v>
      </c>
      <c r="G23" s="156" t="str">
        <f>HYPERLINK("https://drive.google.com/file/d/1yrf7j7KLSpp6bmjqw3buGtvb79GTSHkE/view?usp=sharing","lokasi")</f>
        <v>lokasi</v>
      </c>
      <c r="H23" s="47">
        <v>326.0</v>
      </c>
      <c r="I23" s="48"/>
      <c r="J23" s="47">
        <v>4.0</v>
      </c>
      <c r="K23" s="165"/>
      <c r="L23" s="48"/>
      <c r="M23" s="48"/>
      <c r="N23" s="48"/>
      <c r="O23" s="48"/>
      <c r="P23" s="48"/>
      <c r="Q23" s="48"/>
      <c r="R23" s="48"/>
      <c r="S23" s="165"/>
      <c r="T23" s="48"/>
      <c r="U23" s="48"/>
      <c r="V23" s="48"/>
      <c r="W23" s="48"/>
      <c r="X23" s="48"/>
      <c r="Y23" s="48"/>
      <c r="Z23" s="338"/>
      <c r="AA23" s="43"/>
      <c r="AB23" s="51"/>
      <c r="AC23" s="51"/>
      <c r="AD23" s="51"/>
      <c r="AE23" s="51"/>
      <c r="AF23" s="51"/>
    </row>
    <row r="24">
      <c r="A24" s="339">
        <v>1.0</v>
      </c>
      <c r="B24" s="340" t="s">
        <v>4072</v>
      </c>
      <c r="C24" s="44">
        <v>19.0</v>
      </c>
      <c r="D24" s="44">
        <v>4.0</v>
      </c>
      <c r="E24" s="268">
        <v>43649.0</v>
      </c>
      <c r="F24" s="162" t="str">
        <f>HYPERLINK("https://www.liputan6.com/regional/read/3911196/jalan-panjang-penghayat-kepercayaan-di-cilacap-dapatkan-ktp","sumber")</f>
        <v>sumber</v>
      </c>
      <c r="G24" s="162" t="str">
        <f>HYPERLINK("https://drive.google.com/open?id=1qPcbxWT78tObz3a45b9b-188gdE8U95O","lokasi")</f>
        <v>lokasi</v>
      </c>
      <c r="H24" s="44">
        <v>551.0</v>
      </c>
      <c r="I24" s="44">
        <v>4.0</v>
      </c>
      <c r="J24" s="44">
        <v>4.0</v>
      </c>
      <c r="K24" s="164" t="s">
        <v>4073</v>
      </c>
      <c r="L24" s="44">
        <v>0.0</v>
      </c>
      <c r="M24" s="44">
        <v>0.0</v>
      </c>
      <c r="N24" s="44">
        <v>0.0</v>
      </c>
      <c r="O24" s="44">
        <v>0.0</v>
      </c>
      <c r="P24" s="44">
        <v>-1.0</v>
      </c>
      <c r="Q24" s="44">
        <v>1.0</v>
      </c>
      <c r="R24" s="44">
        <v>0.0</v>
      </c>
      <c r="S24" s="175"/>
      <c r="T24" s="44">
        <v>0.0</v>
      </c>
      <c r="U24" s="44">
        <v>0.0</v>
      </c>
      <c r="V24" s="44">
        <v>1.0</v>
      </c>
      <c r="W24" s="45"/>
      <c r="X24" s="45"/>
      <c r="Y24" s="45"/>
      <c r="Z24" s="9"/>
      <c r="AA24" s="9"/>
      <c r="AB24" s="9"/>
      <c r="AC24" s="9"/>
      <c r="AD24" s="9"/>
      <c r="AE24" s="9"/>
      <c r="AF24" s="9"/>
    </row>
    <row r="25">
      <c r="A25" s="231">
        <v>1.0</v>
      </c>
      <c r="B25" s="44" t="s">
        <v>4074</v>
      </c>
      <c r="C25" s="44">
        <v>20.0</v>
      </c>
      <c r="D25" s="44">
        <v>7.0</v>
      </c>
      <c r="E25" s="268">
        <v>43649.0</v>
      </c>
      <c r="F25" s="162" t="str">
        <f>HYPERLINK("http://www.tribunnews.com/regional/2019/03/07/waria-berjuluk-angel-vanessa-berusaha-kabur-saat-ketahuan-berduaan-bersama-teman-semasa-smp ","sumber")</f>
        <v>sumber</v>
      </c>
      <c r="G25" s="162" t="str">
        <f>HYPERLINK("https://drive.google.com/open?id=11BQUH2Cs1XxnRVuabSDF0GQfwQfoXs1y","lokasi")</f>
        <v>lokasi</v>
      </c>
      <c r="H25" s="44">
        <v>608.0</v>
      </c>
      <c r="I25" s="44">
        <v>2.0</v>
      </c>
      <c r="J25" s="44">
        <v>3.0</v>
      </c>
      <c r="K25" s="164" t="s">
        <v>4075</v>
      </c>
      <c r="L25" s="44">
        <v>0.0</v>
      </c>
      <c r="M25" s="44">
        <v>0.0</v>
      </c>
      <c r="N25" s="44">
        <v>-1.0</v>
      </c>
      <c r="O25" s="44">
        <v>0.0</v>
      </c>
      <c r="P25" s="44">
        <v>-1.0</v>
      </c>
      <c r="Q25" s="44" t="s">
        <v>824</v>
      </c>
      <c r="R25" s="44" t="s">
        <v>131</v>
      </c>
      <c r="S25" s="164" t="s">
        <v>4076</v>
      </c>
      <c r="T25" s="44">
        <v>6.0</v>
      </c>
      <c r="U25" s="44">
        <v>-1.0</v>
      </c>
      <c r="V25" s="44">
        <v>0.0</v>
      </c>
      <c r="W25" s="45"/>
      <c r="X25" s="45"/>
      <c r="Y25" s="45"/>
      <c r="Z25" s="9"/>
      <c r="AA25" s="9"/>
      <c r="AB25" s="9"/>
      <c r="AC25" s="9"/>
      <c r="AD25" s="9"/>
      <c r="AE25" s="9"/>
      <c r="AF25" s="9"/>
    </row>
    <row r="26">
      <c r="A26" s="336">
        <v>2.0</v>
      </c>
      <c r="B26" s="337" t="s">
        <v>4077</v>
      </c>
      <c r="C26" s="47">
        <v>21.0</v>
      </c>
      <c r="D26" s="47">
        <v>9.0</v>
      </c>
      <c r="E26" s="280">
        <v>43711.0</v>
      </c>
      <c r="F26" s="156" t="str">
        <f>HYPERLINK("https://nasional.republika.co.id/berita/nasional/politik/po3ppr409/bawaslu-sampang-temukan-dua-wna-masuk-dpt-pemilu-2019","sumber")</f>
        <v>sumber</v>
      </c>
      <c r="G26" s="156" t="str">
        <f>HYPERLINK("https://drive.google.com/open?id=1Cck8WBi3J2ToWRBn3SouMq-2XOEEvna5","lokasi")</f>
        <v>lokasi</v>
      </c>
      <c r="H26" s="47">
        <v>460.0</v>
      </c>
      <c r="I26" s="48"/>
      <c r="J26" s="48"/>
      <c r="K26" s="165"/>
      <c r="L26" s="48"/>
      <c r="M26" s="48"/>
      <c r="N26" s="48"/>
      <c r="O26" s="48"/>
      <c r="P26" s="48"/>
      <c r="Q26" s="48"/>
      <c r="R26" s="48"/>
      <c r="S26" s="165"/>
      <c r="T26" s="48"/>
      <c r="U26" s="48"/>
      <c r="V26" s="48"/>
      <c r="W26" s="48"/>
      <c r="X26" s="48"/>
      <c r="Y26" s="48"/>
      <c r="Z26" s="338"/>
      <c r="AA26" s="43"/>
      <c r="AB26" s="51"/>
      <c r="AC26" s="51"/>
      <c r="AD26" s="51"/>
      <c r="AE26" s="51"/>
      <c r="AF26" s="51"/>
    </row>
    <row r="27">
      <c r="A27" s="252">
        <v>1.0</v>
      </c>
      <c r="B27" s="55" t="s">
        <v>4078</v>
      </c>
      <c r="C27" s="55">
        <v>22.0</v>
      </c>
      <c r="D27" s="55">
        <v>8.0</v>
      </c>
      <c r="E27" s="55" t="s">
        <v>4079</v>
      </c>
      <c r="F27" s="171" t="str">
        <f>HYPERLINK("https://jateng.suara.com/read/2019/03/18/132745/penghayat-kepercayaan-di-klaten-bisa-ubah-kolom-agama ","sumber")</f>
        <v>sumber</v>
      </c>
      <c r="G27" s="171" t="str">
        <f>HYPERLINK("https://drive.google.com/open?id=1A4dMP6tyUKt4NEyiJ38A550YwrKZj1du","lokasi")</f>
        <v>lokasi</v>
      </c>
      <c r="H27" s="55">
        <v>234.0</v>
      </c>
      <c r="I27" s="55">
        <v>3.0</v>
      </c>
      <c r="J27" s="55">
        <v>4.0</v>
      </c>
      <c r="K27" s="172" t="s">
        <v>4080</v>
      </c>
      <c r="L27" s="55">
        <v>0.0</v>
      </c>
      <c r="M27" s="55">
        <v>0.0</v>
      </c>
      <c r="N27" s="173">
        <v>0.0</v>
      </c>
      <c r="O27" s="55">
        <v>0.0</v>
      </c>
      <c r="P27" s="55">
        <v>0.0</v>
      </c>
      <c r="Q27" s="55">
        <v>0.0</v>
      </c>
      <c r="R27" s="55">
        <v>1.0</v>
      </c>
      <c r="S27" s="174"/>
      <c r="T27" s="55">
        <v>0.0</v>
      </c>
      <c r="U27" s="55">
        <v>0.0</v>
      </c>
      <c r="V27" s="55">
        <v>1.0</v>
      </c>
      <c r="W27" s="46"/>
      <c r="X27" s="46"/>
      <c r="Y27" s="46"/>
      <c r="Z27" s="302"/>
      <c r="AA27" s="30"/>
      <c r="AB27" s="31"/>
      <c r="AC27" s="31"/>
      <c r="AD27" s="31"/>
      <c r="AE27" s="31"/>
      <c r="AF27" s="31"/>
    </row>
    <row r="28">
      <c r="A28" s="43">
        <v>2.0</v>
      </c>
      <c r="B28" s="47" t="s">
        <v>4081</v>
      </c>
      <c r="C28" s="47">
        <v>23.0</v>
      </c>
      <c r="D28" s="47">
        <v>8.0</v>
      </c>
      <c r="E28" s="280">
        <v>43802.0</v>
      </c>
      <c r="F28" s="156" t="str">
        <f>HYPERLINK("https://www.suara.com/bisnis/2019/03/12/060607/menteri-pupr-sampaikan-3-kunci-utama-agar-indonesia-maju-dari-jokowi","sumber")</f>
        <v>sumber</v>
      </c>
      <c r="G28" s="156" t="str">
        <f>HYPERLINK("https://drive.google.com/open?id=1GmZErZyHrc2VeszJHg2DzSq-uKhpna0n","lokasi")</f>
        <v>lokasi</v>
      </c>
      <c r="H28" s="47">
        <v>478.0</v>
      </c>
      <c r="I28" s="48"/>
      <c r="J28" s="48"/>
      <c r="K28" s="165"/>
      <c r="L28" s="48"/>
      <c r="M28" s="48"/>
      <c r="N28" s="48"/>
      <c r="O28" s="48"/>
      <c r="P28" s="48"/>
      <c r="Q28" s="48"/>
      <c r="R28" s="48"/>
      <c r="S28" s="165"/>
      <c r="T28" s="48"/>
      <c r="U28" s="48"/>
      <c r="V28" s="48"/>
      <c r="W28" s="48"/>
      <c r="X28" s="48"/>
      <c r="Y28" s="48"/>
      <c r="Z28" s="338"/>
      <c r="AA28" s="43"/>
      <c r="AB28" s="51"/>
      <c r="AC28" s="51"/>
      <c r="AD28" s="51"/>
      <c r="AE28" s="51"/>
      <c r="AF28" s="51"/>
    </row>
    <row r="29">
      <c r="A29" s="231">
        <v>1.0</v>
      </c>
      <c r="B29" s="44" t="s">
        <v>4082</v>
      </c>
      <c r="C29" s="44">
        <v>24.0</v>
      </c>
      <c r="D29" s="44">
        <v>1.0</v>
      </c>
      <c r="E29" s="44" t="s">
        <v>142</v>
      </c>
      <c r="F29" s="162" t="str">
        <f>HYPERLINK("https://news.detik.com/berita-jawa-barat/d-4467130/baru-6-penghayat-di-jabar-yang-telah-memiliki-e-ktp","sumber")</f>
        <v>sumber</v>
      </c>
      <c r="G29" s="162" t="str">
        <f>HYPERLINK("https://drive.google.com/open?id=1a9NvWfv3qbs7Vy9BWnE7zLhE0fVrEjqR","lokasi")</f>
        <v>lokasi</v>
      </c>
      <c r="H29" s="44">
        <v>229.0</v>
      </c>
      <c r="I29" s="44">
        <v>4.0</v>
      </c>
      <c r="J29" s="44">
        <v>4.0</v>
      </c>
      <c r="K29" s="164" t="s">
        <v>4083</v>
      </c>
      <c r="L29" s="44">
        <v>0.0</v>
      </c>
      <c r="M29" s="44">
        <v>0.0</v>
      </c>
      <c r="N29" s="166">
        <v>0.0</v>
      </c>
      <c r="O29" s="44">
        <v>0.0</v>
      </c>
      <c r="P29" s="44">
        <v>0.0</v>
      </c>
      <c r="Q29" s="44">
        <v>0.0</v>
      </c>
      <c r="R29" s="44">
        <v>0.0</v>
      </c>
      <c r="S29" s="175"/>
      <c r="T29" s="44">
        <v>0.0</v>
      </c>
      <c r="U29" s="44">
        <v>0.0</v>
      </c>
      <c r="V29" s="44">
        <v>1.0</v>
      </c>
      <c r="W29" s="45"/>
      <c r="X29" s="45"/>
      <c r="Y29" s="45"/>
      <c r="Z29" s="9"/>
      <c r="AA29" s="9"/>
      <c r="AB29" s="9"/>
      <c r="AC29" s="9"/>
      <c r="AD29" s="9"/>
      <c r="AE29" s="9"/>
      <c r="AF29" s="9"/>
    </row>
    <row r="30">
      <c r="A30" s="252">
        <v>1.0</v>
      </c>
      <c r="B30" s="55" t="s">
        <v>4084</v>
      </c>
      <c r="C30" s="55">
        <v>25.0</v>
      </c>
      <c r="D30" s="55">
        <v>10.0</v>
      </c>
      <c r="E30" s="55" t="s">
        <v>142</v>
      </c>
      <c r="F30" s="171" t="str">
        <f>HYPERLINK("https://nasional.tempo.co/read/1185272/di-jawa-barat-baru-6-orang-kantungi-ktp-berkolom-penghayat ","sumber")</f>
        <v>sumber</v>
      </c>
      <c r="G30" s="171" t="str">
        <f>HYPERLINK("https://drive.google.com/open?id=1acgevD9TDDd8VH_WHHJ-NCIbA4mtblJ3","lokasi")</f>
        <v>lokasi</v>
      </c>
      <c r="H30" s="55">
        <v>373.0</v>
      </c>
      <c r="I30" s="55">
        <v>4.0</v>
      </c>
      <c r="J30" s="55">
        <v>4.0</v>
      </c>
      <c r="K30" s="172" t="s">
        <v>4085</v>
      </c>
      <c r="L30" s="55">
        <v>0.0</v>
      </c>
      <c r="M30" s="55">
        <v>0.0</v>
      </c>
      <c r="N30" s="173">
        <v>0.0</v>
      </c>
      <c r="O30" s="55">
        <v>0.0</v>
      </c>
      <c r="P30" s="55">
        <v>0.0</v>
      </c>
      <c r="Q30" s="55" t="s">
        <v>119</v>
      </c>
      <c r="R30" s="55" t="s">
        <v>192</v>
      </c>
      <c r="S30" s="174"/>
      <c r="T30" s="55">
        <v>0.0</v>
      </c>
      <c r="U30" s="55">
        <v>0.0</v>
      </c>
      <c r="V30" s="55">
        <v>1.0</v>
      </c>
      <c r="W30" s="46"/>
      <c r="X30" s="46"/>
      <c r="Y30" s="46"/>
      <c r="Z30" s="302"/>
      <c r="AA30" s="30"/>
      <c r="AB30" s="31"/>
      <c r="AC30" s="31"/>
      <c r="AD30" s="31"/>
      <c r="AE30" s="31"/>
      <c r="AF30" s="31"/>
    </row>
    <row r="31">
      <c r="A31" s="231">
        <v>1.0</v>
      </c>
      <c r="B31" s="44" t="s">
        <v>4086</v>
      </c>
      <c r="C31" s="44">
        <v>26.0</v>
      </c>
      <c r="D31" s="44">
        <v>6.0</v>
      </c>
      <c r="E31" s="44" t="s">
        <v>4087</v>
      </c>
      <c r="F31" s="162" t="str">
        <f>HYPERLINK("https://regional.kompas.com/read/2019/03/23/12294651/tokoh-lintas-agama-cirebon-gelar-kirab-budaya-dan-doa-perdamaian?page=all#page2","sumber")</f>
        <v>sumber</v>
      </c>
      <c r="G31" s="162" t="str">
        <f>HYPERLINK("https://drive.google.com/open?id=12INNnb7JVY1wIOcLerfSomHwC812llCf","lokasi")</f>
        <v>lokasi</v>
      </c>
      <c r="H31" s="44">
        <v>528.0</v>
      </c>
      <c r="I31" s="44">
        <v>3.0</v>
      </c>
      <c r="J31" s="44">
        <v>4.0</v>
      </c>
      <c r="K31" s="164" t="s">
        <v>4088</v>
      </c>
      <c r="L31" s="44">
        <v>0.0</v>
      </c>
      <c r="M31" s="44">
        <v>0.0</v>
      </c>
      <c r="N31" s="166">
        <v>0.0</v>
      </c>
      <c r="O31" s="44">
        <v>0.0</v>
      </c>
      <c r="P31" s="44">
        <v>0.0</v>
      </c>
      <c r="Q31" s="44" t="s">
        <v>214</v>
      </c>
      <c r="R31" s="44" t="s">
        <v>192</v>
      </c>
      <c r="S31" s="175"/>
      <c r="T31" s="44">
        <v>0.0</v>
      </c>
      <c r="U31" s="44">
        <v>0.0</v>
      </c>
      <c r="V31" s="44">
        <v>1.0</v>
      </c>
      <c r="W31" s="45"/>
      <c r="X31" s="45"/>
      <c r="Y31" s="45"/>
      <c r="Z31" s="9"/>
      <c r="AA31" s="9"/>
      <c r="AB31" s="9"/>
      <c r="AC31" s="9"/>
      <c r="AD31" s="9"/>
      <c r="AE31" s="9"/>
      <c r="AF31" s="9"/>
    </row>
    <row r="32">
      <c r="A32" s="43">
        <v>2.0</v>
      </c>
      <c r="B32" s="47" t="s">
        <v>4089</v>
      </c>
      <c r="C32" s="47">
        <v>27.0</v>
      </c>
      <c r="D32" s="47">
        <v>6.0</v>
      </c>
      <c r="E32" s="47" t="s">
        <v>142</v>
      </c>
      <c r="F32" s="156" t="str">
        <f>HYPERLINK("https://regional.kompas.com/read/2019/03/24/19120521/kpu-pangkalpinang-pilih-caleg-yang-sudah-meninggal-dunia-suara-sah ","sumber")</f>
        <v>sumber</v>
      </c>
      <c r="G32" s="156" t="str">
        <f>HYPERLINK("https://drive.google.com/open?id=1VcgxL9CaPT0VI1163gLT7C9js5cSZ_60","lokasi")</f>
        <v>lokasi</v>
      </c>
      <c r="H32" s="47">
        <v>166.0</v>
      </c>
      <c r="I32" s="48"/>
      <c r="J32" s="48"/>
      <c r="K32" s="165"/>
      <c r="L32" s="48"/>
      <c r="M32" s="48"/>
      <c r="N32" s="48"/>
      <c r="O32" s="48"/>
      <c r="P32" s="48"/>
      <c r="Q32" s="48"/>
      <c r="R32" s="48"/>
      <c r="S32" s="165"/>
      <c r="T32" s="48"/>
      <c r="U32" s="48"/>
      <c r="V32" s="48"/>
      <c r="W32" s="48"/>
      <c r="X32" s="48"/>
      <c r="Y32" s="48"/>
      <c r="Z32" s="338"/>
      <c r="AA32" s="43"/>
      <c r="AB32" s="51"/>
      <c r="AC32" s="51"/>
      <c r="AD32" s="51"/>
      <c r="AE32" s="51"/>
      <c r="AF32" s="51"/>
    </row>
    <row r="33">
      <c r="A33" s="43">
        <v>2.0</v>
      </c>
      <c r="B33" s="47" t="s">
        <v>4090</v>
      </c>
      <c r="C33" s="47">
        <v>28.0</v>
      </c>
      <c r="D33" s="47">
        <v>1.0</v>
      </c>
      <c r="E33" s="47" t="s">
        <v>506</v>
      </c>
      <c r="F33" s="156" t="str">
        <f>HYPERLINK("https://news.detik.com/internasional/d-4481924/akhirnya-kalah-total-begini-awal-sejarah-kemunculan-dan-jatuhnya-isis","sumber")</f>
        <v>sumber</v>
      </c>
      <c r="G33" s="156" t="str">
        <f>HYPERLINK("https://drive.google.com/open?id=1ArsDG7X-Ns9DHDpmM1oZpnu43GsENzri","lokasi")</f>
        <v>lokasi</v>
      </c>
      <c r="H33" s="47">
        <v>1120.0</v>
      </c>
      <c r="I33" s="48"/>
      <c r="J33" s="48"/>
      <c r="K33" s="165"/>
      <c r="L33" s="48"/>
      <c r="M33" s="48"/>
      <c r="N33" s="48"/>
      <c r="O33" s="48"/>
      <c r="P33" s="48"/>
      <c r="Q33" s="48"/>
      <c r="R33" s="48"/>
      <c r="S33" s="165"/>
      <c r="T33" s="48"/>
      <c r="U33" s="48"/>
      <c r="V33" s="48"/>
      <c r="W33" s="48"/>
      <c r="X33" s="48"/>
      <c r="Y33" s="48"/>
      <c r="Z33" s="338"/>
      <c r="AA33" s="43"/>
      <c r="AB33" s="51"/>
      <c r="AC33" s="51"/>
      <c r="AD33" s="51"/>
      <c r="AE33" s="51"/>
      <c r="AF33" s="51"/>
    </row>
    <row r="34">
      <c r="A34" s="43">
        <v>2.0</v>
      </c>
      <c r="B34" s="47" t="s">
        <v>2943</v>
      </c>
      <c r="C34" s="47">
        <v>29.0</v>
      </c>
      <c r="D34" s="47">
        <v>4.0</v>
      </c>
      <c r="E34" s="47" t="s">
        <v>171</v>
      </c>
      <c r="F34" s="156" t="str">
        <f>HYPERLINK("https://www.liputan6.com/global/read/3930587/makam-nabi-yunus-hingga-masjid-6-situs-kuno-yang-hancur-oleh-isis","sumber")</f>
        <v>sumber</v>
      </c>
      <c r="G34" s="156" t="str">
        <f>HYPERLINK("https://drive.google.com/open?id=1bh0KCDyK-mdBwCulF7kGngvCpkQH8IHO","lokasi")</f>
        <v>lokasi</v>
      </c>
      <c r="H34" s="47">
        <v>1390.0</v>
      </c>
      <c r="I34" s="48"/>
      <c r="J34" s="48"/>
      <c r="K34" s="165"/>
      <c r="L34" s="48"/>
      <c r="M34" s="48"/>
      <c r="N34" s="48"/>
      <c r="O34" s="48"/>
      <c r="P34" s="48"/>
      <c r="Q34" s="48"/>
      <c r="R34" s="48"/>
      <c r="S34" s="165"/>
      <c r="T34" s="48"/>
      <c r="U34" s="48"/>
      <c r="V34" s="48"/>
      <c r="W34" s="48"/>
      <c r="X34" s="48"/>
      <c r="Y34" s="48"/>
      <c r="Z34" s="338"/>
      <c r="AA34" s="43"/>
      <c r="AB34" s="51"/>
      <c r="AC34" s="51"/>
      <c r="AD34" s="51"/>
      <c r="AE34" s="51"/>
      <c r="AF34" s="51"/>
    </row>
    <row r="35">
      <c r="A35" s="231">
        <v>1.0</v>
      </c>
      <c r="B35" s="44" t="s">
        <v>4091</v>
      </c>
      <c r="C35" s="44">
        <v>30.0</v>
      </c>
      <c r="D35" s="44">
        <v>2.0</v>
      </c>
      <c r="E35" s="268">
        <v>43559.0</v>
      </c>
      <c r="F35" s="162" t="str">
        <f>HYPERLINK("https://www.cnnindonesia.com/nasional/20190404093911-20-383303/larangan-non-muslim-dicabut-slamet-pilih-tinggalkan-dusun ","sumber")</f>
        <v>sumber</v>
      </c>
      <c r="G35" s="162" t="str">
        <f>HYPERLINK("https://drive.google.com/open?id=1BG-j_L0ZGR4qVtrKjmWW-xt3PWLKvtrA","lokasi")</f>
        <v>lokasi</v>
      </c>
      <c r="H35" s="44">
        <v>465.0</v>
      </c>
      <c r="I35" s="44">
        <v>2.0</v>
      </c>
      <c r="J35" s="44">
        <v>4.0</v>
      </c>
      <c r="K35" s="164" t="s">
        <v>4092</v>
      </c>
      <c r="L35" s="44">
        <v>-1.0</v>
      </c>
      <c r="M35" s="44">
        <v>0.0</v>
      </c>
      <c r="N35" s="166">
        <v>0.0</v>
      </c>
      <c r="O35" s="44">
        <v>0.0</v>
      </c>
      <c r="P35" s="44">
        <v>0.0</v>
      </c>
      <c r="Q35" s="44" t="s">
        <v>210</v>
      </c>
      <c r="R35" s="44" t="s">
        <v>192</v>
      </c>
      <c r="S35" s="175"/>
      <c r="T35" s="44">
        <v>0.0</v>
      </c>
      <c r="U35" s="44">
        <v>0.0</v>
      </c>
      <c r="V35" s="44">
        <v>0.0</v>
      </c>
      <c r="W35" s="45"/>
      <c r="X35" s="45"/>
      <c r="Y35" s="45"/>
      <c r="Z35" s="9"/>
      <c r="AA35" s="9"/>
      <c r="AB35" s="9"/>
      <c r="AC35" s="9"/>
      <c r="AD35" s="9"/>
      <c r="AE35" s="9"/>
      <c r="AF35" s="9"/>
    </row>
    <row r="36">
      <c r="A36" s="231">
        <v>1.0</v>
      </c>
      <c r="B36" s="44" t="s">
        <v>4093</v>
      </c>
      <c r="C36" s="44">
        <v>31.0</v>
      </c>
      <c r="D36" s="44">
        <v>1.0</v>
      </c>
      <c r="E36" s="268">
        <v>43589.0</v>
      </c>
      <c r="F36" s="162" t="str">
        <f>HYPERLINK("https://news.detik.com/berita-jawa-timur/d-4498660/forum-kebangsaan-lintas-agama-tulungagung-doa-bersama-dukung-jokowi ","sumber")</f>
        <v>sumber</v>
      </c>
      <c r="G36" s="162" t="str">
        <f>HYPERLINK("https://drive.google.com/open?id=1pz_VE27I9BHsRkydl2W4bZOztbn32Ogl","lokasi")</f>
        <v>lokasi</v>
      </c>
      <c r="H36" s="44">
        <v>188.0</v>
      </c>
      <c r="I36" s="44">
        <v>3.0</v>
      </c>
      <c r="J36" s="44">
        <v>4.0</v>
      </c>
      <c r="K36" s="164" t="s">
        <v>4094</v>
      </c>
      <c r="L36" s="44">
        <v>0.0</v>
      </c>
      <c r="M36" s="44">
        <v>0.0</v>
      </c>
      <c r="N36" s="166">
        <v>0.0</v>
      </c>
      <c r="O36" s="44">
        <v>0.0</v>
      </c>
      <c r="P36" s="44">
        <v>0.0</v>
      </c>
      <c r="Q36" s="44">
        <v>0.0</v>
      </c>
      <c r="R36" s="44">
        <v>1.0</v>
      </c>
      <c r="S36" s="175"/>
      <c r="T36" s="44">
        <v>0.0</v>
      </c>
      <c r="U36" s="44">
        <v>0.0</v>
      </c>
      <c r="V36" s="44">
        <v>1.0</v>
      </c>
      <c r="W36" s="45"/>
      <c r="X36" s="45"/>
      <c r="Y36" s="45"/>
      <c r="Z36" s="9"/>
      <c r="AA36" s="9"/>
      <c r="AB36" s="9"/>
      <c r="AC36" s="9"/>
      <c r="AD36" s="9"/>
      <c r="AE36" s="9"/>
      <c r="AF36" s="9"/>
    </row>
    <row r="37">
      <c r="A37" s="43">
        <v>2.0</v>
      </c>
      <c r="B37" s="47" t="s">
        <v>4095</v>
      </c>
      <c r="C37" s="47">
        <v>32.0</v>
      </c>
      <c r="D37" s="47">
        <v>6.0</v>
      </c>
      <c r="E37" s="280">
        <v>43650.0</v>
      </c>
      <c r="F37" s="156" t="str">
        <f>HYPERLINK("https://internasional.kompas.com/read/2019/04/07/20095501/ayatollah-ali-khamenei-minta-irak-usir-pasukan-as-secepatnya ","sumber")</f>
        <v>sumber</v>
      </c>
      <c r="G37" s="156" t="str">
        <f>HYPERLINK("https://drive.google.com/open?id=1Zhxe9Y0PtWlS51maCfSlJxnyrtC6-MNs","lokasi")</f>
        <v>lokasi</v>
      </c>
      <c r="H37" s="47">
        <v>329.0</v>
      </c>
      <c r="I37" s="48"/>
      <c r="J37" s="48"/>
      <c r="K37" s="165"/>
      <c r="L37" s="48"/>
      <c r="M37" s="48"/>
      <c r="N37" s="48"/>
      <c r="O37" s="48"/>
      <c r="P37" s="48"/>
      <c r="Q37" s="48"/>
      <c r="R37" s="48"/>
      <c r="S37" s="165"/>
      <c r="T37" s="48"/>
      <c r="U37" s="48"/>
      <c r="V37" s="48"/>
      <c r="W37" s="48"/>
      <c r="X37" s="48"/>
      <c r="Y37" s="48"/>
      <c r="Z37" s="338"/>
      <c r="AA37" s="43"/>
      <c r="AB37" s="51"/>
      <c r="AC37" s="51"/>
      <c r="AD37" s="51"/>
      <c r="AE37" s="51"/>
      <c r="AF37" s="51"/>
    </row>
    <row r="38">
      <c r="A38" s="231">
        <v>1.0</v>
      </c>
      <c r="B38" s="44" t="s">
        <v>4096</v>
      </c>
      <c r="C38" s="44">
        <v>33.0</v>
      </c>
      <c r="D38" s="44">
        <v>2.0</v>
      </c>
      <c r="E38" s="268">
        <v>43681.0</v>
      </c>
      <c r="F38" s="162" t="str">
        <f>HYPERLINK("https://www.cnnindonesia.com/internasional/20190408015059-120-384146/tentara-saudi-tembak-mati-2-penyerang-pos-keamanan ","sumber")</f>
        <v>sumber</v>
      </c>
      <c r="G38" s="162" t="str">
        <f>HYPERLINK("https://drive.google.com/open?id=1FiQVH-fag7kLtQtJ6zKKxg_ERTCDKO6G","lokasi")</f>
        <v>lokasi</v>
      </c>
      <c r="H38" s="44">
        <v>304.0</v>
      </c>
      <c r="I38" s="44">
        <v>1.0</v>
      </c>
      <c r="J38" s="44">
        <v>4.0</v>
      </c>
      <c r="K38" s="164" t="s">
        <v>4097</v>
      </c>
      <c r="L38" s="44">
        <v>0.0</v>
      </c>
      <c r="M38" s="188">
        <v>1.0</v>
      </c>
      <c r="N38" s="166">
        <v>0.0</v>
      </c>
      <c r="O38" s="44">
        <v>0.0</v>
      </c>
      <c r="P38" s="44">
        <v>0.0</v>
      </c>
      <c r="Q38" s="44" t="s">
        <v>214</v>
      </c>
      <c r="R38" s="44" t="s">
        <v>192</v>
      </c>
      <c r="S38" s="175"/>
      <c r="T38" s="44">
        <v>0.0</v>
      </c>
      <c r="U38" s="44">
        <v>0.0</v>
      </c>
      <c r="V38" s="44">
        <v>1.0</v>
      </c>
      <c r="W38" s="45"/>
      <c r="X38" s="45"/>
      <c r="Y38" s="45"/>
      <c r="Z38" s="9"/>
      <c r="AA38" s="9"/>
      <c r="AB38" s="9"/>
      <c r="AC38" s="9"/>
      <c r="AD38" s="9"/>
      <c r="AE38" s="9"/>
      <c r="AF38" s="9"/>
    </row>
    <row r="39">
      <c r="A39" s="43">
        <v>2.0</v>
      </c>
      <c r="B39" s="47" t="s">
        <v>4098</v>
      </c>
      <c r="C39" s="47">
        <v>34.0</v>
      </c>
      <c r="D39" s="47">
        <v>6.0</v>
      </c>
      <c r="E39" s="280">
        <v>43681.0</v>
      </c>
      <c r="F39" s="156" t="str">
        <f>HYPERLINK("https://edukasi.kompas.com/read/2019/04/08/21220471/menumbuhkan-startup-kampus-lewat-cppbt-boot-camp-2019?page=all#page2","sumber")</f>
        <v>sumber</v>
      </c>
      <c r="G39" s="156" t="str">
        <f>HYPERLINK("https://drive.google.com/open?id=1svy4NiiJFYr77evBd8EKA-Fh9XFQn3xe","lokasi")</f>
        <v>lokasi</v>
      </c>
      <c r="H39" s="47">
        <v>717.0</v>
      </c>
      <c r="I39" s="48"/>
      <c r="J39" s="48"/>
      <c r="K39" s="165"/>
      <c r="L39" s="48"/>
      <c r="M39" s="48"/>
      <c r="N39" s="48"/>
      <c r="O39" s="48"/>
      <c r="P39" s="48"/>
      <c r="Q39" s="48"/>
      <c r="R39" s="48"/>
      <c r="S39" s="165"/>
      <c r="T39" s="48"/>
      <c r="U39" s="48"/>
      <c r="V39" s="48"/>
      <c r="W39" s="48"/>
      <c r="X39" s="48"/>
      <c r="Y39" s="48"/>
      <c r="Z39" s="338"/>
      <c r="AA39" s="43"/>
      <c r="AB39" s="51"/>
      <c r="AC39" s="51"/>
      <c r="AD39" s="51"/>
      <c r="AE39" s="51"/>
      <c r="AF39" s="51"/>
    </row>
    <row r="40">
      <c r="A40" s="43">
        <v>2.0</v>
      </c>
      <c r="B40" s="47" t="s">
        <v>4099</v>
      </c>
      <c r="C40" s="47">
        <v>35.0</v>
      </c>
      <c r="D40" s="47">
        <v>2.0</v>
      </c>
      <c r="E40" s="280">
        <v>43712.0</v>
      </c>
      <c r="F40" s="156" t="str">
        <f>HYPERLINK("https://www.cnnindonesia.com/internasional/20190409141747-120-384584/iran-kecam-garda-revolusi-dianggap-teroris-saudi-dukung-as ","sumber")</f>
        <v>sumber</v>
      </c>
      <c r="G40" s="156" t="str">
        <f>HYPERLINK("https://drive.google.com/open?id=1BmTwAJegwRFcBwWc4eGzZBrmNW_u39_t","lokasi")</f>
        <v>lokasi</v>
      </c>
      <c r="H40" s="47">
        <v>432.0</v>
      </c>
      <c r="I40" s="48"/>
      <c r="J40" s="48"/>
      <c r="K40" s="165"/>
      <c r="L40" s="48"/>
      <c r="M40" s="48"/>
      <c r="N40" s="48"/>
      <c r="O40" s="48"/>
      <c r="P40" s="48"/>
      <c r="Q40" s="48"/>
      <c r="R40" s="48"/>
      <c r="S40" s="165"/>
      <c r="T40" s="48"/>
      <c r="U40" s="48"/>
      <c r="V40" s="48"/>
      <c r="W40" s="48"/>
      <c r="X40" s="48"/>
      <c r="Y40" s="48"/>
      <c r="Z40" s="338"/>
      <c r="AA40" s="43"/>
      <c r="AB40" s="51"/>
      <c r="AC40" s="51"/>
      <c r="AD40" s="51"/>
      <c r="AE40" s="51"/>
      <c r="AF40" s="51"/>
    </row>
    <row r="41">
      <c r="A41" s="43">
        <v>2.0</v>
      </c>
      <c r="B41" s="47" t="s">
        <v>4100</v>
      </c>
      <c r="C41" s="47">
        <v>36.0</v>
      </c>
      <c r="D41" s="47">
        <v>3.0</v>
      </c>
      <c r="E41" s="280">
        <v>43712.0</v>
      </c>
      <c r="F41" s="156" t="str">
        <f>HYPERLINK("https://news.okezone.com/read/2019/04/09/18/2040937/iran-nyatakan-pemerintah-dan-tentara-as-sebagai-kelompok-teroris ","sumber")</f>
        <v>sumber</v>
      </c>
      <c r="G41" s="156" t="str">
        <f>HYPERLINK("https://drive.google.com/open?id=1kith-PkZCfyXWmqlV6pBTB-RX3bCbmfB","lokasi")</f>
        <v>lokasi</v>
      </c>
      <c r="H41" s="47">
        <v>311.0</v>
      </c>
      <c r="I41" s="48"/>
      <c r="J41" s="48"/>
      <c r="K41" s="165"/>
      <c r="L41" s="48"/>
      <c r="M41" s="48"/>
      <c r="N41" s="48"/>
      <c r="O41" s="48"/>
      <c r="P41" s="48"/>
      <c r="Q41" s="48"/>
      <c r="R41" s="48"/>
      <c r="S41" s="165"/>
      <c r="T41" s="48"/>
      <c r="U41" s="48"/>
      <c r="V41" s="48"/>
      <c r="W41" s="48"/>
      <c r="X41" s="48"/>
      <c r="Y41" s="48"/>
      <c r="Z41" s="338"/>
      <c r="AA41" s="43"/>
      <c r="AB41" s="51"/>
      <c r="AC41" s="51"/>
      <c r="AD41" s="51"/>
      <c r="AE41" s="51"/>
      <c r="AF41" s="51"/>
    </row>
    <row r="42">
      <c r="A42" s="43">
        <v>2.0</v>
      </c>
      <c r="B42" s="47" t="s">
        <v>4101</v>
      </c>
      <c r="C42" s="47">
        <v>37.0</v>
      </c>
      <c r="D42" s="47">
        <v>5.0</v>
      </c>
      <c r="E42" s="280">
        <v>43742.0</v>
      </c>
      <c r="F42" s="156" t="str">
        <f>HYPERLINK("https://tirto.id/para-milisi-penggebuk-isis-mulai-kehilangan-musuh-bersama-dljY ","sumber")</f>
        <v>sumber</v>
      </c>
      <c r="G42" s="156" t="str">
        <f>HYPERLINK("https://drive.google.com/open?id=1bQRQ1yg4DNUKGyfTlB5TRuk6TOE0wTMw","lokasi")</f>
        <v>lokasi</v>
      </c>
      <c r="H42" s="47">
        <v>1258.0</v>
      </c>
      <c r="I42" s="48"/>
      <c r="J42" s="48"/>
      <c r="K42" s="165"/>
      <c r="L42" s="48"/>
      <c r="M42" s="48"/>
      <c r="N42" s="48"/>
      <c r="O42" s="48"/>
      <c r="P42" s="48"/>
      <c r="Q42" s="48"/>
      <c r="R42" s="48"/>
      <c r="S42" s="165"/>
      <c r="T42" s="48"/>
      <c r="U42" s="48"/>
      <c r="V42" s="48"/>
      <c r="W42" s="48"/>
      <c r="X42" s="48"/>
      <c r="Y42" s="48"/>
      <c r="Z42" s="338"/>
      <c r="AA42" s="43"/>
      <c r="AB42" s="51"/>
      <c r="AC42" s="51"/>
      <c r="AD42" s="51"/>
      <c r="AE42" s="51"/>
      <c r="AF42" s="51"/>
    </row>
    <row r="43">
      <c r="A43" s="231">
        <v>1.0</v>
      </c>
      <c r="B43" s="44" t="s">
        <v>4102</v>
      </c>
      <c r="C43" s="44">
        <v>38.0</v>
      </c>
      <c r="D43" s="44">
        <v>3.0</v>
      </c>
      <c r="E43" s="268">
        <v>43803.0</v>
      </c>
      <c r="F43" s="162" t="str">
        <f>HYPERLINK("https://news.okezone.com/read/2019/04/12/18/2042536/ledakan-bom-di-pasar-pakistan-tewaskan-sedikitnya-16-orang","sumber")</f>
        <v>sumber</v>
      </c>
      <c r="G43" s="162" t="str">
        <f>HYPERLINK("https://drive.google.com/open?id=1yfHd8BqILTSCVCwB_Ot0BK6iF0DffjLF","lokasi")</f>
        <v>lokasi</v>
      </c>
      <c r="H43" s="44">
        <v>205.0</v>
      </c>
      <c r="I43" s="44">
        <v>1.0</v>
      </c>
      <c r="J43" s="44">
        <v>4.0</v>
      </c>
      <c r="K43" s="164" t="s">
        <v>4103</v>
      </c>
      <c r="L43" s="44">
        <v>-1.0</v>
      </c>
      <c r="M43" s="44">
        <v>-1.0</v>
      </c>
      <c r="N43" s="166">
        <v>0.0</v>
      </c>
      <c r="O43" s="44">
        <v>0.0</v>
      </c>
      <c r="P43" s="44">
        <v>0.0</v>
      </c>
      <c r="Q43" s="44">
        <v>0.0</v>
      </c>
      <c r="R43" s="44">
        <v>0.0</v>
      </c>
      <c r="S43" s="175"/>
      <c r="T43" s="44">
        <v>0.0</v>
      </c>
      <c r="U43" s="44">
        <v>0.0</v>
      </c>
      <c r="V43" s="44">
        <v>1.0</v>
      </c>
      <c r="W43" s="45"/>
      <c r="X43" s="45"/>
      <c r="Y43" s="45"/>
      <c r="Z43" s="9"/>
      <c r="AA43" s="9"/>
      <c r="AB43" s="9"/>
      <c r="AC43" s="9"/>
      <c r="AD43" s="9"/>
      <c r="AE43" s="9"/>
      <c r="AF43" s="9"/>
    </row>
    <row r="44">
      <c r="A44" s="43">
        <v>2.0</v>
      </c>
      <c r="B44" s="47" t="s">
        <v>4104</v>
      </c>
      <c r="C44" s="47">
        <v>39.0</v>
      </c>
      <c r="D44" s="47">
        <v>7.0</v>
      </c>
      <c r="E44" s="47" t="s">
        <v>197</v>
      </c>
      <c r="F44" s="156" t="str">
        <f>HYPERLINK("https://www.tribunnews.com/internasional/2019/04/24/pbb-desak-arab-saudi-menunda-semua-rencana-pelaksanaan-hukuman-mati?page=all","sumber")</f>
        <v>sumber</v>
      </c>
      <c r="G44" s="156" t="str">
        <f>HYPERLINK("https://drive.google.com/open?id=1XRjSQou-hllkmv6H5uYovWcms21wLIqm","lokasi")</f>
        <v>lokasi</v>
      </c>
      <c r="H44" s="47">
        <v>374.0</v>
      </c>
      <c r="I44" s="48"/>
      <c r="J44" s="48"/>
      <c r="K44" s="165"/>
      <c r="L44" s="48"/>
      <c r="M44" s="48"/>
      <c r="N44" s="48"/>
      <c r="O44" s="48"/>
      <c r="P44" s="48"/>
      <c r="Q44" s="48"/>
      <c r="R44" s="48"/>
      <c r="S44" s="165"/>
      <c r="T44" s="48"/>
      <c r="U44" s="48"/>
      <c r="V44" s="48"/>
      <c r="W44" s="48"/>
      <c r="X44" s="48"/>
      <c r="Y44" s="48"/>
      <c r="Z44" s="338"/>
      <c r="AA44" s="43"/>
      <c r="AB44" s="51"/>
      <c r="AC44" s="51"/>
      <c r="AD44" s="51"/>
      <c r="AE44" s="51"/>
      <c r="AF44" s="51"/>
    </row>
    <row r="45">
      <c r="A45" s="43">
        <v>2.0</v>
      </c>
      <c r="B45" s="47" t="s">
        <v>4105</v>
      </c>
      <c r="C45" s="47">
        <v>40.0</v>
      </c>
      <c r="D45" s="47">
        <v>5.0</v>
      </c>
      <c r="E45" s="47" t="s">
        <v>553</v>
      </c>
      <c r="F45" s="156" t="str">
        <f>HYPERLINK("https://tirto.id/pbb-kecam-arab-saudi-terkait-eksekusi-mati-37-warganya-dm5B","sumber")</f>
        <v>sumber</v>
      </c>
      <c r="G45" s="156" t="str">
        <f>HYPERLINK("https://drive.google.com/open?id=1s_cDNmBnjh_WxXecleQ22nDqA0crQ2j0","lokasi")</f>
        <v>lokasi</v>
      </c>
      <c r="H45" s="47">
        <v>479.0</v>
      </c>
      <c r="I45" s="48"/>
      <c r="J45" s="48"/>
      <c r="K45" s="165"/>
      <c r="L45" s="48"/>
      <c r="M45" s="48"/>
      <c r="N45" s="48"/>
      <c r="O45" s="48"/>
      <c r="P45" s="48"/>
      <c r="Q45" s="48"/>
      <c r="R45" s="48"/>
      <c r="S45" s="165"/>
      <c r="T45" s="48"/>
      <c r="U45" s="48"/>
      <c r="V45" s="48"/>
      <c r="W45" s="48"/>
      <c r="X45" s="48"/>
      <c r="Y45" s="48"/>
      <c r="Z45" s="338"/>
      <c r="AA45" s="43"/>
      <c r="AB45" s="51"/>
      <c r="AC45" s="51"/>
      <c r="AD45" s="51"/>
      <c r="AE45" s="51"/>
      <c r="AF45" s="51"/>
    </row>
    <row r="46">
      <c r="A46" s="43">
        <v>2.0</v>
      </c>
      <c r="B46" s="47" t="s">
        <v>2980</v>
      </c>
      <c r="C46" s="47">
        <v>41.0</v>
      </c>
      <c r="D46" s="47">
        <v>3.0</v>
      </c>
      <c r="E46" s="47" t="s">
        <v>386</v>
      </c>
      <c r="F46" s="156" t="str">
        <f>HYPERLINK("https://news.okezone.com/read/2019/04/29/18/2049437/pemuda-saudi-dihukum-pancung-karena-kirim-pesan-via-whatsapp ","sumber")</f>
        <v>sumber</v>
      </c>
      <c r="G46" s="156" t="str">
        <f>HYPERLINK("https://drive.google.com/open?id=1_HOgT6Nf3w9yLrKT48CNZldiabl0yRB7","lokasi")</f>
        <v>lokasi</v>
      </c>
      <c r="H46" s="47">
        <v>305.0</v>
      </c>
      <c r="I46" s="48"/>
      <c r="J46" s="48"/>
      <c r="K46" s="165"/>
      <c r="L46" s="48"/>
      <c r="M46" s="48"/>
      <c r="N46" s="48"/>
      <c r="O46" s="48"/>
      <c r="P46" s="48"/>
      <c r="Q46" s="48"/>
      <c r="R46" s="48"/>
      <c r="S46" s="165"/>
      <c r="T46" s="48"/>
      <c r="U46" s="48"/>
      <c r="V46" s="48"/>
      <c r="W46" s="48"/>
      <c r="X46" s="48"/>
      <c r="Y46" s="48"/>
      <c r="Z46" s="338"/>
      <c r="AA46" s="43"/>
      <c r="AB46" s="51"/>
      <c r="AC46" s="51"/>
      <c r="AD46" s="51"/>
      <c r="AE46" s="51"/>
      <c r="AF46" s="51"/>
    </row>
    <row r="47">
      <c r="A47" s="43">
        <v>2.0</v>
      </c>
      <c r="B47" s="47" t="s">
        <v>4106</v>
      </c>
      <c r="C47" s="47">
        <v>42.0</v>
      </c>
      <c r="D47" s="47">
        <v>1.0</v>
      </c>
      <c r="E47" s="280">
        <v>43590.0</v>
      </c>
      <c r="F47" s="156" t="str">
        <f>HYPERLINK("https://news.detik.com/berita/d-4536698/tenggelam-saat-penelitian-mahasiswa-unsyiah-aceh-ditemukan-tewas ","sumber")</f>
        <v>sumber</v>
      </c>
      <c r="G47" s="156" t="str">
        <f>HYPERLINK("https://drive.google.com/open?id=1gn3mqArBA1S--maIo9txHXwpn9BCX6dO","lokasi")</f>
        <v>lokasi</v>
      </c>
      <c r="H47" s="47">
        <v>217.0</v>
      </c>
      <c r="I47" s="48"/>
      <c r="J47" s="48"/>
      <c r="K47" s="165"/>
      <c r="L47" s="48"/>
      <c r="M47" s="48"/>
      <c r="N47" s="48"/>
      <c r="O47" s="48"/>
      <c r="P47" s="48"/>
      <c r="Q47" s="48"/>
      <c r="R47" s="48"/>
      <c r="S47" s="165"/>
      <c r="T47" s="48"/>
      <c r="U47" s="48"/>
      <c r="V47" s="48"/>
      <c r="W47" s="48"/>
      <c r="X47" s="48"/>
      <c r="Y47" s="48"/>
      <c r="Z47" s="338"/>
      <c r="AA47" s="43"/>
      <c r="AB47" s="51"/>
      <c r="AC47" s="51"/>
      <c r="AD47" s="51"/>
      <c r="AE47" s="51"/>
      <c r="AF47" s="51"/>
    </row>
    <row r="48">
      <c r="A48" s="43">
        <v>2.0</v>
      </c>
      <c r="B48" s="47" t="s">
        <v>4107</v>
      </c>
      <c r="C48" s="47">
        <v>43.0</v>
      </c>
      <c r="D48" s="47">
        <v>7.0</v>
      </c>
      <c r="E48" s="280">
        <v>43682.0</v>
      </c>
      <c r="F48" s="156" t="str">
        <f>HYPERLINK("http://www.tribunnews.com/internasional/2019/05/08/ledakan-di-luar-masjid-kaum-muslim-sufi-di-lahore-pakistan ","sumber")</f>
        <v>sumber</v>
      </c>
      <c r="G48" s="156" t="str">
        <f>HYPERLINK("https://drive.google.com/open?id=1MA7j7YWkRUQLje-2f0cr--GpMVtyfj9j","lokasi")</f>
        <v>lokasi</v>
      </c>
      <c r="H48" s="47">
        <v>147.0</v>
      </c>
      <c r="I48" s="47"/>
      <c r="J48" s="47"/>
      <c r="K48" s="165"/>
      <c r="L48" s="48"/>
      <c r="M48" s="48"/>
      <c r="N48" s="48"/>
      <c r="O48" s="48"/>
      <c r="P48" s="48"/>
      <c r="Q48" s="48"/>
      <c r="R48" s="48"/>
      <c r="S48" s="165"/>
      <c r="T48" s="48"/>
      <c r="U48" s="48"/>
      <c r="V48" s="48"/>
      <c r="W48" s="48"/>
      <c r="X48" s="48"/>
      <c r="Y48" s="48"/>
      <c r="Z48" s="338"/>
      <c r="AA48" s="43"/>
      <c r="AB48" s="51"/>
      <c r="AC48" s="51"/>
      <c r="AD48" s="51"/>
      <c r="AE48" s="51"/>
      <c r="AF48" s="51"/>
    </row>
    <row r="49">
      <c r="A49" s="43">
        <v>2.0</v>
      </c>
      <c r="B49" s="47" t="s">
        <v>4108</v>
      </c>
      <c r="C49" s="47">
        <v>44.0</v>
      </c>
      <c r="D49" s="47">
        <v>2.0</v>
      </c>
      <c r="E49" s="47" t="s">
        <v>793</v>
      </c>
      <c r="F49" s="156" t="str">
        <f>HYPERLINK("https://www.cnnindonesia.com/internasional/20190517115228-120-395691/komandan-militer-iran-disebut-minta-milisi-irak-siap-perang ","sumber")</f>
        <v>sumber</v>
      </c>
      <c r="G49" s="156" t="str">
        <f>HYPERLINK("https://drive.google.com/open?id=1Gapdf5e0HsJ30L1bHIgf0Pp1897B9cJp","lokasi")</f>
        <v>lokasi</v>
      </c>
      <c r="H49" s="47">
        <v>251.0</v>
      </c>
      <c r="I49" s="48"/>
      <c r="J49" s="48"/>
      <c r="K49" s="165"/>
      <c r="L49" s="48"/>
      <c r="M49" s="48"/>
      <c r="N49" s="48"/>
      <c r="O49" s="48"/>
      <c r="P49" s="48"/>
      <c r="Q49" s="48"/>
      <c r="R49" s="48"/>
      <c r="S49" s="165"/>
      <c r="T49" s="48"/>
      <c r="U49" s="48"/>
      <c r="V49" s="48"/>
      <c r="W49" s="48"/>
      <c r="X49" s="48"/>
      <c r="Y49" s="48"/>
      <c r="Z49" s="338"/>
      <c r="AA49" s="43"/>
      <c r="AB49" s="51"/>
      <c r="AC49" s="51"/>
      <c r="AD49" s="51"/>
      <c r="AE49" s="51"/>
      <c r="AF49" s="51"/>
    </row>
    <row r="50">
      <c r="A50" s="43">
        <v>2.0</v>
      </c>
      <c r="B50" s="47" t="s">
        <v>4109</v>
      </c>
      <c r="C50" s="47">
        <v>45.0</v>
      </c>
      <c r="D50" s="47">
        <v>5.0</v>
      </c>
      <c r="E50" s="47" t="s">
        <v>240</v>
      </c>
      <c r="F50" s="156" t="str">
        <f>HYPERLINK("https://tirto.id/suara-pilpres-jokowi-prabowo-politik-identitas-di-kedua-pihak-dYLD","sumber")</f>
        <v>sumber</v>
      </c>
      <c r="G50" s="156" t="str">
        <f>HYPERLINK("https://drive.google.com/open?id=1qU2u0zUoszqNJj5BTsVzvdf3EBeh8CX6","lokasi")</f>
        <v>lokasi</v>
      </c>
      <c r="H50" s="47">
        <v>1358.0</v>
      </c>
      <c r="I50" s="48"/>
      <c r="J50" s="48"/>
      <c r="K50" s="165"/>
      <c r="L50" s="48"/>
      <c r="M50" s="48"/>
      <c r="N50" s="48"/>
      <c r="O50" s="48"/>
      <c r="P50" s="48"/>
      <c r="Q50" s="48"/>
      <c r="R50" s="48"/>
      <c r="S50" s="165"/>
      <c r="T50" s="48"/>
      <c r="U50" s="48"/>
      <c r="V50" s="48"/>
      <c r="W50" s="48"/>
      <c r="X50" s="48"/>
      <c r="Y50" s="48"/>
      <c r="Z50" s="338"/>
      <c r="AA50" s="43"/>
      <c r="AB50" s="51"/>
      <c r="AC50" s="51"/>
      <c r="AD50" s="51"/>
      <c r="AE50" s="51"/>
      <c r="AF50" s="51"/>
    </row>
    <row r="51">
      <c r="A51" s="43">
        <v>2.0</v>
      </c>
      <c r="B51" s="47" t="s">
        <v>4110</v>
      </c>
      <c r="C51" s="47">
        <v>46.0</v>
      </c>
      <c r="D51" s="47">
        <v>9.0</v>
      </c>
      <c r="E51" s="47" t="s">
        <v>2212</v>
      </c>
      <c r="F51" s="156" t="str">
        <f>HYPERLINK("https://khazanah.republika.co.id/berita/dunia-islam/islam-digest/ps58xc313/mengenal-gelar-amirul-mukiminin ","sumber")</f>
        <v>sumber</v>
      </c>
      <c r="G51" s="156" t="str">
        <f>HYPERLINK("https://drive.google.com/open?id=1hWAk2hCuTImIE6hSCF8nggD5Hg__Sv-e","lokasi")</f>
        <v>lokasi</v>
      </c>
      <c r="H51" s="47">
        <v>480.0</v>
      </c>
      <c r="I51" s="48"/>
      <c r="J51" s="48"/>
      <c r="K51" s="165"/>
      <c r="L51" s="48"/>
      <c r="M51" s="48"/>
      <c r="N51" s="48"/>
      <c r="O51" s="48"/>
      <c r="P51" s="48"/>
      <c r="Q51" s="48"/>
      <c r="R51" s="48"/>
      <c r="S51" s="165"/>
      <c r="T51" s="48"/>
      <c r="U51" s="48"/>
      <c r="V51" s="48"/>
      <c r="W51" s="48"/>
      <c r="X51" s="48"/>
      <c r="Y51" s="48"/>
      <c r="Z51" s="338"/>
      <c r="AA51" s="43"/>
      <c r="AB51" s="51"/>
      <c r="AC51" s="51"/>
      <c r="AD51" s="51"/>
      <c r="AE51" s="51"/>
      <c r="AF51" s="51"/>
    </row>
    <row r="52">
      <c r="A52" s="231">
        <v>1.0</v>
      </c>
      <c r="B52" s="44" t="s">
        <v>3001</v>
      </c>
      <c r="C52" s="44">
        <v>47.0</v>
      </c>
      <c r="D52" s="44">
        <v>1.0</v>
      </c>
      <c r="E52" s="44" t="s">
        <v>2216</v>
      </c>
      <c r="F52" s="162" t="str">
        <f>HYPERLINK("https://news.detik.com/berita/d-4570176/jerry-d-gray-bantah-agen-asing-itu-fitnah-saya-juga-dituduh-syiah","sumber")</f>
        <v>sumber</v>
      </c>
      <c r="G52" s="162" t="str">
        <f>HYPERLINK("https://drive.google.com/open?id=1mSSMjSpyo3l_6w53gVTKsSCeH5yRoSdn","lokasi")</f>
        <v>lokasi</v>
      </c>
      <c r="H52" s="44">
        <v>385.0</v>
      </c>
      <c r="I52" s="44">
        <v>2.0</v>
      </c>
      <c r="J52" s="44">
        <v>4.0</v>
      </c>
      <c r="K52" s="164" t="s">
        <v>4111</v>
      </c>
      <c r="L52" s="44">
        <v>0.0</v>
      </c>
      <c r="M52" s="44">
        <v>0.0</v>
      </c>
      <c r="N52" s="44">
        <v>-1.0</v>
      </c>
      <c r="O52" s="44">
        <v>0.0</v>
      </c>
      <c r="P52" s="44">
        <v>0.0</v>
      </c>
      <c r="Q52" s="44">
        <v>2.0</v>
      </c>
      <c r="R52" s="44">
        <v>1.0</v>
      </c>
      <c r="S52" s="175"/>
      <c r="T52" s="44">
        <v>0.0</v>
      </c>
      <c r="U52" s="44">
        <v>-1.0</v>
      </c>
      <c r="V52" s="44">
        <v>0.0</v>
      </c>
      <c r="W52" s="45"/>
      <c r="X52" s="45"/>
      <c r="Y52" s="45"/>
      <c r="Z52" s="9"/>
      <c r="AA52" s="9"/>
      <c r="AB52" s="9"/>
      <c r="AC52" s="9"/>
      <c r="AD52" s="9"/>
      <c r="AE52" s="9"/>
      <c r="AF52" s="9"/>
    </row>
    <row r="53">
      <c r="A53" s="231">
        <v>1.0</v>
      </c>
      <c r="B53" s="44" t="s">
        <v>4112</v>
      </c>
      <c r="C53" s="44">
        <v>48.0</v>
      </c>
      <c r="D53" s="44">
        <v>1.0</v>
      </c>
      <c r="E53" s="268">
        <v>43744.0</v>
      </c>
      <c r="F53" s="162" t="str">
        <f>HYPERLINK("https://news.detik.com/abc-australia/d-4581413/protes-pemerintah-remaja-arab-saudi-hadapi-hukuman-mati","sumber")</f>
        <v>sumber</v>
      </c>
      <c r="G53" s="162" t="str">
        <f>HYPERLINK("https://drive.google.com/open?id=1vtygEsBtGZ_PFxYDHAMyKQJThwhMwUop","lokasi")</f>
        <v>lokasi</v>
      </c>
      <c r="H53" s="44">
        <v>581.0</v>
      </c>
      <c r="I53" s="44">
        <v>4.0</v>
      </c>
      <c r="J53" s="44">
        <v>4.0</v>
      </c>
      <c r="K53" s="164" t="s">
        <v>4113</v>
      </c>
      <c r="L53" s="44">
        <v>0.0</v>
      </c>
      <c r="M53" s="44">
        <v>0.0</v>
      </c>
      <c r="N53" s="166">
        <v>0.0</v>
      </c>
      <c r="O53" s="44">
        <v>0.0</v>
      </c>
      <c r="P53" s="44">
        <v>0.0</v>
      </c>
      <c r="Q53" s="44" t="s">
        <v>61</v>
      </c>
      <c r="R53" s="44" t="s">
        <v>192</v>
      </c>
      <c r="S53" s="175"/>
      <c r="T53" s="44">
        <v>0.0</v>
      </c>
      <c r="U53" s="44">
        <v>-1.0</v>
      </c>
      <c r="V53" s="44">
        <v>0.0</v>
      </c>
      <c r="W53" s="45"/>
      <c r="X53" s="45"/>
      <c r="Y53" s="45"/>
      <c r="Z53" s="9"/>
      <c r="AA53" s="9"/>
      <c r="AB53" s="9"/>
      <c r="AC53" s="9"/>
      <c r="AD53" s="9"/>
      <c r="AE53" s="9"/>
      <c r="AF53" s="9"/>
    </row>
    <row r="54">
      <c r="A54" s="43">
        <v>2.0</v>
      </c>
      <c r="B54" s="47" t="s">
        <v>4114</v>
      </c>
      <c r="C54" s="47">
        <v>49.0</v>
      </c>
      <c r="D54" s="47">
        <v>4.0</v>
      </c>
      <c r="E54" s="47" t="s">
        <v>4115</v>
      </c>
      <c r="F54" s="156" t="str">
        <f>HYPERLINK("https://www.liputan6.com/global/read/3989575/arab-saudi-cegat-5-drone-houthi-beberapa-serang-bandara-abha ","sumber")</f>
        <v>sumber</v>
      </c>
      <c r="G54" s="156" t="str">
        <f>HYPERLINK("https://drive.google.com/open?id=1EvQtMd93t3KofpywHzUN8eh_mgdNV01W","lokasi")</f>
        <v>lokasi</v>
      </c>
      <c r="H54" s="47">
        <v>519.0</v>
      </c>
      <c r="I54" s="48"/>
      <c r="J54" s="48"/>
      <c r="K54" s="165"/>
      <c r="L54" s="48"/>
      <c r="M54" s="48"/>
      <c r="N54" s="48"/>
      <c r="O54" s="48"/>
      <c r="P54" s="48"/>
      <c r="Q54" s="48"/>
      <c r="R54" s="48"/>
      <c r="S54" s="165"/>
      <c r="T54" s="48"/>
      <c r="U54" s="48"/>
      <c r="V54" s="48"/>
      <c r="W54" s="48"/>
      <c r="X54" s="48"/>
      <c r="Y54" s="48"/>
      <c r="Z54" s="338"/>
      <c r="AA54" s="43"/>
      <c r="AB54" s="51"/>
      <c r="AC54" s="51"/>
      <c r="AD54" s="51"/>
      <c r="AE54" s="51"/>
      <c r="AF54" s="51"/>
    </row>
    <row r="55">
      <c r="A55" s="43">
        <v>2.0</v>
      </c>
      <c r="B55" s="47" t="s">
        <v>4116</v>
      </c>
      <c r="C55" s="47">
        <v>50.0</v>
      </c>
      <c r="D55" s="47">
        <v>3.0</v>
      </c>
      <c r="E55" s="47" t="s">
        <v>2070</v>
      </c>
      <c r="F55" s="156" t="str">
        <f>HYPERLINK("https://news.okezone.com/read/2019/06/15/65/2066727/belajar-teknologi-45-mahasiswa-indonesia-dikirim-ke-china ","sumber")</f>
        <v>sumber</v>
      </c>
      <c r="G55" s="156" t="str">
        <f>HYPERLINK("https://drive.google.com/open?id=1cOFjLB4XrRE4LxwgqZO4eKKt55UII0XE","lokasi")</f>
        <v>lokasi</v>
      </c>
      <c r="H55" s="47">
        <v>707.0</v>
      </c>
      <c r="I55" s="48"/>
      <c r="J55" s="48"/>
      <c r="K55" s="165"/>
      <c r="L55" s="48"/>
      <c r="M55" s="48"/>
      <c r="N55" s="48"/>
      <c r="O55" s="48"/>
      <c r="P55" s="48"/>
      <c r="Q55" s="48"/>
      <c r="R55" s="48"/>
      <c r="S55" s="165"/>
      <c r="T55" s="48"/>
      <c r="U55" s="48"/>
      <c r="V55" s="48"/>
      <c r="W55" s="48"/>
      <c r="X55" s="48"/>
      <c r="Y55" s="48"/>
      <c r="Z55" s="338"/>
      <c r="AA55" s="43"/>
      <c r="AB55" s="51"/>
      <c r="AC55" s="51"/>
      <c r="AD55" s="51"/>
      <c r="AE55" s="51"/>
      <c r="AF55" s="51"/>
    </row>
    <row r="56">
      <c r="A56" s="43">
        <v>2.0</v>
      </c>
      <c r="B56" s="47" t="s">
        <v>419</v>
      </c>
      <c r="C56" s="47">
        <v>51.0</v>
      </c>
      <c r="D56" s="47">
        <v>10.0</v>
      </c>
      <c r="E56" s="47" t="s">
        <v>420</v>
      </c>
      <c r="F56" s="156" t="str">
        <f>HYPERLINK("https://dunia.tempo.co/read/1215458/tak-jadi-dieksekusi-mati-remaja-arab-saudi-divonis-12-tahun","sumber")</f>
        <v>sumber</v>
      </c>
      <c r="G56" s="156" t="str">
        <f>HYPERLINK("https://drive.google.com/open?id=1mjjEMTcX0dhAq7YByH1G7lqxR_TuZHhS","lokasi")</f>
        <v>lokasi</v>
      </c>
      <c r="H56" s="47">
        <v>470.0</v>
      </c>
      <c r="I56" s="47"/>
      <c r="J56" s="47"/>
      <c r="K56" s="157"/>
      <c r="L56" s="47"/>
      <c r="M56" s="47"/>
      <c r="N56" s="47"/>
      <c r="O56" s="47"/>
      <c r="P56" s="47"/>
      <c r="Q56" s="47"/>
      <c r="R56" s="47"/>
      <c r="S56" s="165"/>
      <c r="T56" s="47"/>
      <c r="U56" s="47"/>
      <c r="V56" s="47"/>
      <c r="W56" s="48"/>
      <c r="X56" s="48"/>
      <c r="Y56" s="48"/>
      <c r="Z56" s="338"/>
      <c r="AA56" s="43"/>
      <c r="AB56" s="51"/>
      <c r="AC56" s="51"/>
      <c r="AD56" s="51"/>
      <c r="AE56" s="51"/>
      <c r="AF56" s="51"/>
    </row>
    <row r="57">
      <c r="A57" s="43">
        <v>2.0</v>
      </c>
      <c r="B57" s="47" t="s">
        <v>4117</v>
      </c>
      <c r="C57" s="47">
        <v>52.0</v>
      </c>
      <c r="D57" s="47">
        <v>1.0</v>
      </c>
      <c r="E57" s="47" t="s">
        <v>273</v>
      </c>
      <c r="F57" s="156" t="str">
        <f>HYPERLINK("https://news.detik.com/berita/d-4604283/ini-identitas-8-pemuda-yang-tertangkap-bawa-4-kg-sabu-di-bandara-pekanbaru","sumber")</f>
        <v>sumber</v>
      </c>
      <c r="G57" s="156" t="str">
        <f>HYPERLINK("https://drive.google.com/open?id=1Z6RyVytf60c8z992jrLttvNQ6xS2whWo","lokasi")</f>
        <v>lokasi</v>
      </c>
      <c r="H57" s="47">
        <v>288.0</v>
      </c>
      <c r="I57" s="48"/>
      <c r="J57" s="48"/>
      <c r="K57" s="165"/>
      <c r="L57" s="48"/>
      <c r="M57" s="48"/>
      <c r="N57" s="48"/>
      <c r="O57" s="48"/>
      <c r="P57" s="48"/>
      <c r="Q57" s="48"/>
      <c r="R57" s="48"/>
      <c r="S57" s="165"/>
      <c r="T57" s="48"/>
      <c r="U57" s="48"/>
      <c r="V57" s="48"/>
      <c r="W57" s="48"/>
      <c r="X57" s="48"/>
      <c r="Y57" s="48"/>
      <c r="Z57" s="338"/>
      <c r="AA57" s="43"/>
      <c r="AB57" s="51"/>
      <c r="AC57" s="51"/>
      <c r="AD57" s="51"/>
      <c r="AE57" s="51"/>
      <c r="AF57" s="51"/>
    </row>
    <row r="58">
      <c r="A58" s="339">
        <v>1.0</v>
      </c>
      <c r="B58" s="340" t="s">
        <v>4118</v>
      </c>
      <c r="C58" s="44">
        <v>53.0</v>
      </c>
      <c r="D58" s="44">
        <v>10.0</v>
      </c>
      <c r="E58" s="44" t="s">
        <v>2446</v>
      </c>
      <c r="F58" s="162" t="str">
        <f>HYPERLINK("https://nasional.tempo.co/read/1225029/rapor-merah-penagakan-ham-di-era-pemerintahan-joko-widodo ","sumber")</f>
        <v>sumber</v>
      </c>
      <c r="G58" s="162" t="str">
        <f>HYPERLINK("https://drive.google.com/open?id=1-BiKFgORp1fzY-XpoSGGB0sWCjhGdy9e","lokasi")</f>
        <v>lokasi</v>
      </c>
      <c r="H58" s="44">
        <v>577.0</v>
      </c>
      <c r="I58" s="44">
        <v>4.0</v>
      </c>
      <c r="J58" s="44">
        <v>4.0</v>
      </c>
      <c r="K58" s="164" t="s">
        <v>4119</v>
      </c>
      <c r="L58" s="44">
        <v>0.0</v>
      </c>
      <c r="M58" s="44">
        <v>0.0</v>
      </c>
      <c r="N58" s="166">
        <v>0.0</v>
      </c>
      <c r="O58" s="44">
        <v>0.0</v>
      </c>
      <c r="P58" s="44">
        <v>0.0</v>
      </c>
      <c r="Q58" s="44" t="s">
        <v>53</v>
      </c>
      <c r="R58" s="44" t="s">
        <v>242</v>
      </c>
      <c r="S58" s="175"/>
      <c r="T58" s="44">
        <v>0.0</v>
      </c>
      <c r="U58" s="44">
        <v>0.0</v>
      </c>
      <c r="V58" s="44">
        <v>1.0</v>
      </c>
      <c r="W58" s="45"/>
      <c r="X58" s="45"/>
      <c r="Y58" s="45"/>
      <c r="Z58" s="9"/>
      <c r="AA58" s="9"/>
      <c r="AB58" s="9"/>
      <c r="AC58" s="9"/>
      <c r="AD58" s="9"/>
      <c r="AE58" s="9"/>
      <c r="AF58" s="9"/>
    </row>
    <row r="59">
      <c r="A59" s="43">
        <v>2.0</v>
      </c>
      <c r="B59" s="47" t="s">
        <v>4120</v>
      </c>
      <c r="C59" s="47">
        <v>54.0</v>
      </c>
      <c r="D59" s="47">
        <v>1.0</v>
      </c>
      <c r="E59" s="47" t="s">
        <v>2082</v>
      </c>
      <c r="F59" s="156" t="str">
        <f>HYPERLINK("https://news.detik.com/berita/d-4640336/ombudsman-kritik-polda-aceh-yang-tahan-kades-jual-bibit-tanpa-label ","sumber")</f>
        <v>sumber</v>
      </c>
      <c r="G59" s="156" t="str">
        <f>HYPERLINK("https://drive.google.com/open?id=1mu-0uTtZ8TKPImeQBB0BWLYRWvySdGm4","lokasi")</f>
        <v>lokasi</v>
      </c>
      <c r="H59" s="47">
        <v>466.0</v>
      </c>
      <c r="I59" s="48"/>
      <c r="J59" s="48"/>
      <c r="K59" s="165"/>
      <c r="L59" s="48"/>
      <c r="M59" s="48"/>
      <c r="N59" s="48"/>
      <c r="O59" s="48"/>
      <c r="P59" s="48"/>
      <c r="Q59" s="48"/>
      <c r="R59" s="48"/>
      <c r="S59" s="165"/>
      <c r="T59" s="48"/>
      <c r="U59" s="48"/>
      <c r="V59" s="48"/>
      <c r="W59" s="48"/>
      <c r="X59" s="48"/>
      <c r="Y59" s="48"/>
      <c r="Z59" s="338"/>
      <c r="AA59" s="43"/>
      <c r="AB59" s="51"/>
      <c r="AC59" s="51"/>
      <c r="AD59" s="51"/>
      <c r="AE59" s="51"/>
      <c r="AF59" s="51"/>
    </row>
    <row r="60">
      <c r="A60" s="43">
        <v>2.0</v>
      </c>
      <c r="B60" s="47" t="s">
        <v>4121</v>
      </c>
      <c r="C60" s="47">
        <v>55.0</v>
      </c>
      <c r="D60" s="47">
        <v>2.0</v>
      </c>
      <c r="E60" s="47" t="s">
        <v>4122</v>
      </c>
      <c r="F60" s="156" t="str">
        <f>HYPERLINK("https://www.cnnindonesia.com/internasional/20190727180136-120-416069/bahrain-eksekusi-mati-dua-aktivis-syiah ","sumber")</f>
        <v>sumber</v>
      </c>
      <c r="G60" s="156" t="str">
        <f>HYPERLINK("https://drive.google.com/open?id=1LbnhZ2eBUB3heY-dR7xZwmoZCa3V8t7D","lokasi")</f>
        <v>lokasi</v>
      </c>
      <c r="H60" s="47">
        <v>488.0</v>
      </c>
      <c r="I60" s="47"/>
      <c r="J60" s="47"/>
      <c r="K60" s="157"/>
      <c r="L60" s="47"/>
      <c r="M60" s="47"/>
      <c r="N60" s="47"/>
      <c r="O60" s="47"/>
      <c r="P60" s="47"/>
      <c r="Q60" s="47"/>
      <c r="R60" s="47"/>
      <c r="S60" s="165"/>
      <c r="T60" s="47"/>
      <c r="U60" s="47"/>
      <c r="V60" s="47"/>
      <c r="W60" s="48"/>
      <c r="X60" s="48"/>
      <c r="Y60" s="48"/>
      <c r="Z60" s="51"/>
      <c r="AA60" s="51"/>
      <c r="AB60" s="51"/>
      <c r="AC60" s="51"/>
      <c r="AD60" s="51"/>
      <c r="AE60" s="51"/>
      <c r="AF60" s="51"/>
    </row>
    <row r="61">
      <c r="A61" s="43">
        <v>2.0</v>
      </c>
      <c r="B61" s="47" t="s">
        <v>4123</v>
      </c>
      <c r="C61" s="47">
        <v>56.0</v>
      </c>
      <c r="D61" s="47">
        <v>1.0</v>
      </c>
      <c r="E61" s="47" t="s">
        <v>4122</v>
      </c>
      <c r="F61" s="156" t="str">
        <f>HYPERLINK("https://news.detik.com/internasional/d-4641944/bahrain-eksekusi-mati-2-warga-syiah-atas-dakwaan-terorisme ","sumber")</f>
        <v>sumber</v>
      </c>
      <c r="G61" s="156" t="str">
        <f>HYPERLINK("https://drive.google.com/open?id=1UWCUNXhdP9fZA_r1Z_25FrI7mmHlc4VQ","lokasi")</f>
        <v>lokasi</v>
      </c>
      <c r="H61" s="47">
        <v>244.0</v>
      </c>
      <c r="I61" s="47"/>
      <c r="J61" s="47"/>
      <c r="K61" s="157"/>
      <c r="L61" s="47"/>
      <c r="M61" s="47"/>
      <c r="N61" s="47"/>
      <c r="O61" s="47"/>
      <c r="P61" s="47"/>
      <c r="Q61" s="47"/>
      <c r="R61" s="47"/>
      <c r="S61" s="165"/>
      <c r="T61" s="47"/>
      <c r="U61" s="47"/>
      <c r="V61" s="47"/>
      <c r="W61" s="48"/>
      <c r="X61" s="48"/>
      <c r="Y61" s="48"/>
      <c r="Z61" s="51"/>
      <c r="AA61" s="51"/>
      <c r="AB61" s="51"/>
      <c r="AC61" s="51"/>
      <c r="AD61" s="51"/>
      <c r="AE61" s="51"/>
      <c r="AF61" s="51"/>
    </row>
    <row r="62">
      <c r="A62" s="43">
        <v>2.0</v>
      </c>
      <c r="B62" s="47" t="s">
        <v>4124</v>
      </c>
      <c r="C62" s="47">
        <v>57.0</v>
      </c>
      <c r="D62" s="47">
        <v>10.0</v>
      </c>
      <c r="E62" s="47" t="s">
        <v>4122</v>
      </c>
      <c r="F62" s="156" t="str">
        <f>HYPERLINK("https://dunia.tempo.co/read/1229180/sheikh-salman-al-awda-ulama-arab-saudi-yang-terancam-dieksekusi ","sumber")</f>
        <v>sumber</v>
      </c>
      <c r="G62" s="156" t="str">
        <f>HYPERLINK("https://drive.google.com/open?id=1zyymjHFUy0SX56MokYj6opeD7W1Od8pE","lokasi")</f>
        <v>lokasi</v>
      </c>
      <c r="H62" s="47">
        <v>666.0</v>
      </c>
      <c r="I62" s="47"/>
      <c r="J62" s="47"/>
      <c r="K62" s="157"/>
      <c r="L62" s="47"/>
      <c r="M62" s="47"/>
      <c r="N62" s="47"/>
      <c r="O62" s="47"/>
      <c r="P62" s="47"/>
      <c r="Q62" s="223"/>
      <c r="R62" s="47"/>
      <c r="S62" s="165"/>
      <c r="T62" s="48"/>
      <c r="U62" s="48"/>
      <c r="V62" s="48"/>
      <c r="W62" s="48"/>
      <c r="X62" s="48"/>
      <c r="Y62" s="48"/>
      <c r="Z62" s="338"/>
      <c r="AA62" s="43"/>
      <c r="AB62" s="51"/>
      <c r="AC62" s="51"/>
      <c r="AD62" s="51"/>
      <c r="AE62" s="51"/>
      <c r="AF62" s="51"/>
    </row>
    <row r="63">
      <c r="A63" s="43">
        <v>2.0</v>
      </c>
      <c r="B63" s="47" t="s">
        <v>3050</v>
      </c>
      <c r="C63" s="47">
        <v>58.0</v>
      </c>
      <c r="D63" s="47">
        <v>10.0</v>
      </c>
      <c r="E63" s="280">
        <v>43654.0</v>
      </c>
      <c r="F63" s="156" t="str">
        <f>HYPERLINK("https://dunia.tempo.co/read/1232942/hak-istimewa-kashmir-dicabut-pakistan-dan-india-terancam-perang ","sumber")</f>
        <v>sumber</v>
      </c>
      <c r="G63" s="156" t="str">
        <f>HYPERLINK("https://drive.google.com/open?id=18V5uShNVHsr8qLQxkEWXJCvOx8jeL4cP","lokasi")</f>
        <v>lokasi</v>
      </c>
      <c r="H63" s="47">
        <v>456.0</v>
      </c>
      <c r="I63" s="48"/>
      <c r="J63" s="47"/>
      <c r="K63" s="165"/>
      <c r="L63" s="48"/>
      <c r="M63" s="48"/>
      <c r="N63" s="48"/>
      <c r="O63" s="48"/>
      <c r="P63" s="48"/>
      <c r="Q63" s="48"/>
      <c r="R63" s="48"/>
      <c r="S63" s="165"/>
      <c r="T63" s="48"/>
      <c r="U63" s="48"/>
      <c r="V63" s="48"/>
      <c r="W63" s="48"/>
      <c r="X63" s="48"/>
      <c r="Y63" s="48"/>
      <c r="Z63" s="338"/>
      <c r="AA63" s="43"/>
      <c r="AB63" s="51"/>
      <c r="AC63" s="51"/>
      <c r="AD63" s="51"/>
      <c r="AE63" s="51"/>
      <c r="AF63" s="51"/>
    </row>
    <row r="64">
      <c r="A64" s="43">
        <v>2.0</v>
      </c>
      <c r="B64" s="47" t="s">
        <v>4125</v>
      </c>
      <c r="C64" s="47">
        <v>59.0</v>
      </c>
      <c r="D64" s="47">
        <v>4.0</v>
      </c>
      <c r="E64" s="47" t="s">
        <v>300</v>
      </c>
      <c r="F64" s="156" t="str">
        <f>HYPERLINK("https://www.liputan6.com/global/read/4040738/ledakan-bom-hantam-pesta-pernikahan-di-afghanistan-60-orang-tewas ","sumber")</f>
        <v>sumber</v>
      </c>
      <c r="G64" s="47" t="s">
        <v>33</v>
      </c>
      <c r="H64" s="47">
        <v>428.0</v>
      </c>
      <c r="I64" s="48"/>
      <c r="J64" s="47"/>
      <c r="K64" s="165"/>
      <c r="L64" s="48"/>
      <c r="M64" s="48"/>
      <c r="N64" s="48"/>
      <c r="O64" s="48"/>
      <c r="P64" s="48"/>
      <c r="Q64" s="48"/>
      <c r="R64" s="48"/>
      <c r="S64" s="165"/>
      <c r="T64" s="48"/>
      <c r="U64" s="48"/>
      <c r="V64" s="48"/>
      <c r="W64" s="48"/>
      <c r="X64" s="48"/>
      <c r="Y64" s="48"/>
      <c r="Z64" s="338"/>
      <c r="AA64" s="43"/>
      <c r="AB64" s="51"/>
      <c r="AC64" s="51"/>
      <c r="AD64" s="51"/>
      <c r="AE64" s="51"/>
      <c r="AF64" s="51"/>
    </row>
    <row r="65">
      <c r="A65" s="43">
        <v>2.0</v>
      </c>
      <c r="B65" s="47" t="s">
        <v>4126</v>
      </c>
      <c r="C65" s="47">
        <v>60.0</v>
      </c>
      <c r="D65" s="47">
        <v>8.0</v>
      </c>
      <c r="E65" s="47" t="s">
        <v>300</v>
      </c>
      <c r="F65" s="156" t="str">
        <f>HYPERLINK("https://www.suara.com/news/2019/08/18/134006/bom-bunuh-diri-meledak-di-acara-pesta-perkawinan-63-orang-tewas ","sumber")</f>
        <v>sumber</v>
      </c>
      <c r="G65" s="47" t="s">
        <v>33</v>
      </c>
      <c r="H65" s="47">
        <v>245.0</v>
      </c>
      <c r="I65" s="48"/>
      <c r="J65" s="47"/>
      <c r="K65" s="165"/>
      <c r="L65" s="48"/>
      <c r="M65" s="48"/>
      <c r="N65" s="48"/>
      <c r="O65" s="48"/>
      <c r="P65" s="48"/>
      <c r="Q65" s="48"/>
      <c r="R65" s="48"/>
      <c r="S65" s="165"/>
      <c r="T65" s="48"/>
      <c r="U65" s="48"/>
      <c r="V65" s="48"/>
      <c r="W65" s="48"/>
      <c r="X65" s="48"/>
      <c r="Y65" s="48"/>
      <c r="Z65" s="338"/>
      <c r="AA65" s="43"/>
      <c r="AB65" s="51"/>
      <c r="AC65" s="51"/>
      <c r="AD65" s="51"/>
      <c r="AE65" s="51"/>
      <c r="AF65" s="51"/>
    </row>
    <row r="66">
      <c r="A66" s="43">
        <v>2.0</v>
      </c>
      <c r="B66" s="47" t="s">
        <v>1206</v>
      </c>
      <c r="C66" s="47">
        <v>61.0</v>
      </c>
      <c r="D66" s="47">
        <v>1.0</v>
      </c>
      <c r="E66" s="47" t="s">
        <v>2472</v>
      </c>
      <c r="F66" s="156" t="str">
        <f>HYPERLINK("https://news.detik.com/bbc-world/d-4672349/pesta-pernikahan-disasar-bom-pengantin-pria-di-afganistan-hilang-harapan ","sumber")</f>
        <v>sumber</v>
      </c>
      <c r="G66" s="47" t="s">
        <v>33</v>
      </c>
      <c r="H66" s="47">
        <v>646.0</v>
      </c>
      <c r="I66" s="48"/>
      <c r="J66" s="47"/>
      <c r="K66" s="165"/>
      <c r="L66" s="48"/>
      <c r="M66" s="48"/>
      <c r="N66" s="48"/>
      <c r="O66" s="48"/>
      <c r="P66" s="48"/>
      <c r="Q66" s="48"/>
      <c r="R66" s="48"/>
      <c r="S66" s="165"/>
      <c r="T66" s="48"/>
      <c r="U66" s="48"/>
      <c r="V66" s="48"/>
      <c r="W66" s="48"/>
      <c r="X66" s="48"/>
      <c r="Y66" s="48"/>
      <c r="Z66" s="338"/>
      <c r="AA66" s="43"/>
      <c r="AB66" s="51"/>
      <c r="AC66" s="51"/>
      <c r="AD66" s="51"/>
      <c r="AE66" s="51"/>
      <c r="AF66" s="51"/>
    </row>
    <row r="67">
      <c r="A67" s="231">
        <v>1.0</v>
      </c>
      <c r="B67" s="44" t="s">
        <v>4127</v>
      </c>
      <c r="C67" s="44">
        <v>62.0</v>
      </c>
      <c r="D67" s="44">
        <v>4.0</v>
      </c>
      <c r="E67" s="44" t="s">
        <v>2472</v>
      </c>
      <c r="F67" s="162" t="str">
        <f>HYPERLINK("https://www.liputan6.com/global/read/4041215/isis-akui-dalang-bom-di-pesta-pernikahan-afghanistan-yang-tewaskan-63-orang ","sumber")</f>
        <v>sumber</v>
      </c>
      <c r="G67" s="44" t="s">
        <v>33</v>
      </c>
      <c r="H67" s="44">
        <v>487.0</v>
      </c>
      <c r="I67" s="44">
        <v>1.0</v>
      </c>
      <c r="J67" s="44">
        <v>4.0</v>
      </c>
      <c r="K67" s="164" t="s">
        <v>4128</v>
      </c>
      <c r="L67" s="44">
        <v>-1.0</v>
      </c>
      <c r="M67" s="44">
        <v>-1.0</v>
      </c>
      <c r="N67" s="166">
        <v>0.0</v>
      </c>
      <c r="O67" s="44">
        <v>0.0</v>
      </c>
      <c r="P67" s="44">
        <v>0.0</v>
      </c>
      <c r="Q67" s="44" t="s">
        <v>191</v>
      </c>
      <c r="R67" s="44" t="s">
        <v>192</v>
      </c>
      <c r="S67" s="175"/>
      <c r="T67" s="44">
        <v>0.0</v>
      </c>
      <c r="U67" s="44">
        <v>0.0</v>
      </c>
      <c r="V67" s="44">
        <v>1.0</v>
      </c>
      <c r="W67" s="45"/>
      <c r="X67" s="45"/>
      <c r="Y67" s="45"/>
      <c r="Z67" s="9"/>
      <c r="AA67" s="9"/>
      <c r="AB67" s="9"/>
      <c r="AC67" s="9"/>
      <c r="AD67" s="9"/>
      <c r="AE67" s="9"/>
      <c r="AF67" s="9"/>
    </row>
    <row r="68">
      <c r="A68" s="43">
        <v>2.0</v>
      </c>
      <c r="B68" s="47" t="s">
        <v>4129</v>
      </c>
      <c r="C68" s="47">
        <v>63.0</v>
      </c>
      <c r="D68" s="47">
        <v>6.0</v>
      </c>
      <c r="E68" s="47" t="s">
        <v>315</v>
      </c>
      <c r="F68" s="156" t="str">
        <f>HYPERLINK("https://internasional.kompas.com/read/2019/08/27/23070641/israel-peringatkan-hezbollah-hati-hati-dengan-kata-kata-dan-tindakan ","sumber")</f>
        <v>sumber</v>
      </c>
      <c r="G68" s="47" t="s">
        <v>33</v>
      </c>
      <c r="H68" s="47">
        <v>227.0</v>
      </c>
      <c r="I68" s="48"/>
      <c r="J68" s="47">
        <v>4.0</v>
      </c>
      <c r="K68" s="165"/>
      <c r="L68" s="48"/>
      <c r="M68" s="48"/>
      <c r="N68" s="48"/>
      <c r="O68" s="48"/>
      <c r="P68" s="48"/>
      <c r="Q68" s="48"/>
      <c r="R68" s="48"/>
      <c r="S68" s="165"/>
      <c r="T68" s="48"/>
      <c r="U68" s="48"/>
      <c r="V68" s="48"/>
      <c r="W68" s="48"/>
      <c r="X68" s="48"/>
      <c r="Y68" s="48"/>
      <c r="Z68" s="338"/>
      <c r="AA68" s="43"/>
      <c r="AB68" s="51"/>
      <c r="AC68" s="51"/>
      <c r="AD68" s="51"/>
      <c r="AE68" s="51"/>
      <c r="AF68" s="51"/>
    </row>
    <row r="69">
      <c r="A69" s="43">
        <v>2.0</v>
      </c>
      <c r="B69" s="47" t="s">
        <v>4130</v>
      </c>
      <c r="C69" s="47">
        <v>64.0</v>
      </c>
      <c r="D69" s="47">
        <v>7.0</v>
      </c>
      <c r="E69" s="47" t="s">
        <v>318</v>
      </c>
      <c r="F69" s="156" t="str">
        <f>HYPERLINK("https://www.tribunnews.com/kilas-kementerian/2019/08/29/universitas-sumatera-utara-juara-debat-konstitusi-mpr ","sumber")</f>
        <v>sumber</v>
      </c>
      <c r="G69" s="47" t="s">
        <v>33</v>
      </c>
      <c r="H69" s="47">
        <v>516.0</v>
      </c>
      <c r="I69" s="48"/>
      <c r="J69" s="47">
        <v>4.0</v>
      </c>
      <c r="K69" s="165"/>
      <c r="L69" s="48"/>
      <c r="M69" s="48"/>
      <c r="N69" s="48"/>
      <c r="O69" s="48"/>
      <c r="P69" s="48"/>
      <c r="Q69" s="48"/>
      <c r="R69" s="48"/>
      <c r="S69" s="165"/>
      <c r="T69" s="48"/>
      <c r="U69" s="48"/>
      <c r="V69" s="48"/>
      <c r="W69" s="48"/>
      <c r="X69" s="48"/>
      <c r="Y69" s="48"/>
      <c r="Z69" s="338"/>
      <c r="AA69" s="43"/>
      <c r="AB69" s="51"/>
      <c r="AC69" s="51"/>
      <c r="AD69" s="51"/>
      <c r="AE69" s="51"/>
      <c r="AF69" s="51"/>
    </row>
    <row r="70">
      <c r="A70" s="342">
        <v>2.0</v>
      </c>
      <c r="B70" s="343" t="s">
        <v>4131</v>
      </c>
      <c r="C70" s="47">
        <v>65.0</v>
      </c>
      <c r="D70" s="47">
        <v>6.0</v>
      </c>
      <c r="E70" s="47" t="s">
        <v>2665</v>
      </c>
      <c r="F70" s="156" t="str">
        <f>HYPERLINK("https://internasional.kompas.com/read/2019/08/30/22013471/israel-tuding-iran-dan-hezbollah-bekerja-sama-kembangkan-rudal-kendali ","sumber")</f>
        <v>sumber</v>
      </c>
      <c r="G70" s="47" t="s">
        <v>33</v>
      </c>
      <c r="H70" s="47">
        <v>265.0</v>
      </c>
      <c r="I70" s="48"/>
      <c r="J70" s="47">
        <v>4.0</v>
      </c>
      <c r="K70" s="165"/>
      <c r="L70" s="48"/>
      <c r="M70" s="48"/>
      <c r="N70" s="48"/>
      <c r="O70" s="48"/>
      <c r="P70" s="48"/>
      <c r="Q70" s="48"/>
      <c r="R70" s="48"/>
      <c r="S70" s="165"/>
      <c r="T70" s="48"/>
      <c r="U70" s="48"/>
      <c r="V70" s="48"/>
      <c r="W70" s="48"/>
      <c r="X70" s="48"/>
      <c r="Y70" s="48"/>
      <c r="Z70" s="338"/>
      <c r="AA70" s="43"/>
      <c r="AB70" s="51"/>
      <c r="AC70" s="51"/>
      <c r="AD70" s="51"/>
      <c r="AE70" s="51"/>
      <c r="AF70" s="51"/>
    </row>
    <row r="71">
      <c r="A71" s="43">
        <v>2.0</v>
      </c>
      <c r="B71" s="47" t="s">
        <v>4132</v>
      </c>
      <c r="C71" s="47">
        <v>66.0</v>
      </c>
      <c r="D71" s="47">
        <v>6.0</v>
      </c>
      <c r="E71" s="280">
        <v>43474.0</v>
      </c>
      <c r="F71" s="156" t="str">
        <f>HYPERLINK("https://nasional.okezone.com/read/2019/09/01/337/2099292/kritik-hasil-tes-cpns-dosen-unsyiah-dilaporkan-ke-polisi-oleh-dekan ","sumber")</f>
        <v>sumber</v>
      </c>
      <c r="G71" s="47" t="s">
        <v>33</v>
      </c>
      <c r="H71" s="47">
        <v>639.0</v>
      </c>
      <c r="I71" s="48"/>
      <c r="J71" s="47">
        <v>4.0</v>
      </c>
      <c r="K71" s="165"/>
      <c r="L71" s="48"/>
      <c r="M71" s="48"/>
      <c r="N71" s="48"/>
      <c r="O71" s="48"/>
      <c r="P71" s="48"/>
      <c r="Q71" s="48"/>
      <c r="R71" s="48"/>
      <c r="S71" s="165"/>
      <c r="T71" s="48"/>
      <c r="U71" s="48"/>
      <c r="V71" s="48"/>
      <c r="W71" s="48"/>
      <c r="X71" s="48"/>
      <c r="Y71" s="48"/>
      <c r="Z71" s="338"/>
      <c r="AA71" s="43"/>
      <c r="AB71" s="51"/>
      <c r="AC71" s="51"/>
      <c r="AD71" s="51"/>
      <c r="AE71" s="51"/>
      <c r="AF71" s="51"/>
    </row>
    <row r="72">
      <c r="A72" s="231">
        <v>1.0</v>
      </c>
      <c r="B72" s="44" t="s">
        <v>4133</v>
      </c>
      <c r="C72" s="44">
        <v>67.0</v>
      </c>
      <c r="D72" s="44">
        <v>10.0</v>
      </c>
      <c r="E72" s="268">
        <v>43474.0</v>
      </c>
      <c r="F72" s="162" t="str">
        <f>HYPERLINK("https://travel.tempo.co/read/1242655/destinasi-wisata-ini-ramai-saat-malam-1-suro-dan-hari-biasa ","sumber")</f>
        <v>sumber</v>
      </c>
      <c r="G72" s="162" t="str">
        <f>HYPERLINK("https://drive.google.com/open?id=1cWgTERx_3bjsDKNcySDbLr2mx0O0-PPW","lokasi")</f>
        <v>lokasi</v>
      </c>
      <c r="H72" s="44">
        <v>501.0</v>
      </c>
      <c r="I72" s="44">
        <v>3.0</v>
      </c>
      <c r="J72" s="44">
        <v>4.0</v>
      </c>
      <c r="K72" s="164"/>
      <c r="L72" s="44">
        <v>-1.0</v>
      </c>
      <c r="M72" s="44">
        <v>0.0</v>
      </c>
      <c r="N72" s="166">
        <v>0.0</v>
      </c>
      <c r="O72" s="44">
        <v>0.0</v>
      </c>
      <c r="P72" s="44">
        <v>-1.0</v>
      </c>
      <c r="Q72" s="44"/>
      <c r="R72" s="44"/>
      <c r="S72" s="175"/>
      <c r="T72" s="44">
        <v>0.0</v>
      </c>
      <c r="U72" s="44">
        <v>0.0</v>
      </c>
      <c r="V72" s="44">
        <v>1.0</v>
      </c>
      <c r="W72" s="45"/>
      <c r="X72" s="45"/>
      <c r="Y72" s="45"/>
      <c r="Z72" s="9"/>
      <c r="AA72" s="9"/>
      <c r="AB72" s="9"/>
      <c r="AC72" s="9"/>
      <c r="AD72" s="9"/>
      <c r="AE72" s="9"/>
      <c r="AF72" s="9"/>
    </row>
    <row r="73">
      <c r="A73" s="43">
        <v>2.0</v>
      </c>
      <c r="B73" s="47" t="s">
        <v>4134</v>
      </c>
      <c r="C73" s="47">
        <v>68.0</v>
      </c>
      <c r="D73" s="47">
        <v>4.0</v>
      </c>
      <c r="E73" s="280">
        <v>43505.0</v>
      </c>
      <c r="F73" s="156" t="str">
        <f>HYPERLINK("https://www.liputan6.com/global/read/4052614/ketegangan-meningkat-hizbulah-dan-israel-saling-balas-serangan-roket ","sumber")</f>
        <v>sumber</v>
      </c>
      <c r="G73" s="156" t="str">
        <f>HYPERLINK("https://drive.google.com/open?id=1KDJqXfRzHvTgUCFd11R5dPuJqp3ziQsZ","lokasi")</f>
        <v>lokasi</v>
      </c>
      <c r="H73" s="47">
        <v>414.0</v>
      </c>
      <c r="I73" s="48"/>
      <c r="J73" s="47">
        <v>4.0</v>
      </c>
      <c r="K73" s="165"/>
      <c r="L73" s="48"/>
      <c r="M73" s="48"/>
      <c r="N73" s="48"/>
      <c r="O73" s="48"/>
      <c r="P73" s="48"/>
      <c r="Q73" s="48"/>
      <c r="R73" s="48"/>
      <c r="S73" s="165"/>
      <c r="T73" s="48"/>
      <c r="U73" s="48"/>
      <c r="V73" s="48"/>
      <c r="W73" s="48"/>
      <c r="X73" s="48"/>
      <c r="Y73" s="48"/>
      <c r="Z73" s="338"/>
      <c r="AA73" s="43"/>
      <c r="AB73" s="51"/>
      <c r="AC73" s="51"/>
      <c r="AD73" s="51"/>
      <c r="AE73" s="51"/>
      <c r="AF73" s="51"/>
    </row>
    <row r="74">
      <c r="A74" s="43">
        <v>2.0</v>
      </c>
      <c r="B74" s="47" t="s">
        <v>4135</v>
      </c>
      <c r="C74" s="47">
        <v>69.0</v>
      </c>
      <c r="D74" s="47">
        <v>3.0</v>
      </c>
      <c r="E74" s="280">
        <v>43505.0</v>
      </c>
      <c r="F74" s="156" t="str">
        <f>HYPERLINK("https://nasional.okezone.com/read/2019/09/02/337/2099429/wapres-jk-bertolak-ke-aceh-hadiri-milad-ke-58-unsyiah ","sumber")</f>
        <v>sumber</v>
      </c>
      <c r="G74" s="47" t="s">
        <v>33</v>
      </c>
      <c r="H74" s="47">
        <v>311.0</v>
      </c>
      <c r="I74" s="48"/>
      <c r="J74" s="47">
        <v>4.0</v>
      </c>
      <c r="K74" s="165"/>
      <c r="L74" s="48"/>
      <c r="M74" s="48"/>
      <c r="N74" s="48"/>
      <c r="O74" s="48"/>
      <c r="P74" s="48"/>
      <c r="Q74" s="48"/>
      <c r="R74" s="48"/>
      <c r="S74" s="165"/>
      <c r="T74" s="48"/>
      <c r="U74" s="48"/>
      <c r="V74" s="48"/>
      <c r="W74" s="48"/>
      <c r="X74" s="48"/>
      <c r="Y74" s="48"/>
      <c r="Z74" s="338"/>
      <c r="AA74" s="43"/>
      <c r="AB74" s="51"/>
      <c r="AC74" s="51"/>
      <c r="AD74" s="51"/>
      <c r="AE74" s="51"/>
      <c r="AF74" s="51"/>
    </row>
    <row r="75">
      <c r="A75" s="231">
        <v>1.0</v>
      </c>
      <c r="B75" s="44" t="s">
        <v>4136</v>
      </c>
      <c r="C75" s="44">
        <v>70.0</v>
      </c>
      <c r="D75" s="44">
        <v>9.0</v>
      </c>
      <c r="E75" s="268">
        <v>43564.0</v>
      </c>
      <c r="F75" s="162" t="str">
        <f>HYPERLINK("https://khazanah.republika.co.id/berita/pxajkk366/alquran-tertua-dari-indonesia-tersimpan-di-thailand ","sumber")</f>
        <v>sumber</v>
      </c>
      <c r="G75" s="44" t="s">
        <v>33</v>
      </c>
      <c r="H75" s="44">
        <v>69.0</v>
      </c>
      <c r="I75" s="44">
        <v>5.0</v>
      </c>
      <c r="J75" s="44">
        <v>4.0</v>
      </c>
      <c r="K75" s="164" t="s">
        <v>4137</v>
      </c>
      <c r="L75" s="44">
        <v>0.0</v>
      </c>
      <c r="M75" s="44">
        <v>0.0</v>
      </c>
      <c r="N75" s="166">
        <v>0.0</v>
      </c>
      <c r="O75" s="44">
        <v>0.0</v>
      </c>
      <c r="P75" s="44">
        <v>0.0</v>
      </c>
      <c r="Q75" s="44">
        <v>1.0</v>
      </c>
      <c r="R75" s="44">
        <v>1.0</v>
      </c>
      <c r="S75" s="175"/>
      <c r="T75" s="44">
        <v>0.0</v>
      </c>
      <c r="U75" s="44">
        <v>0.0</v>
      </c>
      <c r="V75" s="44">
        <v>0.0</v>
      </c>
      <c r="W75" s="45"/>
      <c r="X75" s="45"/>
      <c r="Y75" s="45"/>
      <c r="Z75" s="9"/>
      <c r="AA75" s="9"/>
      <c r="AB75" s="9"/>
      <c r="AC75" s="9"/>
      <c r="AD75" s="9"/>
      <c r="AE75" s="9"/>
      <c r="AF75" s="9"/>
    </row>
    <row r="76">
      <c r="A76" s="43">
        <v>2.0</v>
      </c>
      <c r="B76" s="47" t="s">
        <v>3062</v>
      </c>
      <c r="C76" s="47">
        <v>71.0</v>
      </c>
      <c r="D76" s="47">
        <v>4.0</v>
      </c>
      <c r="E76" s="280">
        <v>43466.0</v>
      </c>
      <c r="F76" s="156" t="str">
        <f>HYPERLINK("https://www.liputan6.com/news/read/3861102/di-pengujung-tahun-asrorun-niam-sabet-youth-achievement-award-2018 ","sumber")</f>
        <v>sumber</v>
      </c>
      <c r="G76" s="47" t="s">
        <v>33</v>
      </c>
      <c r="H76" s="47">
        <v>295.0</v>
      </c>
      <c r="I76" s="48"/>
      <c r="J76" s="47">
        <v>2.0</v>
      </c>
      <c r="K76" s="165"/>
      <c r="L76" s="48"/>
      <c r="M76" s="48"/>
      <c r="N76" s="48"/>
      <c r="O76" s="48"/>
      <c r="P76" s="48"/>
      <c r="Q76" s="48"/>
      <c r="R76" s="48"/>
      <c r="S76" s="165"/>
      <c r="T76" s="48"/>
      <c r="U76" s="48"/>
      <c r="V76" s="48"/>
      <c r="W76" s="48"/>
      <c r="X76" s="48"/>
      <c r="Y76" s="48"/>
      <c r="Z76" s="338"/>
      <c r="AA76" s="43"/>
      <c r="AB76" s="51"/>
      <c r="AC76" s="51"/>
      <c r="AD76" s="51"/>
      <c r="AE76" s="51"/>
      <c r="AF76" s="51"/>
    </row>
    <row r="77">
      <c r="A77" s="231">
        <v>1.0</v>
      </c>
      <c r="B77" s="44" t="s">
        <v>4138</v>
      </c>
      <c r="C77" s="44">
        <v>72.0</v>
      </c>
      <c r="D77" s="44">
        <v>10.0</v>
      </c>
      <c r="E77" s="268">
        <v>43497.0</v>
      </c>
      <c r="F77" s="162" t="str">
        <f>HYPERLINK("https://difabel.tempo.co/read/1160743/tips-bagi-musikus-difabel-bersaing-di-industri-musik ","sumber")</f>
        <v>sumber</v>
      </c>
      <c r="G77" s="162" t="str">
        <f>HYPERLINK("https://drive.google.com/open?id=1heHhN99YrfcdLodpxB8MtO2WvloCjrIt","lokasi")</f>
        <v>lokasi</v>
      </c>
      <c r="H77" s="44">
        <v>285.0</v>
      </c>
      <c r="I77" s="44">
        <v>2.0</v>
      </c>
      <c r="J77" s="44">
        <v>2.0</v>
      </c>
      <c r="K77" s="164" t="s">
        <v>4139</v>
      </c>
      <c r="L77" s="44">
        <v>0.0</v>
      </c>
      <c r="M77" s="44">
        <v>0.0</v>
      </c>
      <c r="N77" s="166">
        <v>0.0</v>
      </c>
      <c r="O77" s="44">
        <v>0.0</v>
      </c>
      <c r="P77" s="44">
        <v>0.0</v>
      </c>
      <c r="Q77" s="44">
        <v>0.0</v>
      </c>
      <c r="R77" s="44">
        <v>1.0</v>
      </c>
      <c r="S77" s="175"/>
      <c r="T77" s="44">
        <v>0.0</v>
      </c>
      <c r="U77" s="44">
        <v>0.0</v>
      </c>
      <c r="V77" s="44">
        <v>1.0</v>
      </c>
      <c r="W77" s="45"/>
      <c r="X77" s="45"/>
      <c r="Y77" s="45"/>
      <c r="Z77" s="52"/>
      <c r="AA77" s="9"/>
      <c r="AB77" s="9"/>
      <c r="AC77" s="9"/>
      <c r="AD77" s="9"/>
      <c r="AE77" s="9"/>
      <c r="AF77" s="9"/>
    </row>
    <row r="78">
      <c r="A78" s="252">
        <v>1.0</v>
      </c>
      <c r="B78" s="173" t="s">
        <v>4140</v>
      </c>
      <c r="C78" s="55">
        <v>73.0</v>
      </c>
      <c r="D78" s="55">
        <v>10.0</v>
      </c>
      <c r="E78" s="55" t="s">
        <v>689</v>
      </c>
      <c r="F78" s="171" t="str">
        <f>HYPERLINK("https://pilpres.tempo.co/read/1164817/pernyataan-prabowo-akan-mundur-timses-jokowi-upaya-delegitimasi ","sumber")</f>
        <v>sumber</v>
      </c>
      <c r="G78" s="171" t="str">
        <f>HYPERLINK("https://drive.google.com/open?id=1ft3Yrro6-RRzhEDbin0cZhsQzADr1dxA","lokasi")</f>
        <v>lokasi</v>
      </c>
      <c r="H78" s="55">
        <v>311.0</v>
      </c>
      <c r="I78" s="55">
        <v>1.0</v>
      </c>
      <c r="J78" s="55">
        <v>2.0</v>
      </c>
      <c r="K78" s="172" t="s">
        <v>4141</v>
      </c>
      <c r="L78" s="55">
        <v>0.0</v>
      </c>
      <c r="M78" s="188">
        <v>0.0</v>
      </c>
      <c r="N78" s="173">
        <v>0.0</v>
      </c>
      <c r="O78" s="55">
        <v>0.0</v>
      </c>
      <c r="P78" s="55">
        <v>0.0</v>
      </c>
      <c r="Q78" s="55" t="s">
        <v>61</v>
      </c>
      <c r="R78" s="55" t="s">
        <v>85</v>
      </c>
      <c r="S78" s="174"/>
      <c r="T78" s="55">
        <v>0.0</v>
      </c>
      <c r="U78" s="55">
        <v>0.0</v>
      </c>
      <c r="V78" s="55">
        <v>1.0</v>
      </c>
      <c r="W78" s="46"/>
      <c r="X78" s="46"/>
      <c r="Y78" s="46"/>
      <c r="Z78" s="302"/>
      <c r="AA78" s="30"/>
      <c r="AB78" s="31"/>
      <c r="AC78" s="31"/>
      <c r="AD78" s="31"/>
      <c r="AE78" s="31"/>
      <c r="AF78" s="31"/>
    </row>
    <row r="79">
      <c r="A79" s="43">
        <v>2.0</v>
      </c>
      <c r="B79" s="47" t="s">
        <v>4142</v>
      </c>
      <c r="C79" s="47">
        <v>74.0</v>
      </c>
      <c r="D79" s="47">
        <v>6.0</v>
      </c>
      <c r="E79" s="47" t="s">
        <v>457</v>
      </c>
      <c r="F79" s="156" t="str">
        <f>HYPERLINK("https://biz.kompas.com/read/2019/01/16/114502328/tingkatkan-manfaat-bagi-pmi-bpjs-ketenagakerjaan-persembahan-awal-tahun-bagi-pmi ","sumber")</f>
        <v>sumber</v>
      </c>
      <c r="G79" s="156" t="str">
        <f>HYPERLINK("https://drive.google.com/open?id=1DVm1UdLt1pxx7tDIShd8neiRDuObbRv8","lokasi")</f>
        <v>lokasi</v>
      </c>
      <c r="H79" s="47">
        <v>493.0</v>
      </c>
      <c r="I79" s="48"/>
      <c r="J79" s="47">
        <v>2.0</v>
      </c>
      <c r="K79" s="165"/>
      <c r="L79" s="48"/>
      <c r="M79" s="48"/>
      <c r="N79" s="48"/>
      <c r="O79" s="48"/>
      <c r="P79" s="48"/>
      <c r="Q79" s="48"/>
      <c r="R79" s="48"/>
      <c r="S79" s="165"/>
      <c r="T79" s="48"/>
      <c r="U79" s="48"/>
      <c r="V79" s="48"/>
      <c r="W79" s="48"/>
      <c r="X79" s="48"/>
      <c r="Y79" s="48"/>
      <c r="Z79" s="338"/>
      <c r="AA79" s="43"/>
      <c r="AB79" s="51"/>
      <c r="AC79" s="51"/>
      <c r="AD79" s="51"/>
      <c r="AE79" s="51"/>
      <c r="AF79" s="51"/>
    </row>
    <row r="80">
      <c r="A80" s="231">
        <v>1.0</v>
      </c>
      <c r="B80" s="44" t="s">
        <v>4143</v>
      </c>
      <c r="C80" s="44">
        <v>75.0</v>
      </c>
      <c r="D80" s="44">
        <v>1.0</v>
      </c>
      <c r="E80" s="44" t="s">
        <v>2893</v>
      </c>
      <c r="F80" s="162" t="str">
        <f>HYPERLINK("https://news.detik.com/berita/d-4392785/pasutri-diduga-gangguan-jiwa-terjun-ke-laut-naik-motor-di-sulsel ","sumber")</f>
        <v>sumber</v>
      </c>
      <c r="G80" s="162" t="str">
        <f>HYPERLINK("https://drive.google.com/open?id=1N5ozm5FMjKJAmzRnjm8n4UmfzC9gNoT-","lokasi")</f>
        <v>lokasi</v>
      </c>
      <c r="H80" s="44">
        <v>290.0</v>
      </c>
      <c r="I80" s="44">
        <v>2.0</v>
      </c>
      <c r="J80" s="44">
        <v>2.0</v>
      </c>
      <c r="K80" s="164" t="s">
        <v>4144</v>
      </c>
      <c r="L80" s="44">
        <v>0.0</v>
      </c>
      <c r="M80" s="44">
        <v>0.0</v>
      </c>
      <c r="N80" s="166">
        <v>0.0</v>
      </c>
      <c r="O80" s="44">
        <v>0.0</v>
      </c>
      <c r="P80" s="44">
        <v>0.0</v>
      </c>
      <c r="Q80" s="44" t="s">
        <v>61</v>
      </c>
      <c r="R80" s="44" t="s">
        <v>62</v>
      </c>
      <c r="S80" s="164" t="s">
        <v>4145</v>
      </c>
      <c r="T80" s="44">
        <v>1.0</v>
      </c>
      <c r="U80" s="44">
        <v>0.0</v>
      </c>
      <c r="V80" s="44">
        <v>1.0</v>
      </c>
      <c r="W80" s="45"/>
      <c r="X80" s="45"/>
      <c r="Y80" s="45"/>
      <c r="Z80" s="9"/>
      <c r="AA80" s="9"/>
      <c r="AB80" s="9"/>
      <c r="AC80" s="9"/>
      <c r="AD80" s="9"/>
      <c r="AE80" s="9"/>
      <c r="AF80" s="9"/>
    </row>
    <row r="81">
      <c r="A81" s="43">
        <v>2.0</v>
      </c>
      <c r="B81" s="47" t="s">
        <v>4146</v>
      </c>
      <c r="C81" s="47">
        <v>76.0</v>
      </c>
      <c r="D81" s="47">
        <v>4.0</v>
      </c>
      <c r="E81" s="47" t="s">
        <v>2893</v>
      </c>
      <c r="F81" s="156" t="str">
        <f>HYPERLINK("https://www.liputan6.com/pilpres/read/3875082/5-catatan-debat-perdana-pilpres-2019 ","sumber")</f>
        <v>sumber</v>
      </c>
      <c r="G81" s="156" t="str">
        <f>HYPERLINK("https://drive.google.com/open?id=1bovKPH59uJRqwRo8rDzNO28pDeVZ18JF","lokasi")</f>
        <v>lokasi</v>
      </c>
      <c r="H81" s="47">
        <v>915.0</v>
      </c>
      <c r="I81" s="48"/>
      <c r="J81" s="48"/>
      <c r="K81" s="165"/>
      <c r="L81" s="48"/>
      <c r="M81" s="48"/>
      <c r="N81" s="48"/>
      <c r="O81" s="48"/>
      <c r="P81" s="48"/>
      <c r="Q81" s="48"/>
      <c r="R81" s="48"/>
      <c r="S81" s="165"/>
      <c r="T81" s="48"/>
      <c r="U81" s="48"/>
      <c r="V81" s="48"/>
      <c r="W81" s="48"/>
      <c r="X81" s="48"/>
      <c r="Y81" s="48"/>
      <c r="Z81" s="338"/>
      <c r="AA81" s="43"/>
      <c r="AB81" s="51"/>
      <c r="AC81" s="51"/>
      <c r="AD81" s="51"/>
      <c r="AE81" s="51"/>
      <c r="AF81" s="51"/>
    </row>
    <row r="82">
      <c r="A82" s="43">
        <v>2.0</v>
      </c>
      <c r="B82" s="47" t="s">
        <v>4147</v>
      </c>
      <c r="C82" s="47">
        <v>77.0</v>
      </c>
      <c r="D82" s="47">
        <v>5.0</v>
      </c>
      <c r="E82" s="47" t="s">
        <v>4148</v>
      </c>
      <c r="F82" s="156" t="str">
        <f>HYPERLINK("https://tirto.id/penelitian-hubungan-inses-dengan-saudara-bisa-lahirkan-anak-cacat-deYN ","sumber")</f>
        <v>sumber</v>
      </c>
      <c r="G82" s="156" t="str">
        <f>HYPERLINK("https://drive.google.com/open?id=1paxWekP68mQ13KWszw54Ru8mppoTVX--","lokasi")</f>
        <v>lokasi</v>
      </c>
      <c r="H82" s="47">
        <v>532.0</v>
      </c>
      <c r="I82" s="47"/>
      <c r="J82" s="47"/>
      <c r="K82" s="157"/>
      <c r="L82" s="47"/>
      <c r="M82" s="47"/>
      <c r="N82" s="192"/>
      <c r="O82" s="47"/>
      <c r="P82" s="47"/>
      <c r="Q82" s="223"/>
      <c r="R82" s="47"/>
      <c r="S82" s="157"/>
      <c r="T82" s="47"/>
      <c r="U82" s="48"/>
      <c r="V82" s="48"/>
      <c r="W82" s="48"/>
      <c r="X82" s="48"/>
      <c r="Y82" s="48"/>
      <c r="Z82" s="51"/>
      <c r="AA82" s="51"/>
      <c r="AB82" s="51"/>
      <c r="AC82" s="51"/>
      <c r="AD82" s="51"/>
      <c r="AE82" s="51"/>
      <c r="AF82" s="51"/>
    </row>
    <row r="83">
      <c r="A83" s="43">
        <v>2.0</v>
      </c>
      <c r="B83" s="47" t="s">
        <v>4149</v>
      </c>
      <c r="C83" s="47">
        <v>78.0</v>
      </c>
      <c r="D83" s="47">
        <v>8.0</v>
      </c>
      <c r="E83" s="47" t="s">
        <v>98</v>
      </c>
      <c r="F83" s="156" t="str">
        <f>HYPERLINK("https://www.suara.com/entertainment/2019/01/31/082951/detik-detik-vanessa-angel-pingsan-hingga-dilarikan-ke-rumah-sakit ","sumber")</f>
        <v>sumber</v>
      </c>
      <c r="G83" s="156" t="str">
        <f>HYPERLINK("https://drive.google.com/open?id=104FexvpNdoTU9ZpRQLnMjo6zDUJS7BL7","lokasi")</f>
        <v>lokasi</v>
      </c>
      <c r="H83" s="47">
        <v>178.0</v>
      </c>
      <c r="I83" s="48"/>
      <c r="J83" s="48"/>
      <c r="K83" s="165"/>
      <c r="L83" s="48"/>
      <c r="M83" s="48"/>
      <c r="N83" s="48"/>
      <c r="O83" s="48"/>
      <c r="P83" s="48"/>
      <c r="Q83" s="48"/>
      <c r="R83" s="48"/>
      <c r="S83" s="165"/>
      <c r="T83" s="48"/>
      <c r="U83" s="48"/>
      <c r="V83" s="48"/>
      <c r="W83" s="48"/>
      <c r="X83" s="48"/>
      <c r="Y83" s="48"/>
      <c r="Z83" s="338"/>
      <c r="AA83" s="43"/>
      <c r="AB83" s="51"/>
      <c r="AC83" s="51"/>
      <c r="AD83" s="51"/>
      <c r="AE83" s="51"/>
      <c r="AF83" s="51"/>
    </row>
    <row r="84">
      <c r="A84" s="43">
        <v>2.0</v>
      </c>
      <c r="B84" s="47" t="s">
        <v>4150</v>
      </c>
      <c r="C84" s="47">
        <v>79.0</v>
      </c>
      <c r="D84" s="47">
        <v>4.0</v>
      </c>
      <c r="E84" s="280">
        <v>43467.0</v>
      </c>
      <c r="F84" s="156" t="str">
        <f>HYPERLINK("https://www.liputan6.com/citizen6/read/3885291/wanita-ini-adopsi-2-anak-secara-terpisah-tak-disangka-ternyata-saudara-kandung ","sumber")</f>
        <v>sumber</v>
      </c>
      <c r="G84" s="156" t="str">
        <f>HYPERLINK("https://drive.google.com/open?id=1cZ3qtGFaNIBIscx7SAoFJqtQEYVHFUJQ","lokasi")</f>
        <v>lokasi</v>
      </c>
      <c r="H84" s="47">
        <v>382.0</v>
      </c>
      <c r="I84" s="48"/>
      <c r="J84" s="48"/>
      <c r="K84" s="165"/>
      <c r="L84" s="48"/>
      <c r="M84" s="48"/>
      <c r="N84" s="48"/>
      <c r="O84" s="48"/>
      <c r="P84" s="48"/>
      <c r="Q84" s="48"/>
      <c r="R84" s="48"/>
      <c r="S84" s="165"/>
      <c r="T84" s="48"/>
      <c r="U84" s="48"/>
      <c r="V84" s="48"/>
      <c r="W84" s="48"/>
      <c r="X84" s="48"/>
      <c r="Y84" s="48"/>
      <c r="Z84" s="338"/>
      <c r="AA84" s="43"/>
      <c r="AB84" s="51"/>
      <c r="AC84" s="51"/>
      <c r="AD84" s="51"/>
      <c r="AE84" s="51"/>
      <c r="AF84" s="51"/>
    </row>
    <row r="85">
      <c r="A85" s="252">
        <v>1.0</v>
      </c>
      <c r="B85" s="173" t="s">
        <v>4151</v>
      </c>
      <c r="C85" s="55">
        <v>80.0</v>
      </c>
      <c r="D85" s="55">
        <v>4.0</v>
      </c>
      <c r="E85" s="55" t="s">
        <v>469</v>
      </c>
      <c r="F85" s="171" t="str">
        <f>HYPERLINK("https://www.liputan6.com/regional/read/3902680/heboh-wanita-telanjang-bermotor-keliling-kediri ","sumber")</f>
        <v>sumber</v>
      </c>
      <c r="G85" s="171" t="str">
        <f>HYPERLINK("https://drive.google.com/open?id=1ZRVKPT1EqN5m7Qxn6gb8uL2fYZmoxmDU","lokasi")</f>
        <v>lokasi</v>
      </c>
      <c r="H85" s="55">
        <v>304.0</v>
      </c>
      <c r="I85" s="55">
        <v>1.0</v>
      </c>
      <c r="J85" s="55">
        <v>2.0</v>
      </c>
      <c r="K85" s="172" t="s">
        <v>4152</v>
      </c>
      <c r="L85" s="55">
        <v>0.0</v>
      </c>
      <c r="M85" s="55">
        <v>-1.0</v>
      </c>
      <c r="N85" s="173">
        <v>0.0</v>
      </c>
      <c r="O85" s="55">
        <v>0.0</v>
      </c>
      <c r="P85" s="55">
        <v>0.0</v>
      </c>
      <c r="Q85" s="55">
        <v>0.0</v>
      </c>
      <c r="R85" s="55">
        <v>0.0</v>
      </c>
      <c r="S85" s="172" t="s">
        <v>4153</v>
      </c>
      <c r="T85" s="55">
        <v>1.0</v>
      </c>
      <c r="U85" s="55">
        <v>-1.0</v>
      </c>
      <c r="V85" s="55">
        <v>0.0</v>
      </c>
      <c r="W85" s="46"/>
      <c r="X85" s="46"/>
      <c r="Y85" s="46"/>
      <c r="Z85" s="302"/>
      <c r="AA85" s="30"/>
      <c r="AB85" s="31"/>
      <c r="AC85" s="31"/>
      <c r="AD85" s="31"/>
      <c r="AE85" s="31"/>
      <c r="AF85" s="31"/>
    </row>
    <row r="86">
      <c r="A86" s="43">
        <v>2.0</v>
      </c>
      <c r="B86" s="47" t="s">
        <v>4154</v>
      </c>
      <c r="C86" s="47">
        <v>81.0</v>
      </c>
      <c r="D86" s="47">
        <v>7.0</v>
      </c>
      <c r="E86" s="280">
        <v>43557.0</v>
      </c>
      <c r="F86" s="156" t="str">
        <f>HYPERLINK("http://www.tribunnews.com/metropolitan/2019/02/04/kepada-polisi-pemilik-rumah-mengaku-tersinggung-sehingga-aniaya-3-petugas-jumantik-di-jagakarsa ","sumber")</f>
        <v>sumber</v>
      </c>
      <c r="G86" s="156" t="str">
        <f>HYPERLINK("https://drive.google.com/open?id=1E36vSaZCoZ5RRp3xlz0gNKGUYTkImumG","lokasi")</f>
        <v>lokasi</v>
      </c>
      <c r="H86" s="47">
        <v>233.0</v>
      </c>
      <c r="I86" s="48"/>
      <c r="J86" s="48"/>
      <c r="K86" s="165"/>
      <c r="L86" s="48"/>
      <c r="M86" s="48"/>
      <c r="N86" s="48"/>
      <c r="O86" s="48"/>
      <c r="P86" s="48"/>
      <c r="Q86" s="48"/>
      <c r="R86" s="48"/>
      <c r="S86" s="165"/>
      <c r="T86" s="48"/>
      <c r="U86" s="48"/>
      <c r="V86" s="48"/>
      <c r="W86" s="48"/>
      <c r="X86" s="48"/>
      <c r="Y86" s="48"/>
      <c r="Z86" s="338"/>
      <c r="AA86" s="43"/>
      <c r="AB86" s="51"/>
      <c r="AC86" s="51"/>
      <c r="AD86" s="51"/>
      <c r="AE86" s="51"/>
      <c r="AF86" s="51"/>
    </row>
    <row r="87">
      <c r="A87" s="43">
        <v>2.0</v>
      </c>
      <c r="B87" s="47" t="s">
        <v>4155</v>
      </c>
      <c r="C87" s="47">
        <v>82.0</v>
      </c>
      <c r="D87" s="47">
        <v>10.0</v>
      </c>
      <c r="E87" s="280">
        <v>43618.0</v>
      </c>
      <c r="F87" s="156" t="str">
        <f>HYPERLINK("https://pilpres.tempo.co/read/1172643/9-februari-aji-surabaya-akan-protes-remisi-pembunuh-jurnalis ","sumber")</f>
        <v>sumber</v>
      </c>
      <c r="G87" s="156" t="str">
        <f>HYPERLINK("https://drive.google.com/open?id=10ndEglW4BiGrr0zFR1uQTRcjuo5i9LcA","lokasi")</f>
        <v>lokasi</v>
      </c>
      <c r="H87" s="47">
        <v>344.0</v>
      </c>
      <c r="I87" s="48"/>
      <c r="J87" s="48"/>
      <c r="K87" s="165"/>
      <c r="L87" s="48"/>
      <c r="M87" s="48"/>
      <c r="N87" s="48"/>
      <c r="O87" s="48"/>
      <c r="P87" s="48"/>
      <c r="Q87" s="48"/>
      <c r="R87" s="48"/>
      <c r="S87" s="165"/>
      <c r="T87" s="48"/>
      <c r="U87" s="48"/>
      <c r="V87" s="48"/>
      <c r="W87" s="48"/>
      <c r="X87" s="48"/>
      <c r="Y87" s="48"/>
      <c r="Z87" s="338"/>
      <c r="AA87" s="43"/>
      <c r="AB87" s="51"/>
      <c r="AC87" s="51"/>
      <c r="AD87" s="51"/>
      <c r="AE87" s="51"/>
      <c r="AF87" s="51"/>
    </row>
    <row r="88">
      <c r="A88" s="252">
        <v>1.0</v>
      </c>
      <c r="B88" s="173" t="s">
        <v>4156</v>
      </c>
      <c r="C88" s="55">
        <v>83.0</v>
      </c>
      <c r="D88" s="55">
        <v>5.0</v>
      </c>
      <c r="E88" s="344">
        <v>43467.0</v>
      </c>
      <c r="F88" s="171" t="str">
        <f>HYPERLINK("https://tirto.id/malaikat-itu-bernama-oma-ros-dfFq ","sumber")</f>
        <v>sumber</v>
      </c>
      <c r="G88" s="171" t="str">
        <f>HYPERLINK("https://drive.google.com/open?id=1kt-7rnT1bvXo2CzlI-T-G8-EExEMIS14","lokasi")</f>
        <v>lokasi</v>
      </c>
      <c r="H88" s="55">
        <v>1382.0</v>
      </c>
      <c r="I88" s="55">
        <v>2.0</v>
      </c>
      <c r="J88" s="55">
        <v>2.0</v>
      </c>
      <c r="K88" s="172" t="s">
        <v>4157</v>
      </c>
      <c r="L88" s="55">
        <v>0.0</v>
      </c>
      <c r="M88" s="55">
        <v>0.0</v>
      </c>
      <c r="N88" s="173">
        <v>0.0</v>
      </c>
      <c r="O88" s="55">
        <v>0.0</v>
      </c>
      <c r="P88" s="55">
        <v>0.0</v>
      </c>
      <c r="Q88" s="55" t="s">
        <v>4158</v>
      </c>
      <c r="R88" s="55" t="s">
        <v>696</v>
      </c>
      <c r="S88" s="174"/>
      <c r="T88" s="55">
        <v>0.0</v>
      </c>
      <c r="U88" s="55">
        <v>0.0</v>
      </c>
      <c r="V88" s="55">
        <v>1.0</v>
      </c>
      <c r="W88" s="46"/>
      <c r="X88" s="46"/>
      <c r="Y88" s="46"/>
      <c r="Z88" s="302"/>
      <c r="AA88" s="30"/>
      <c r="AB88" s="31"/>
      <c r="AC88" s="31"/>
      <c r="AD88" s="31"/>
      <c r="AE88" s="31"/>
      <c r="AF88" s="31"/>
    </row>
    <row r="89">
      <c r="A89" s="231">
        <v>1.0</v>
      </c>
      <c r="B89" s="44" t="s">
        <v>480</v>
      </c>
      <c r="C89" s="44">
        <v>84.0</v>
      </c>
      <c r="D89" s="44">
        <v>4.0</v>
      </c>
      <c r="E89" s="44" t="s">
        <v>108</v>
      </c>
      <c r="F89" s="162" t="str">
        <f>HYPERLINK("https://www.liputan6.com/regional/read/3893905/balada-lanjar-13-tahun-bersama-hydrocephalus ","sumber")</f>
        <v>sumber</v>
      </c>
      <c r="G89" s="162" t="str">
        <f>HYPERLINK("https://drive.google.com/open?id=1nCDy0ZnYpVLkizoAJMmkNqPAXS8IkHPZ","lokasi")</f>
        <v>lokasi</v>
      </c>
      <c r="H89" s="44">
        <v>567.0</v>
      </c>
      <c r="I89" s="44">
        <v>2.0</v>
      </c>
      <c r="J89" s="44">
        <v>2.0</v>
      </c>
      <c r="K89" s="164" t="s">
        <v>4159</v>
      </c>
      <c r="L89" s="44">
        <v>0.0</v>
      </c>
      <c r="M89" s="44">
        <v>0.0</v>
      </c>
      <c r="N89" s="44">
        <v>-1.0</v>
      </c>
      <c r="O89" s="44">
        <v>0.0</v>
      </c>
      <c r="P89" s="44">
        <v>-1.0</v>
      </c>
      <c r="Q89" s="44" t="s">
        <v>100</v>
      </c>
      <c r="R89" s="44" t="s">
        <v>214</v>
      </c>
      <c r="S89" s="175"/>
      <c r="T89" s="44">
        <v>0.0</v>
      </c>
      <c r="U89" s="44">
        <v>0.0</v>
      </c>
      <c r="V89" s="44">
        <v>0.0</v>
      </c>
      <c r="W89" s="45"/>
      <c r="X89" s="45"/>
      <c r="Y89" s="45"/>
      <c r="Z89" s="9"/>
      <c r="AA89" s="9"/>
      <c r="AB89" s="9"/>
      <c r="AC89" s="9"/>
      <c r="AD89" s="9"/>
      <c r="AE89" s="9"/>
      <c r="AF89" s="9"/>
    </row>
    <row r="90">
      <c r="A90" s="43">
        <v>2.0</v>
      </c>
      <c r="B90" s="47" t="s">
        <v>4160</v>
      </c>
      <c r="C90" s="47">
        <v>85.0</v>
      </c>
      <c r="D90" s="47">
        <v>3.0</v>
      </c>
      <c r="E90" s="47" t="s">
        <v>117</v>
      </c>
      <c r="F90" s="156" t="str">
        <f>HYPERLINK("https://lifestyle.okezone.com/read/2019/02/17/196/2019049/apakah-mimpi-pria-dan-wanita-berbeda ","sumber")</f>
        <v>sumber</v>
      </c>
      <c r="G90" s="156" t="str">
        <f>HYPERLINK("https://drive.google.com/open?id=1DJV1v39Q-q6RWREaqRnqJQE89QTKaBO1","lokasi")</f>
        <v>lokasi</v>
      </c>
      <c r="H90" s="47">
        <v>390.0</v>
      </c>
      <c r="I90" s="48"/>
      <c r="J90" s="48"/>
      <c r="K90" s="165"/>
      <c r="L90" s="48"/>
      <c r="M90" s="48"/>
      <c r="N90" s="48"/>
      <c r="O90" s="48"/>
      <c r="P90" s="48"/>
      <c r="Q90" s="48"/>
      <c r="R90" s="48"/>
      <c r="S90" s="165"/>
      <c r="T90" s="48"/>
      <c r="U90" s="48"/>
      <c r="V90" s="48"/>
      <c r="W90" s="48"/>
      <c r="X90" s="48"/>
      <c r="Y90" s="48"/>
      <c r="Z90" s="338"/>
      <c r="AA90" s="43"/>
      <c r="AB90" s="51"/>
      <c r="AC90" s="51"/>
      <c r="AD90" s="51"/>
      <c r="AE90" s="51"/>
      <c r="AF90" s="51"/>
    </row>
    <row r="91">
      <c r="A91" s="252">
        <v>1.0</v>
      </c>
      <c r="B91" s="55" t="s">
        <v>493</v>
      </c>
      <c r="C91" s="55">
        <v>86.0</v>
      </c>
      <c r="D91" s="55">
        <v>6.0</v>
      </c>
      <c r="E91" s="344">
        <v>43679.0</v>
      </c>
      <c r="F91" s="171" t="str">
        <f>HYPERLINK("https://megapolitan.kompas.com/read/2019/02/08/20393731/dki-akan-buat-trotoar-di-gatot-subroto-ramah-penyandang-disabilitas","sumber")</f>
        <v>sumber</v>
      </c>
      <c r="G91" s="171" t="str">
        <f>HYPERLINK("https://drive.google.com/open?id=1mBZvzmzCc-w1DDm_j7g8pPGm_s_BqQK6","lokasi")</f>
        <v>lokasi</v>
      </c>
      <c r="H91" s="55">
        <v>197.0</v>
      </c>
      <c r="I91" s="55">
        <v>4.0</v>
      </c>
      <c r="J91" s="55">
        <v>2.0</v>
      </c>
      <c r="K91" s="172" t="s">
        <v>4161</v>
      </c>
      <c r="L91" s="55">
        <v>0.0</v>
      </c>
      <c r="M91" s="55">
        <v>0.0</v>
      </c>
      <c r="N91" s="173">
        <v>0.0</v>
      </c>
      <c r="O91" s="55">
        <v>0.0</v>
      </c>
      <c r="P91" s="55">
        <v>0.0</v>
      </c>
      <c r="Q91" s="55" t="s">
        <v>214</v>
      </c>
      <c r="R91" s="55" t="s">
        <v>192</v>
      </c>
      <c r="S91" s="174"/>
      <c r="T91" s="55">
        <v>0.0</v>
      </c>
      <c r="U91" s="55">
        <v>0.0</v>
      </c>
      <c r="V91" s="55">
        <v>1.0</v>
      </c>
      <c r="W91" s="46"/>
      <c r="X91" s="46"/>
      <c r="Y91" s="46"/>
      <c r="Z91" s="302"/>
      <c r="AA91" s="30"/>
      <c r="AB91" s="31"/>
      <c r="AC91" s="31"/>
      <c r="AD91" s="31"/>
      <c r="AE91" s="31"/>
      <c r="AF91" s="31"/>
    </row>
    <row r="92">
      <c r="A92" s="231">
        <v>1.0</v>
      </c>
      <c r="B92" s="44" t="s">
        <v>4162</v>
      </c>
      <c r="C92" s="44">
        <v>87.0</v>
      </c>
      <c r="D92" s="44">
        <v>1.0</v>
      </c>
      <c r="E92" s="44" t="s">
        <v>469</v>
      </c>
      <c r="F92" s="162" t="str">
        <f>HYPERLINK("https://news.detik.com/berita/d-4441239/polisi-pastikan-pelaku-incest-anak-diadili-cepat ","sumber")</f>
        <v>sumber</v>
      </c>
      <c r="G92" s="162" t="str">
        <f>HYPERLINK("https://drive.google.com/open?id=1EjCeK0hV8JKJ8bYZaXh8T_Ye1MYJzk57","lokasi")</f>
        <v>lokasi</v>
      </c>
      <c r="H92" s="44">
        <v>458.0</v>
      </c>
      <c r="I92" s="44">
        <v>1.0</v>
      </c>
      <c r="J92" s="44">
        <v>2.0</v>
      </c>
      <c r="K92" s="164" t="s">
        <v>4163</v>
      </c>
      <c r="L92" s="44">
        <v>0.0</v>
      </c>
      <c r="M92" s="44">
        <v>-1.0</v>
      </c>
      <c r="N92" s="166">
        <v>0.0</v>
      </c>
      <c r="O92" s="44">
        <v>0.0</v>
      </c>
      <c r="P92" s="44">
        <v>0.0</v>
      </c>
      <c r="Q92" s="44" t="s">
        <v>61</v>
      </c>
      <c r="R92" s="44" t="s">
        <v>62</v>
      </c>
      <c r="S92" s="164" t="s">
        <v>4164</v>
      </c>
      <c r="T92" s="44">
        <v>2.0</v>
      </c>
      <c r="U92" s="44">
        <v>0.0</v>
      </c>
      <c r="V92" s="44">
        <v>0.0</v>
      </c>
      <c r="W92" s="45"/>
      <c r="X92" s="45"/>
      <c r="Y92" s="45"/>
      <c r="Z92" s="9"/>
      <c r="AA92" s="9"/>
      <c r="AB92" s="9"/>
      <c r="AC92" s="9"/>
      <c r="AD92" s="9"/>
      <c r="AE92" s="9"/>
      <c r="AF92" s="9"/>
    </row>
    <row r="93">
      <c r="A93" s="231">
        <v>1.0</v>
      </c>
      <c r="B93" s="44" t="s">
        <v>501</v>
      </c>
      <c r="C93" s="44">
        <v>88.0</v>
      </c>
      <c r="D93" s="44">
        <v>2.0</v>
      </c>
      <c r="E93" s="44" t="s">
        <v>360</v>
      </c>
      <c r="F93" s="162" t="str">
        <f>HYPERLINK("https://www.cnnindonesia.com/nasional/20190227034736-12-372939/pria-bunuh-ibu-kandung-setelah-pulang-dari-rumah-sakit-jiwa ","sumber")</f>
        <v>sumber</v>
      </c>
      <c r="G93" s="162" t="str">
        <f>HYPERLINK("https://drive.google.com/open?id=1J9nb4p4K3j1bkpLyliaARKJFGgh6Wxjq","lokasi")</f>
        <v>lokasi</v>
      </c>
      <c r="H93" s="44">
        <v>320.0</v>
      </c>
      <c r="I93" s="44">
        <v>1.0</v>
      </c>
      <c r="J93" s="44">
        <v>2.0</v>
      </c>
      <c r="K93" s="164" t="s">
        <v>4165</v>
      </c>
      <c r="L93" s="44">
        <v>0.0</v>
      </c>
      <c r="M93" s="44">
        <v>-1.0</v>
      </c>
      <c r="N93" s="44">
        <v>-1.0</v>
      </c>
      <c r="O93" s="44">
        <v>0.0</v>
      </c>
      <c r="P93" s="44">
        <v>0.0</v>
      </c>
      <c r="Q93" s="44">
        <v>0.0</v>
      </c>
      <c r="R93" s="44">
        <v>-1.0</v>
      </c>
      <c r="S93" s="175"/>
      <c r="T93" s="44">
        <v>0.0</v>
      </c>
      <c r="U93" s="44">
        <v>0.0</v>
      </c>
      <c r="V93" s="44">
        <v>0.0</v>
      </c>
      <c r="W93" s="45"/>
      <c r="X93" s="45"/>
      <c r="Y93" s="45"/>
      <c r="Z93" s="9"/>
      <c r="AA93" s="9"/>
      <c r="AB93" s="9"/>
      <c r="AC93" s="9"/>
      <c r="AD93" s="9"/>
      <c r="AE93" s="9"/>
      <c r="AF93" s="9"/>
    </row>
    <row r="94">
      <c r="A94" s="231">
        <v>1.0</v>
      </c>
      <c r="B94" s="44" t="s">
        <v>2157</v>
      </c>
      <c r="C94" s="44">
        <v>89.0</v>
      </c>
      <c r="D94" s="44">
        <v>9.0</v>
      </c>
      <c r="E94" s="268">
        <v>43468.0</v>
      </c>
      <c r="F94" s="162" t="str">
        <f>HYPERLINK("https://khazanah.republika.co.id/berita/dunia-islam/islam-nusantara/pnol8z313/asupan-literasi-keagamaan-untuk-disabilitas-sangat-penting ","sumber")</f>
        <v>sumber</v>
      </c>
      <c r="G94" s="162" t="str">
        <f>HYPERLINK("https://drive.google.com/open?id=1Hq2DpBRSoq6dp1dOW3oLK7NIM8WfrDwY","lokasi")</f>
        <v>lokasi</v>
      </c>
      <c r="H94" s="44">
        <v>316.0</v>
      </c>
      <c r="I94" s="44">
        <v>5.0</v>
      </c>
      <c r="J94" s="44">
        <v>2.0</v>
      </c>
      <c r="K94" s="164" t="s">
        <v>4166</v>
      </c>
      <c r="L94" s="44">
        <v>0.0</v>
      </c>
      <c r="M94" s="44">
        <v>0.0</v>
      </c>
      <c r="N94" s="166">
        <v>0.0</v>
      </c>
      <c r="O94" s="44">
        <v>0.0</v>
      </c>
      <c r="P94" s="44">
        <v>0.0</v>
      </c>
      <c r="Q94" s="44" t="s">
        <v>61</v>
      </c>
      <c r="R94" s="44" t="s">
        <v>192</v>
      </c>
      <c r="S94" s="175"/>
      <c r="T94" s="44">
        <v>0.0</v>
      </c>
      <c r="U94" s="44">
        <v>0.0</v>
      </c>
      <c r="V94" s="44">
        <v>1.0</v>
      </c>
      <c r="W94" s="45"/>
      <c r="X94" s="45"/>
      <c r="Y94" s="45"/>
      <c r="Z94" s="9"/>
      <c r="AA94" s="9"/>
      <c r="AB94" s="9"/>
      <c r="AC94" s="9"/>
      <c r="AD94" s="9"/>
      <c r="AE94" s="9"/>
      <c r="AF94" s="9"/>
    </row>
    <row r="95">
      <c r="A95" s="43">
        <v>2.0</v>
      </c>
      <c r="B95" s="47" t="s">
        <v>511</v>
      </c>
      <c r="C95" s="47">
        <v>90.0</v>
      </c>
      <c r="D95" s="47">
        <v>4.0</v>
      </c>
      <c r="E95" s="280">
        <v>43680.0</v>
      </c>
      <c r="F95" s="156" t="str">
        <f>HYPERLINK("https://www.liputan6.com/bola/read/3911944/atlet-one-championship-stefer-dan-engelen-turut-rayakan-nyepi-di-bali ","sumber")</f>
        <v>sumber</v>
      </c>
      <c r="G95" s="156" t="str">
        <f>HYPERLINK("https://drive.google.com/open?id=1P7GcDHAuYxeO7H0Dt9IRAAwiv7WcHsub","lokasi")</f>
        <v>lokasi</v>
      </c>
      <c r="H95" s="47">
        <v>377.0</v>
      </c>
      <c r="I95" s="48"/>
      <c r="J95" s="48"/>
      <c r="K95" s="165"/>
      <c r="L95" s="48"/>
      <c r="M95" s="48"/>
      <c r="N95" s="48"/>
      <c r="O95" s="48"/>
      <c r="P95" s="48"/>
      <c r="Q95" s="48"/>
      <c r="R95" s="48"/>
      <c r="S95" s="165"/>
      <c r="T95" s="48"/>
      <c r="U95" s="48"/>
      <c r="V95" s="48"/>
      <c r="W95" s="48"/>
      <c r="X95" s="48"/>
      <c r="Y95" s="48"/>
      <c r="Z95" s="338"/>
      <c r="AA95" s="43"/>
      <c r="AB95" s="51"/>
      <c r="AC95" s="51"/>
      <c r="AD95" s="51"/>
      <c r="AE95" s="51"/>
      <c r="AF95" s="51"/>
    </row>
    <row r="96">
      <c r="A96" s="252">
        <v>1.0</v>
      </c>
      <c r="B96" s="55" t="s">
        <v>4167</v>
      </c>
      <c r="C96" s="55">
        <v>91.0</v>
      </c>
      <c r="D96" s="55">
        <v>5.0</v>
      </c>
      <c r="E96" s="344">
        <v>43680.0</v>
      </c>
      <c r="F96" s="171" t="str">
        <f>HYPERLINK("https://tirto.id/komisi-viii-diminta-masukkan-kebutuhan-disabilitas-dalam-ruu-pks-diT3 ","sumber")</f>
        <v>sumber</v>
      </c>
      <c r="G96" s="171" t="str">
        <f>HYPERLINK("https://drive.google.com/open?id=1XCmAnbi5Nyz559re4OsvxupkiPRmxg74","lokasi")</f>
        <v>lokasi</v>
      </c>
      <c r="H96" s="55">
        <v>270.0</v>
      </c>
      <c r="I96" s="55">
        <v>4.0</v>
      </c>
      <c r="J96" s="55">
        <v>2.0</v>
      </c>
      <c r="K96" s="172" t="s">
        <v>4168</v>
      </c>
      <c r="L96" s="55">
        <v>0.0</v>
      </c>
      <c r="M96" s="55">
        <v>0.0</v>
      </c>
      <c r="N96" s="173">
        <v>0.0</v>
      </c>
      <c r="O96" s="55">
        <v>0.0</v>
      </c>
      <c r="P96" s="55">
        <v>0.0</v>
      </c>
      <c r="Q96" s="55">
        <v>1.0</v>
      </c>
      <c r="R96" s="55">
        <v>1.0</v>
      </c>
      <c r="S96" s="174"/>
      <c r="T96" s="55">
        <v>0.0</v>
      </c>
      <c r="U96" s="55">
        <v>0.0</v>
      </c>
      <c r="V96" s="55">
        <v>1.0</v>
      </c>
      <c r="W96" s="46"/>
      <c r="X96" s="46"/>
      <c r="Y96" s="46"/>
      <c r="Z96" s="302"/>
      <c r="AA96" s="30"/>
      <c r="AB96" s="31"/>
      <c r="AC96" s="31"/>
      <c r="AD96" s="31"/>
      <c r="AE96" s="31"/>
      <c r="AF96" s="31"/>
    </row>
    <row r="97">
      <c r="A97" s="43">
        <v>2.0</v>
      </c>
      <c r="B97" s="47" t="s">
        <v>4169</v>
      </c>
      <c r="C97" s="47">
        <v>92.0</v>
      </c>
      <c r="D97" s="47">
        <v>5.0</v>
      </c>
      <c r="E97" s="280">
        <v>43711.0</v>
      </c>
      <c r="F97" s="156" t="str">
        <f>HYPERLINK("https://tirto.id/menteri-rini-11000-lowongan-bumn-untuk-lulusan-sma-s1-dan-s2-diVA ","sumber")</f>
        <v>sumber</v>
      </c>
      <c r="G97" s="156" t="str">
        <f>HYPERLINK("https://drive.google.com/open?id=1q05L5KsSdWJI8e9swOpSJpMb9Qom1Ez-","lokasi")</f>
        <v>lokasi</v>
      </c>
      <c r="H97" s="47">
        <v>339.0</v>
      </c>
      <c r="I97" s="48"/>
      <c r="J97" s="48"/>
      <c r="K97" s="165"/>
      <c r="L97" s="48"/>
      <c r="M97" s="48"/>
      <c r="N97" s="48"/>
      <c r="O97" s="48"/>
      <c r="P97" s="48"/>
      <c r="Q97" s="48"/>
      <c r="R97" s="48"/>
      <c r="S97" s="165"/>
      <c r="T97" s="48"/>
      <c r="U97" s="48"/>
      <c r="V97" s="48"/>
      <c r="W97" s="48"/>
      <c r="X97" s="48"/>
      <c r="Y97" s="48"/>
      <c r="Z97" s="338"/>
      <c r="AA97" s="43"/>
      <c r="AB97" s="51"/>
      <c r="AC97" s="51"/>
      <c r="AD97" s="51"/>
      <c r="AE97" s="51"/>
      <c r="AF97" s="51"/>
    </row>
    <row r="98">
      <c r="A98" s="252">
        <v>1.0</v>
      </c>
      <c r="B98" s="173" t="s">
        <v>4170</v>
      </c>
      <c r="C98" s="55">
        <v>93.0</v>
      </c>
      <c r="D98" s="55">
        <v>7.0</v>
      </c>
      <c r="E98" s="345">
        <v>43711.0</v>
      </c>
      <c r="F98" s="171" t="str">
        <f>HYPERLINK("http://www.tribunnews.com/nasional/2019/03/09/sambil-memangku-cucunya-seorang-ibu-menangis-di-ruang-rapat-komisi-viii-dpr-ri ","sumber")</f>
        <v>sumber</v>
      </c>
      <c r="G98" s="171" t="str">
        <f>HYPERLINK("https://drive.google.com/open?id=1LHrfqBFshPZPyfBZqqrMQhDAHBq-IEmN","lokasi")</f>
        <v>lokasi</v>
      </c>
      <c r="H98" s="55">
        <v>223.0</v>
      </c>
      <c r="I98" s="55">
        <v>4.0</v>
      </c>
      <c r="J98" s="55">
        <v>2.0</v>
      </c>
      <c r="K98" s="172" t="s">
        <v>4171</v>
      </c>
      <c r="L98" s="55">
        <v>0.0</v>
      </c>
      <c r="M98" s="55">
        <v>0.0</v>
      </c>
      <c r="N98" s="173">
        <v>0.0</v>
      </c>
      <c r="O98" s="55">
        <v>0.0</v>
      </c>
      <c r="P98" s="55">
        <v>0.0</v>
      </c>
      <c r="Q98" s="55" t="s">
        <v>214</v>
      </c>
      <c r="R98" s="55" t="s">
        <v>192</v>
      </c>
      <c r="S98" s="174"/>
      <c r="T98" s="55">
        <v>0.0</v>
      </c>
      <c r="U98" s="55">
        <v>0.0</v>
      </c>
      <c r="V98" s="55">
        <v>1.0</v>
      </c>
      <c r="W98" s="46"/>
      <c r="X98" s="46"/>
      <c r="Y98" s="46"/>
      <c r="Z98" s="302"/>
      <c r="AA98" s="30"/>
      <c r="AB98" s="31"/>
      <c r="AC98" s="31"/>
      <c r="AD98" s="31"/>
      <c r="AE98" s="31"/>
      <c r="AF98" s="31"/>
    </row>
    <row r="99">
      <c r="A99" s="43">
        <v>2.0</v>
      </c>
      <c r="B99" s="47" t="s">
        <v>512</v>
      </c>
      <c r="C99" s="47">
        <v>94.0</v>
      </c>
      <c r="D99" s="47">
        <v>5.0</v>
      </c>
      <c r="E99" s="280">
        <v>43772.0</v>
      </c>
      <c r="F99" s="156" t="str">
        <f>HYPERLINK("https://tirto.id/respons-lion-air-garuda-usai-boeing-737-max-8-dilarang-terbang-djbX ","sumber")</f>
        <v>sumber</v>
      </c>
      <c r="G99" s="156" t="str">
        <f>HYPERLINK("https://drive.google.com/open?id=1yT0K8xGhY0x5fNV4msOAABUMX-43cF3u","lokasi")</f>
        <v>lokasi</v>
      </c>
      <c r="H99" s="47">
        <v>619.0</v>
      </c>
      <c r="I99" s="48"/>
      <c r="J99" s="48"/>
      <c r="K99" s="165"/>
      <c r="L99" s="48"/>
      <c r="M99" s="48"/>
      <c r="N99" s="48"/>
      <c r="O99" s="48"/>
      <c r="P99" s="48"/>
      <c r="Q99" s="48"/>
      <c r="R99" s="48"/>
      <c r="S99" s="165"/>
      <c r="T99" s="48"/>
      <c r="U99" s="48"/>
      <c r="V99" s="48"/>
      <c r="W99" s="48"/>
      <c r="X99" s="48"/>
      <c r="Y99" s="48"/>
      <c r="Z99" s="338"/>
      <c r="AA99" s="43"/>
      <c r="AB99" s="51"/>
      <c r="AC99" s="51"/>
      <c r="AD99" s="51"/>
      <c r="AE99" s="51"/>
      <c r="AF99" s="51"/>
    </row>
    <row r="100">
      <c r="A100" s="43">
        <v>2.0</v>
      </c>
      <c r="B100" s="192" t="s">
        <v>2169</v>
      </c>
      <c r="C100" s="47">
        <v>95.0</v>
      </c>
      <c r="D100" s="47">
        <v>9.0</v>
      </c>
      <c r="E100" s="280">
        <v>43802.0</v>
      </c>
      <c r="F100" s="156" t="str">
        <f>HYPERLINK("https://republika.co.id/berita/inpicture/nasional-inpicture/po99ek283/ujian-praktik-musik-disabilitas-netra 
","sumber")</f>
        <v>sumber</v>
      </c>
      <c r="G100" s="156" t="str">
        <f>HYPERLINK("https://drive.google.com/open?id=15SWMegKTV98HOAgZFRJfdCfzP6LWUVej","lokasi")</f>
        <v>lokasi</v>
      </c>
      <c r="H100" s="47">
        <v>266.0</v>
      </c>
      <c r="I100" s="48"/>
      <c r="J100" s="48"/>
      <c r="K100" s="165"/>
      <c r="L100" s="48"/>
      <c r="M100" s="48"/>
      <c r="N100" s="48"/>
      <c r="O100" s="48"/>
      <c r="P100" s="48"/>
      <c r="Q100" s="48"/>
      <c r="R100" s="48"/>
      <c r="S100" s="165"/>
      <c r="T100" s="48"/>
      <c r="U100" s="48"/>
      <c r="V100" s="48"/>
      <c r="W100" s="48"/>
      <c r="X100" s="48"/>
      <c r="Y100" s="48"/>
      <c r="Z100" s="338"/>
      <c r="AA100" s="43"/>
      <c r="AB100" s="51"/>
      <c r="AC100" s="51"/>
      <c r="AD100" s="51"/>
      <c r="AE100" s="51"/>
      <c r="AF100" s="51"/>
    </row>
    <row r="101">
      <c r="A101" s="252">
        <v>1.0</v>
      </c>
      <c r="B101" s="173" t="s">
        <v>4172</v>
      </c>
      <c r="C101" s="55">
        <v>96.0</v>
      </c>
      <c r="D101" s="55">
        <v>9.0</v>
      </c>
      <c r="E101" s="55" t="s">
        <v>142</v>
      </c>
      <c r="F101" s="171" t="str">
        <f>HYPERLINK("https://nasional.republika.co.id/berita/nasional/daerah/pocxae354/160-atlet-disabilitas-di-bandung-ikuti-seleksi-pepapernas ","sumber")</f>
        <v>sumber</v>
      </c>
      <c r="G101" s="171" t="str">
        <f>HYPERLINK("https://drive.google.com/open?id=11shaIKI9fahF2KW1R6-VKx7W96dJCPlJ","lokasi")</f>
        <v>lokasi</v>
      </c>
      <c r="H101" s="55">
        <v>226.0</v>
      </c>
      <c r="I101" s="55">
        <v>3.0</v>
      </c>
      <c r="J101" s="55">
        <v>2.0</v>
      </c>
      <c r="K101" s="172" t="s">
        <v>4173</v>
      </c>
      <c r="L101" s="55">
        <v>0.0</v>
      </c>
      <c r="M101" s="55">
        <v>0.0</v>
      </c>
      <c r="N101" s="173">
        <v>0.0</v>
      </c>
      <c r="O101" s="55">
        <v>0.0</v>
      </c>
      <c r="P101" s="55">
        <v>0.0</v>
      </c>
      <c r="Q101" s="55" t="s">
        <v>61</v>
      </c>
      <c r="R101" s="55" t="s">
        <v>192</v>
      </c>
      <c r="S101" s="174"/>
      <c r="T101" s="55">
        <v>0.0</v>
      </c>
      <c r="U101" s="55">
        <v>0.0</v>
      </c>
      <c r="V101" s="55">
        <v>1.0</v>
      </c>
      <c r="W101" s="46"/>
      <c r="X101" s="46"/>
      <c r="Y101" s="46"/>
      <c r="Z101" s="302"/>
      <c r="AA101" s="30"/>
      <c r="AB101" s="31"/>
      <c r="AC101" s="31"/>
      <c r="AD101" s="31"/>
      <c r="AE101" s="31"/>
      <c r="AF101" s="31"/>
    </row>
    <row r="102">
      <c r="A102" s="231">
        <v>1.0</v>
      </c>
      <c r="B102" s="44" t="s">
        <v>4174</v>
      </c>
      <c r="C102" s="44">
        <v>97.0</v>
      </c>
      <c r="D102" s="44">
        <v>2.0</v>
      </c>
      <c r="E102" s="44" t="s">
        <v>525</v>
      </c>
      <c r="F102" s="162" t="str">
        <f>HYPERLINK("https://www.cnnindonesia.com/nasional/20190322131016-20-379715/dmi-nilai-insiden-masjid-banyumas-bukti-sentimen-kian-parah ","sumber")</f>
        <v>sumber</v>
      </c>
      <c r="G102" s="162" t="str">
        <f>HYPERLINK("https://drive.google.com/open?id=1ZgaJTU8jiGBaySUxkV6OCGC3_2tEbpQT","lokasi")</f>
        <v>lokasi</v>
      </c>
      <c r="H102" s="44">
        <v>416.0</v>
      </c>
      <c r="I102" s="44">
        <v>1.0</v>
      </c>
      <c r="J102" s="44">
        <v>2.0</v>
      </c>
      <c r="K102" s="164" t="s">
        <v>4175</v>
      </c>
      <c r="L102" s="44">
        <v>0.0</v>
      </c>
      <c r="M102" s="44">
        <v>-1.0</v>
      </c>
      <c r="N102" s="166">
        <v>0.0</v>
      </c>
      <c r="O102" s="44">
        <v>0.0</v>
      </c>
      <c r="P102" s="44">
        <v>0.0</v>
      </c>
      <c r="Q102" s="44" t="s">
        <v>61</v>
      </c>
      <c r="R102" s="44" t="s">
        <v>62</v>
      </c>
      <c r="S102" s="175"/>
      <c r="T102" s="44">
        <v>0.0</v>
      </c>
      <c r="U102" s="44">
        <v>0.0</v>
      </c>
      <c r="V102" s="44">
        <v>0.0</v>
      </c>
      <c r="W102" s="45"/>
      <c r="X102" s="45"/>
      <c r="Y102" s="45"/>
      <c r="Z102" s="9"/>
      <c r="AA102" s="9"/>
      <c r="AB102" s="9"/>
      <c r="AC102" s="9"/>
      <c r="AD102" s="9"/>
      <c r="AE102" s="9"/>
      <c r="AF102" s="9"/>
    </row>
    <row r="103">
      <c r="A103" s="231">
        <v>1.0</v>
      </c>
      <c r="B103" s="44" t="s">
        <v>4176</v>
      </c>
      <c r="C103" s="44">
        <v>98.0</v>
      </c>
      <c r="D103" s="44">
        <v>4.0</v>
      </c>
      <c r="E103" s="44" t="s">
        <v>159</v>
      </c>
      <c r="F103" s="162" t="str">
        <f>HYPERLINK("https://www.liputan6.com/health/read/3925559/ayah-dan-bunda-ini-cara-sederhana-cek-pendengaran-bayi-baru-lahir ","sumber")</f>
        <v>sumber</v>
      </c>
      <c r="G103" s="162" t="str">
        <f>HYPERLINK("https://drive.google.com/open?id=1LZF5WDwLJG0Gj9r00fLvcyUw2Ft9i5jZ","lokasi")</f>
        <v>lokasi</v>
      </c>
      <c r="H103" s="44">
        <v>219.0</v>
      </c>
      <c r="I103" s="44">
        <v>5.0</v>
      </c>
      <c r="J103" s="44">
        <v>2.0</v>
      </c>
      <c r="K103" s="164" t="s">
        <v>4177</v>
      </c>
      <c r="L103" s="44">
        <v>0.0</v>
      </c>
      <c r="M103" s="44">
        <v>0.0</v>
      </c>
      <c r="N103" s="44">
        <v>0.0</v>
      </c>
      <c r="O103" s="44">
        <v>0.0</v>
      </c>
      <c r="P103" s="44">
        <v>0.0</v>
      </c>
      <c r="Q103" s="44">
        <v>0.0</v>
      </c>
      <c r="R103" s="44">
        <v>0.0</v>
      </c>
      <c r="S103" s="175"/>
      <c r="T103" s="44">
        <v>0.0</v>
      </c>
      <c r="U103" s="44">
        <v>0.0</v>
      </c>
      <c r="V103" s="44">
        <v>0.0</v>
      </c>
      <c r="W103" s="45"/>
      <c r="X103" s="45"/>
      <c r="Y103" s="45"/>
      <c r="Z103" s="346"/>
      <c r="AA103" s="52"/>
      <c r="AB103" s="9"/>
      <c r="AC103" s="9"/>
      <c r="AD103" s="9"/>
      <c r="AE103" s="9"/>
      <c r="AF103" s="9"/>
    </row>
    <row r="104">
      <c r="A104" s="231">
        <v>1.0</v>
      </c>
      <c r="B104" s="44" t="s">
        <v>4178</v>
      </c>
      <c r="C104" s="44">
        <v>99.0</v>
      </c>
      <c r="D104" s="44">
        <v>1.0</v>
      </c>
      <c r="E104" s="44" t="s">
        <v>171</v>
      </c>
      <c r="F104" s="162" t="str">
        <f>HYPERLINK("https://news.detik.com/berita-jawa-tengah/d-4491218/kpu-kudus-yakin-pemilih-hanya-butuh-45-detik-untuk-nyoblos-5-kartu ","sumber")</f>
        <v>sumber</v>
      </c>
      <c r="G104" s="162" t="str">
        <f>HYPERLINK("https://drive.google.com/open?id=1HI4C1jQYh6euJgmXVv-P0UFwNvoC5-3l","lokasi")</f>
        <v>lokasi</v>
      </c>
      <c r="H104" s="44">
        <v>296.0</v>
      </c>
      <c r="I104" s="44">
        <v>3.0</v>
      </c>
      <c r="J104" s="44">
        <v>2.0</v>
      </c>
      <c r="K104" s="164" t="s">
        <v>4179</v>
      </c>
      <c r="L104" s="44">
        <v>0.0</v>
      </c>
      <c r="M104" s="44">
        <v>0.0</v>
      </c>
      <c r="N104" s="166">
        <v>0.0</v>
      </c>
      <c r="O104" s="44">
        <v>0.0</v>
      </c>
      <c r="P104" s="44">
        <v>0.0</v>
      </c>
      <c r="Q104" s="44" t="s">
        <v>1689</v>
      </c>
      <c r="R104" s="44" t="s">
        <v>138</v>
      </c>
      <c r="S104" s="175"/>
      <c r="T104" s="44">
        <v>0.0</v>
      </c>
      <c r="U104" s="44">
        <v>0.0</v>
      </c>
      <c r="V104" s="44">
        <v>0.0</v>
      </c>
      <c r="W104" s="45"/>
      <c r="X104" s="45"/>
      <c r="Y104" s="45"/>
      <c r="Z104" s="9"/>
      <c r="AA104" s="9"/>
      <c r="AB104" s="9"/>
      <c r="AC104" s="9"/>
      <c r="AD104" s="9"/>
      <c r="AE104" s="9"/>
      <c r="AF104" s="9"/>
    </row>
    <row r="105">
      <c r="A105" s="231">
        <v>1.0</v>
      </c>
      <c r="B105" s="44" t="s">
        <v>4180</v>
      </c>
      <c r="C105" s="44">
        <v>100.0</v>
      </c>
      <c r="D105" s="44">
        <v>1.0</v>
      </c>
      <c r="E105" s="268">
        <v>43469.0</v>
      </c>
      <c r="F105" s="162" t="str">
        <f>HYPERLINK("https://news.detik.com/berita-jawa-barat/d-4492899/penganiaya-pemuda-disabilitas-di-sukabumi-berjumlah-1-orang ","sumber")</f>
        <v>sumber</v>
      </c>
      <c r="G105" s="162" t="str">
        <f>HYPERLINK("https://drive.google.com/open?id=1LJyqxZ8jVNEkMAbYVmTMJiBbEqeqBWyO","lokasi")</f>
        <v>lokasi</v>
      </c>
      <c r="H105" s="44">
        <v>385.0</v>
      </c>
      <c r="I105" s="44">
        <v>1.0</v>
      </c>
      <c r="J105" s="44">
        <v>2.0</v>
      </c>
      <c r="K105" s="164" t="s">
        <v>4181</v>
      </c>
      <c r="L105" s="44">
        <v>0.0</v>
      </c>
      <c r="M105" s="44">
        <v>-1.0</v>
      </c>
      <c r="N105" s="166">
        <v>0.0</v>
      </c>
      <c r="O105" s="44">
        <v>0.0</v>
      </c>
      <c r="P105" s="44">
        <v>0.0</v>
      </c>
      <c r="Q105" s="44" t="s">
        <v>61</v>
      </c>
      <c r="R105" s="44" t="s">
        <v>214</v>
      </c>
      <c r="S105" s="164" t="s">
        <v>4182</v>
      </c>
      <c r="T105" s="44">
        <v>1.0</v>
      </c>
      <c r="U105" s="44">
        <v>0.0</v>
      </c>
      <c r="V105" s="44">
        <v>0.0</v>
      </c>
      <c r="W105" s="45"/>
      <c r="X105" s="45"/>
      <c r="Y105" s="45"/>
      <c r="Z105" s="9"/>
      <c r="AA105" s="9"/>
      <c r="AB105" s="9"/>
      <c r="AC105" s="9"/>
      <c r="AD105" s="9"/>
      <c r="AE105" s="9"/>
      <c r="AF105" s="9"/>
    </row>
    <row r="106">
      <c r="A106" s="43">
        <v>2.0</v>
      </c>
      <c r="B106" s="47" t="s">
        <v>4183</v>
      </c>
      <c r="C106" s="47">
        <v>101.0</v>
      </c>
      <c r="D106" s="47">
        <v>3.0</v>
      </c>
      <c r="E106" s="280">
        <v>43559.0</v>
      </c>
      <c r="F106" s="156" t="str">
        <f>HYPERLINK("https://techno.okezone.com/read/2019/04/04/207/2038985/peretasan-akun-twitter-dan-whatsapp-ramai-jelang-pemilu ","sumber")</f>
        <v>sumber</v>
      </c>
      <c r="G106" s="156" t="str">
        <f>HYPERLINK("https://drive.google.com/open?id=1Dndx_YYfLnWItwUqDZf4gs-NS6vXrg1X","lokasi")</f>
        <v>lokasi</v>
      </c>
      <c r="H106" s="47">
        <v>329.0</v>
      </c>
      <c r="I106" s="48"/>
      <c r="J106" s="48"/>
      <c r="K106" s="165"/>
      <c r="L106" s="48"/>
      <c r="M106" s="48"/>
      <c r="N106" s="48"/>
      <c r="O106" s="48"/>
      <c r="P106" s="48"/>
      <c r="Q106" s="48"/>
      <c r="R106" s="48"/>
      <c r="S106" s="165"/>
      <c r="T106" s="48"/>
      <c r="U106" s="48"/>
      <c r="V106" s="48"/>
      <c r="W106" s="48"/>
      <c r="X106" s="48"/>
      <c r="Y106" s="48"/>
      <c r="Z106" s="338"/>
      <c r="AA106" s="43"/>
      <c r="AB106" s="51"/>
      <c r="AC106" s="51"/>
      <c r="AD106" s="51"/>
      <c r="AE106" s="51"/>
      <c r="AF106" s="51"/>
    </row>
    <row r="107">
      <c r="A107" s="43">
        <v>2.0</v>
      </c>
      <c r="B107" s="47" t="s">
        <v>4184</v>
      </c>
      <c r="C107" s="47">
        <v>102.0</v>
      </c>
      <c r="D107" s="47">
        <v>3.0</v>
      </c>
      <c r="E107" s="280">
        <v>43620.0</v>
      </c>
      <c r="F107" s="156" t="str">
        <f>HYPERLINK("https://lifestyle.okezone.com/read/2019/04/06/196/2039857/pasangan-ini-dipertemukan-semesta-karena-suka-vampire-gigitan-jadi-cinta-pertama ","sumber")</f>
        <v>sumber</v>
      </c>
      <c r="G107" s="156" t="str">
        <f>HYPERLINK("https://drive.google.com/open?id=1Xr6OMRRUnl7be_F_7UvwJxMDG1PloJKx","lokasi")</f>
        <v>lokasi</v>
      </c>
      <c r="H107" s="47">
        <v>647.0</v>
      </c>
      <c r="I107" s="48"/>
      <c r="J107" s="48"/>
      <c r="K107" s="165"/>
      <c r="L107" s="48"/>
      <c r="M107" s="48"/>
      <c r="N107" s="48"/>
      <c r="O107" s="48"/>
      <c r="P107" s="48"/>
      <c r="Q107" s="48"/>
      <c r="R107" s="48"/>
      <c r="S107" s="165"/>
      <c r="T107" s="48"/>
      <c r="U107" s="48"/>
      <c r="V107" s="48"/>
      <c r="W107" s="48"/>
      <c r="X107" s="48"/>
      <c r="Y107" s="48"/>
      <c r="Z107" s="338"/>
      <c r="AA107" s="43"/>
      <c r="AB107" s="51"/>
      <c r="AC107" s="51"/>
      <c r="AD107" s="51"/>
      <c r="AE107" s="51"/>
      <c r="AF107" s="51"/>
    </row>
    <row r="108">
      <c r="A108" s="43">
        <v>2.0</v>
      </c>
      <c r="B108" s="47" t="s">
        <v>4185</v>
      </c>
      <c r="C108" s="47">
        <v>103.0</v>
      </c>
      <c r="D108" s="47">
        <v>3.0</v>
      </c>
      <c r="E108" s="280">
        <v>43803.0</v>
      </c>
      <c r="F108" s="156" t="str">
        <f>HYPERLINK("https://index.okezone.com/read/2019/04/12/612/2042575/cantik-cantik-tatoan-itu-preman-apa-seni ","sumber")</f>
        <v>sumber</v>
      </c>
      <c r="G108" s="156" t="str">
        <f>HYPERLINK("https://drive.google.com/open?id=1CzGUmr6hFiYupzyzuPeeeUabSHTY3y64","lokasi")</f>
        <v>lokasi</v>
      </c>
      <c r="H108" s="47">
        <v>401.0</v>
      </c>
      <c r="I108" s="48"/>
      <c r="J108" s="48"/>
      <c r="K108" s="165"/>
      <c r="L108" s="48"/>
      <c r="M108" s="48"/>
      <c r="N108" s="48"/>
      <c r="O108" s="48"/>
      <c r="P108" s="48"/>
      <c r="Q108" s="48"/>
      <c r="R108" s="48"/>
      <c r="S108" s="165"/>
      <c r="T108" s="48"/>
      <c r="U108" s="48"/>
      <c r="V108" s="48"/>
      <c r="W108" s="48"/>
      <c r="X108" s="48"/>
      <c r="Y108" s="48"/>
      <c r="Z108" s="338"/>
      <c r="AA108" s="43"/>
      <c r="AB108" s="51"/>
      <c r="AC108" s="51"/>
      <c r="AD108" s="51"/>
      <c r="AE108" s="51"/>
      <c r="AF108" s="51"/>
    </row>
    <row r="109">
      <c r="A109" s="231">
        <v>1.0</v>
      </c>
      <c r="B109" s="44" t="s">
        <v>4186</v>
      </c>
      <c r="C109" s="44">
        <v>104.0</v>
      </c>
      <c r="D109" s="44">
        <v>5.0</v>
      </c>
      <c r="E109" s="268">
        <v>43803.0</v>
      </c>
      <c r="F109" s="162" t="str">
        <f>HYPERLINK("https://tirto.id/suara-anak-disabilitas-diakomodir-kemenpppa-ajak-menulis-pendapat-dlVT ","sumber")</f>
        <v>sumber</v>
      </c>
      <c r="G109" s="162" t="str">
        <f>HYPERLINK("https://drive.google.com/open?id=1khtaVcY6lN4XtJFYi4a4-CEXnNHYFySK","lokasi")</f>
        <v>lokasi</v>
      </c>
      <c r="H109" s="44">
        <v>296.0</v>
      </c>
      <c r="I109" s="44">
        <v>4.0</v>
      </c>
      <c r="J109" s="44">
        <v>2.0</v>
      </c>
      <c r="K109" s="164" t="s">
        <v>4187</v>
      </c>
      <c r="L109" s="44">
        <v>0.0</v>
      </c>
      <c r="M109" s="44">
        <v>0.0</v>
      </c>
      <c r="N109" s="166">
        <v>0.0</v>
      </c>
      <c r="O109" s="44">
        <v>0.0</v>
      </c>
      <c r="P109" s="44">
        <v>0.0</v>
      </c>
      <c r="Q109" s="44">
        <v>0.0</v>
      </c>
      <c r="R109" s="44">
        <v>1.0</v>
      </c>
      <c r="S109" s="175"/>
      <c r="T109" s="44">
        <v>0.0</v>
      </c>
      <c r="U109" s="44">
        <v>0.0</v>
      </c>
      <c r="V109" s="44">
        <v>1.0</v>
      </c>
      <c r="W109" s="45"/>
      <c r="X109" s="45"/>
      <c r="Y109" s="45"/>
      <c r="Z109" s="9"/>
      <c r="AA109" s="9"/>
      <c r="AB109" s="9"/>
      <c r="AC109" s="9"/>
      <c r="AD109" s="9"/>
      <c r="AE109" s="9"/>
      <c r="AF109" s="9"/>
    </row>
    <row r="110">
      <c r="A110" s="43">
        <v>2.0</v>
      </c>
      <c r="B110" s="192" t="s">
        <v>4188</v>
      </c>
      <c r="C110" s="47">
        <v>105.0</v>
      </c>
      <c r="D110" s="47">
        <v>1.0</v>
      </c>
      <c r="E110" s="47" t="s">
        <v>766</v>
      </c>
      <c r="F110" s="156" t="str">
        <f>HYPERLINK("https://health.detik.com/berita-detikhealth/d-4509168/3-kelainan-genetik-yang-paling-bikin-cemas-para-ortu ","sumber")</f>
        <v>sumber</v>
      </c>
      <c r="G110" s="156" t="str">
        <f>HYPERLINK("https://drive.google.com/open?id=1LOKACe5TWLHoogl_OGk-3yh0CrEfvo2O","lokasi")</f>
        <v>lokasi</v>
      </c>
      <c r="H110" s="47">
        <v>258.0</v>
      </c>
      <c r="I110" s="48"/>
      <c r="J110" s="48"/>
      <c r="K110" s="165"/>
      <c r="L110" s="48"/>
      <c r="M110" s="48"/>
      <c r="N110" s="48"/>
      <c r="O110" s="48"/>
      <c r="P110" s="48"/>
      <c r="Q110" s="48"/>
      <c r="R110" s="48"/>
      <c r="S110" s="165"/>
      <c r="T110" s="48"/>
      <c r="U110" s="48"/>
      <c r="V110" s="48"/>
      <c r="W110" s="48"/>
      <c r="X110" s="48"/>
      <c r="Y110" s="48"/>
      <c r="Z110" s="338"/>
      <c r="AA110" s="43"/>
      <c r="AB110" s="51"/>
      <c r="AC110" s="51"/>
      <c r="AD110" s="51"/>
      <c r="AE110" s="51"/>
      <c r="AF110" s="51"/>
    </row>
    <row r="111">
      <c r="A111" s="43">
        <v>2.0</v>
      </c>
      <c r="B111" s="47" t="s">
        <v>4189</v>
      </c>
      <c r="C111" s="47">
        <v>106.0</v>
      </c>
      <c r="D111" s="47">
        <v>3.0</v>
      </c>
      <c r="E111" s="47" t="s">
        <v>548</v>
      </c>
      <c r="F111" s="156" t="str">
        <f>HYPERLINK("https://lifestyle.okezone.com/read/2019/04/14/611/2043468/kenang-game-of-thrones-para-fans-buat-tato-para-karakter ","sumber")</f>
        <v>sumber</v>
      </c>
      <c r="G111" s="156" t="str">
        <f>HYPERLINK("https://drive.google.com/open?id=1tMDFqr_PUaaVciJCuyowMCwe4oNeO8vb","lokasi")</f>
        <v>lokasi</v>
      </c>
      <c r="H111" s="47">
        <v>373.0</v>
      </c>
      <c r="I111" s="48"/>
      <c r="J111" s="48"/>
      <c r="K111" s="165"/>
      <c r="L111" s="48"/>
      <c r="M111" s="48"/>
      <c r="N111" s="48"/>
      <c r="O111" s="48"/>
      <c r="P111" s="48"/>
      <c r="Q111" s="48"/>
      <c r="R111" s="48"/>
      <c r="S111" s="165"/>
      <c r="T111" s="48"/>
      <c r="U111" s="48"/>
      <c r="V111" s="48"/>
      <c r="W111" s="48"/>
      <c r="X111" s="48"/>
      <c r="Y111" s="48"/>
      <c r="Z111" s="338"/>
      <c r="AA111" s="43"/>
      <c r="AB111" s="51"/>
      <c r="AC111" s="51"/>
      <c r="AD111" s="51"/>
      <c r="AE111" s="51"/>
      <c r="AF111" s="51"/>
    </row>
    <row r="112">
      <c r="A112" s="231">
        <v>1.0</v>
      </c>
      <c r="B112" s="44" t="s">
        <v>4190</v>
      </c>
      <c r="C112" s="44">
        <v>107.0</v>
      </c>
      <c r="D112" s="44">
        <v>2.0</v>
      </c>
      <c r="E112" s="44" t="s">
        <v>2573</v>
      </c>
      <c r="F112" s="162" t="str">
        <f>HYPERLINK("https://news.okezone.com/read/2019/04/15/519/2043927/terpengaruh-film-porno-bocah-sd-dan-smp-perkosa-siswi-sma-berkali-kali ","sumber")</f>
        <v>sumber</v>
      </c>
      <c r="G112" s="162" t="str">
        <f>HYPERLINK("https://drive.google.com/open?id=1oTqLpT7gd736TMzccID7M0HvojCKTNzn","lokasi")</f>
        <v>lokasi</v>
      </c>
      <c r="H112" s="44">
        <v>372.0</v>
      </c>
      <c r="I112" s="44">
        <v>1.0</v>
      </c>
      <c r="J112" s="44">
        <v>1.0</v>
      </c>
      <c r="K112" s="164" t="s">
        <v>4191</v>
      </c>
      <c r="L112" s="44">
        <v>0.0</v>
      </c>
      <c r="M112" s="44">
        <v>-1.0</v>
      </c>
      <c r="N112" s="166">
        <v>0.0</v>
      </c>
      <c r="O112" s="44">
        <v>-1.0</v>
      </c>
      <c r="P112" s="44">
        <v>-1.0</v>
      </c>
      <c r="Q112" s="44">
        <v>0.0</v>
      </c>
      <c r="R112" s="44">
        <v>0.0</v>
      </c>
      <c r="S112" s="175"/>
      <c r="T112" s="44">
        <v>0.0</v>
      </c>
      <c r="U112" s="44">
        <v>0.0</v>
      </c>
      <c r="V112" s="44">
        <v>0.0</v>
      </c>
      <c r="W112" s="45"/>
      <c r="X112" s="45"/>
      <c r="Y112" s="45"/>
      <c r="Z112" s="9"/>
      <c r="AA112" s="9"/>
      <c r="AB112" s="9"/>
      <c r="AC112" s="9"/>
      <c r="AD112" s="9"/>
      <c r="AE112" s="9"/>
      <c r="AF112" s="9"/>
    </row>
    <row r="113">
      <c r="A113" s="231">
        <v>1.0</v>
      </c>
      <c r="B113" s="44" t="s">
        <v>4192</v>
      </c>
      <c r="C113" s="44">
        <v>108.0</v>
      </c>
      <c r="D113" s="44">
        <v>2.0</v>
      </c>
      <c r="E113" s="44" t="s">
        <v>569</v>
      </c>
      <c r="F113" s="162" t="str">
        <f>HYPERLINK("https://www.cnnindonesia.com/nasional/20190417220635-32-387446/pemilu-2019-bawaslu-sebut-2366-tps-tak-ramah-disabilitas ","sumber")</f>
        <v>sumber</v>
      </c>
      <c r="G113" s="162" t="str">
        <f t="shared" ref="G113:G114" si="1">HYPERLINK("https://drive.google.com/open?id=1O3Z0AQrhbRPxwIMbvqNEUZ9J_KU7Frih","lokasi")</f>
        <v>lokasi</v>
      </c>
      <c r="H113" s="44">
        <v>229.0</v>
      </c>
      <c r="I113" s="44">
        <v>4.0</v>
      </c>
      <c r="J113" s="44">
        <v>2.0</v>
      </c>
      <c r="K113" s="164" t="s">
        <v>4193</v>
      </c>
      <c r="L113" s="44">
        <v>0.0</v>
      </c>
      <c r="M113" s="44">
        <v>0.0</v>
      </c>
      <c r="N113" s="166">
        <v>0.0</v>
      </c>
      <c r="O113" s="44">
        <v>0.0</v>
      </c>
      <c r="P113" s="44">
        <v>0.0</v>
      </c>
      <c r="Q113" s="44">
        <v>0.0</v>
      </c>
      <c r="R113" s="44">
        <v>1.0</v>
      </c>
      <c r="S113" s="175"/>
      <c r="T113" s="44">
        <v>0.0</v>
      </c>
      <c r="U113" s="44">
        <v>0.0</v>
      </c>
      <c r="V113" s="44">
        <v>0.0</v>
      </c>
      <c r="W113" s="45"/>
      <c r="X113" s="45"/>
      <c r="Y113" s="45"/>
      <c r="Z113" s="9"/>
      <c r="AA113" s="9"/>
      <c r="AB113" s="9"/>
      <c r="AC113" s="9"/>
      <c r="AD113" s="9"/>
      <c r="AE113" s="9"/>
      <c r="AF113" s="9"/>
    </row>
    <row r="114">
      <c r="A114" s="252">
        <v>1.0</v>
      </c>
      <c r="B114" s="173" t="s">
        <v>4194</v>
      </c>
      <c r="C114" s="55">
        <v>109.0</v>
      </c>
      <c r="D114" s="55">
        <v>6.0</v>
      </c>
      <c r="E114" s="55" t="s">
        <v>4195</v>
      </c>
      <c r="F114" s="171" t="str">
        <f>HYPERLINK("https://regional.kompas.com/read/2019/04/20/15004311/seorang-anak-diduga-bunuh-ayah-kandung-di-kebumen ","sumber")</f>
        <v>sumber</v>
      </c>
      <c r="G114" s="171" t="str">
        <f t="shared" si="1"/>
        <v>lokasi</v>
      </c>
      <c r="H114" s="55">
        <v>223.0</v>
      </c>
      <c r="I114" s="55">
        <v>1.0</v>
      </c>
      <c r="J114" s="55">
        <v>2.0</v>
      </c>
      <c r="K114" s="172" t="s">
        <v>4196</v>
      </c>
      <c r="L114" s="55">
        <v>0.0</v>
      </c>
      <c r="M114" s="55">
        <v>-1.0</v>
      </c>
      <c r="N114" s="173">
        <v>0.0</v>
      </c>
      <c r="O114" s="55">
        <v>0.0</v>
      </c>
      <c r="P114" s="55">
        <v>0.0</v>
      </c>
      <c r="Q114" s="55">
        <v>0.0</v>
      </c>
      <c r="R114" s="55">
        <v>-1.0</v>
      </c>
      <c r="S114" s="174"/>
      <c r="T114" s="55">
        <v>0.0</v>
      </c>
      <c r="U114" s="55">
        <v>0.0</v>
      </c>
      <c r="V114" s="55">
        <v>0.0</v>
      </c>
      <c r="W114" s="46"/>
      <c r="X114" s="46"/>
      <c r="Y114" s="46"/>
      <c r="Z114" s="302"/>
      <c r="AA114" s="30"/>
      <c r="AB114" s="31"/>
      <c r="AC114" s="31"/>
      <c r="AD114" s="31"/>
      <c r="AE114" s="31"/>
      <c r="AF114" s="31"/>
    </row>
    <row r="115">
      <c r="A115" s="43">
        <v>2.0</v>
      </c>
      <c r="B115" s="47" t="s">
        <v>4197</v>
      </c>
      <c r="C115" s="47">
        <v>110.0</v>
      </c>
      <c r="D115" s="47">
        <v>9.0</v>
      </c>
      <c r="E115" s="47" t="s">
        <v>197</v>
      </c>
      <c r="F115" s="156" t="str">
        <f>HYPERLINK("https://nasional.republika.co.id/berita/nasional/politik/pqfr3a428/peneliti-lipi-petugas-meninggal-dipicu-banyak-faktor ","sumber")</f>
        <v>sumber</v>
      </c>
      <c r="G115" s="156" t="str">
        <f>HYPERLINK("https://drive.google.com/open?id=1x70qUKCx6jBwXwNzrC-NfZHDqBSqP5Pp","lokasi")</f>
        <v>lokasi</v>
      </c>
      <c r="H115" s="47">
        <v>257.0</v>
      </c>
      <c r="I115" s="48"/>
      <c r="J115" s="48"/>
      <c r="K115" s="165"/>
      <c r="L115" s="48"/>
      <c r="M115" s="48"/>
      <c r="N115" s="48"/>
      <c r="O115" s="48"/>
      <c r="P115" s="48"/>
      <c r="Q115" s="48"/>
      <c r="R115" s="48"/>
      <c r="S115" s="165"/>
      <c r="T115" s="48"/>
      <c r="U115" s="48"/>
      <c r="V115" s="48"/>
      <c r="W115" s="48"/>
      <c r="X115" s="48"/>
      <c r="Y115" s="48"/>
      <c r="Z115" s="338"/>
      <c r="AA115" s="43"/>
      <c r="AB115" s="51"/>
      <c r="AC115" s="51"/>
      <c r="AD115" s="51"/>
      <c r="AE115" s="51"/>
      <c r="AF115" s="51"/>
    </row>
    <row r="116">
      <c r="A116" s="252">
        <v>1.0</v>
      </c>
      <c r="B116" s="173" t="s">
        <v>4198</v>
      </c>
      <c r="C116" s="55">
        <v>111.0</v>
      </c>
      <c r="D116" s="55">
        <v>7.0</v>
      </c>
      <c r="E116" s="344">
        <v>43712.0</v>
      </c>
      <c r="F116" s="171" t="str">
        <f>HYPERLINK("http://www.tribunnews.com/nasional/2019/04/30/kpu-siapkan-juknis-santunan-untuk-keluarga-kpps-meninggal ","sumber")</f>
        <v>sumber</v>
      </c>
      <c r="G116" s="171" t="str">
        <f>HYPERLINK("https://drive.google.com/open?id=1GwArWJtMId9lV-x5m-FHfHr_M3IhbYXk","lokasi")</f>
        <v>lokasi</v>
      </c>
      <c r="H116" s="55">
        <v>261.0</v>
      </c>
      <c r="I116" s="55">
        <v>4.0</v>
      </c>
      <c r="J116" s="55">
        <v>2.0</v>
      </c>
      <c r="K116" s="172" t="s">
        <v>4199</v>
      </c>
      <c r="L116" s="55">
        <v>0.0</v>
      </c>
      <c r="M116" s="55">
        <v>0.0</v>
      </c>
      <c r="N116" s="173">
        <v>0.0</v>
      </c>
      <c r="O116" s="55">
        <v>0.0</v>
      </c>
      <c r="P116" s="55">
        <v>0.0</v>
      </c>
      <c r="Q116" s="55">
        <v>0.0</v>
      </c>
      <c r="R116" s="55">
        <v>1.0</v>
      </c>
      <c r="S116" s="174"/>
      <c r="T116" s="55">
        <v>0.0</v>
      </c>
      <c r="U116" s="55">
        <v>0.0</v>
      </c>
      <c r="V116" s="55">
        <v>1.0</v>
      </c>
      <c r="W116" s="46"/>
      <c r="X116" s="46"/>
      <c r="Y116" s="46"/>
      <c r="Z116" s="302"/>
      <c r="AA116" s="30"/>
      <c r="AB116" s="31"/>
      <c r="AC116" s="31"/>
      <c r="AD116" s="31"/>
      <c r="AE116" s="31"/>
      <c r="AF116" s="31"/>
    </row>
    <row r="117">
      <c r="A117" s="231">
        <v>1.0</v>
      </c>
      <c r="B117" s="44" t="s">
        <v>4200</v>
      </c>
      <c r="C117" s="44">
        <v>112.0</v>
      </c>
      <c r="D117" s="44">
        <v>6.0</v>
      </c>
      <c r="E117" s="268">
        <v>43501.0</v>
      </c>
      <c r="F117" s="162" t="str">
        <f>HYPERLINK("https://regional.kompas.com/read/2019/05/02/15131411/pasca-aksi-kelompok-baju-hitam-siswa-penyandang-disabilitas-takut-ke-sekolah ","sumber")</f>
        <v>sumber</v>
      </c>
      <c r="G117" s="162" t="str">
        <f>HYPERLINK("https://drive.google.com/open?id=1pM8i8RqVwAJwdym8ef_W7Jj-MzDqwk_o","lokasi")</f>
        <v>lokasi</v>
      </c>
      <c r="H117" s="44">
        <v>420.0</v>
      </c>
      <c r="I117" s="44">
        <v>1.0</v>
      </c>
      <c r="J117" s="44">
        <v>2.0</v>
      </c>
      <c r="K117" s="164" t="s">
        <v>4201</v>
      </c>
      <c r="L117" s="44">
        <v>-1.0</v>
      </c>
      <c r="M117" s="44">
        <v>-1.0</v>
      </c>
      <c r="N117" s="166">
        <v>0.0</v>
      </c>
      <c r="O117" s="44">
        <v>0.0</v>
      </c>
      <c r="P117" s="44">
        <v>0.0</v>
      </c>
      <c r="Q117" s="44" t="s">
        <v>61</v>
      </c>
      <c r="R117" s="44" t="s">
        <v>61</v>
      </c>
      <c r="S117" s="175"/>
      <c r="T117" s="44">
        <v>0.0</v>
      </c>
      <c r="U117" s="44">
        <v>0.0</v>
      </c>
      <c r="V117" s="44">
        <v>0.0</v>
      </c>
      <c r="W117" s="45"/>
      <c r="X117" s="45"/>
      <c r="Y117" s="45"/>
      <c r="Z117" s="9"/>
      <c r="AA117" s="9"/>
      <c r="AB117" s="9"/>
      <c r="AC117" s="9"/>
      <c r="AD117" s="9"/>
      <c r="AE117" s="9"/>
      <c r="AF117" s="9"/>
    </row>
    <row r="118">
      <c r="A118" s="252">
        <v>1.0</v>
      </c>
      <c r="B118" s="173" t="s">
        <v>4202</v>
      </c>
      <c r="C118" s="55">
        <v>113.0</v>
      </c>
      <c r="D118" s="55">
        <v>5.0</v>
      </c>
      <c r="E118" s="55" t="s">
        <v>2208</v>
      </c>
      <c r="F118" s="171" t="str">
        <f>HYPERLINK("https://tirto.id/live-transcribe-aplikasi-komunikasi-bagi-para-tuli-dF81 ","sumber")</f>
        <v>sumber</v>
      </c>
      <c r="G118" s="171" t="str">
        <f>HYPERLINK("https://drive.google.com/open?id=1RJUsJ8RZmH3K9JqWEXmhEyT5mQnkl5Wg","lokasi")</f>
        <v>lokasi</v>
      </c>
      <c r="H118" s="55">
        <v>859.0</v>
      </c>
      <c r="I118" s="55">
        <v>4.0</v>
      </c>
      <c r="J118" s="55">
        <v>2.0</v>
      </c>
      <c r="K118" s="172" t="s">
        <v>4203</v>
      </c>
      <c r="L118" s="55">
        <v>0.0</v>
      </c>
      <c r="M118" s="55">
        <v>0.0</v>
      </c>
      <c r="N118" s="173">
        <v>0.0</v>
      </c>
      <c r="O118" s="55">
        <v>0.0</v>
      </c>
      <c r="P118" s="55">
        <v>0.0</v>
      </c>
      <c r="Q118" s="55">
        <v>0.0</v>
      </c>
      <c r="R118" s="55">
        <v>1.0</v>
      </c>
      <c r="S118" s="174"/>
      <c r="T118" s="55">
        <v>0.0</v>
      </c>
      <c r="U118" s="55">
        <v>0.0</v>
      </c>
      <c r="V118" s="55">
        <v>0.0</v>
      </c>
      <c r="W118" s="46"/>
      <c r="X118" s="46"/>
      <c r="Y118" s="46"/>
      <c r="Z118" s="302"/>
      <c r="AA118" s="30"/>
      <c r="AB118" s="31"/>
      <c r="AC118" s="31"/>
      <c r="AD118" s="31"/>
      <c r="AE118" s="31"/>
      <c r="AF118" s="31"/>
    </row>
    <row r="119">
      <c r="A119" s="231">
        <v>1.0</v>
      </c>
      <c r="B119" s="44" t="s">
        <v>4204</v>
      </c>
      <c r="C119" s="44">
        <v>114.0</v>
      </c>
      <c r="D119" s="44">
        <v>1.0</v>
      </c>
      <c r="E119" s="268">
        <v>43529.0</v>
      </c>
      <c r="F119" s="162" t="str">
        <f>HYPERLINK("https://news.detik.com/berita/d-4534698/selain-ajb-sulit-pelaku-bakar-kantor-desa-karena-bantuan-tak-cair ","sumber")</f>
        <v>sumber</v>
      </c>
      <c r="G119" s="162" t="str">
        <f>HYPERLINK("https://drive.google.com/open?id=1tOZR3vOSPqiNQTxvTxIR2GScZ7WFnmH0","lokasi")</f>
        <v>lokasi</v>
      </c>
      <c r="H119" s="44">
        <v>230.0</v>
      </c>
      <c r="I119" s="44">
        <v>1.0</v>
      </c>
      <c r="J119" s="44">
        <v>2.0</v>
      </c>
      <c r="K119" s="164" t="s">
        <v>4205</v>
      </c>
      <c r="L119" s="44">
        <v>-1.0</v>
      </c>
      <c r="M119" s="44">
        <v>-1.0</v>
      </c>
      <c r="N119" s="166">
        <v>0.0</v>
      </c>
      <c r="O119" s="44">
        <v>0.0</v>
      </c>
      <c r="P119" s="44">
        <v>0.0</v>
      </c>
      <c r="Q119" s="44">
        <v>1.0</v>
      </c>
      <c r="R119" s="44">
        <v>1.0</v>
      </c>
      <c r="S119" s="175"/>
      <c r="T119" s="44">
        <v>0.0</v>
      </c>
      <c r="U119" s="44">
        <v>-1.0</v>
      </c>
      <c r="V119" s="44">
        <v>0.0</v>
      </c>
      <c r="W119" s="45"/>
      <c r="X119" s="45"/>
      <c r="Y119" s="45"/>
      <c r="Z119" s="9"/>
      <c r="AA119" s="9"/>
      <c r="AB119" s="9"/>
      <c r="AC119" s="9"/>
      <c r="AD119" s="9"/>
      <c r="AE119" s="9"/>
      <c r="AF119" s="9"/>
    </row>
    <row r="120">
      <c r="A120" s="43">
        <v>2.0</v>
      </c>
      <c r="B120" s="47" t="s">
        <v>4206</v>
      </c>
      <c r="C120" s="47">
        <v>115.0</v>
      </c>
      <c r="D120" s="47">
        <v>10.0</v>
      </c>
      <c r="E120" s="280">
        <v>43560.0</v>
      </c>
      <c r="F120" s="156" t="str">
        <f>HYPERLINK("https://gaya.tempo.co/read/1201887/berhati-lembut-4-zodiak-ini-dikenal-sebagai-penyayang-hewan ","sumber")</f>
        <v>sumber</v>
      </c>
      <c r="G120" s="156" t="str">
        <f>HYPERLINK("https://drive.google.com/open?id=1TCA_RGHM8gz8KmUA7ExO1u9aJb0WfdOj","lokasi")</f>
        <v>lokasi</v>
      </c>
      <c r="H120" s="47">
        <v>301.0</v>
      </c>
      <c r="I120" s="48"/>
      <c r="J120" s="48"/>
      <c r="K120" s="165"/>
      <c r="L120" s="48"/>
      <c r="M120" s="48"/>
      <c r="N120" s="48"/>
      <c r="O120" s="48"/>
      <c r="P120" s="48"/>
      <c r="Q120" s="48"/>
      <c r="R120" s="48"/>
      <c r="S120" s="165"/>
      <c r="T120" s="48"/>
      <c r="U120" s="48"/>
      <c r="V120" s="48"/>
      <c r="W120" s="48"/>
      <c r="X120" s="48"/>
      <c r="Y120" s="48"/>
      <c r="Z120" s="338"/>
      <c r="AA120" s="43"/>
      <c r="AB120" s="51"/>
      <c r="AC120" s="51"/>
      <c r="AD120" s="51"/>
      <c r="AE120" s="51"/>
      <c r="AF120" s="51"/>
    </row>
    <row r="121">
      <c r="A121" s="252">
        <v>1.0</v>
      </c>
      <c r="B121" s="173" t="s">
        <v>4207</v>
      </c>
      <c r="C121" s="55">
        <v>116.0</v>
      </c>
      <c r="D121" s="55">
        <v>4.0</v>
      </c>
      <c r="E121" s="55" t="s">
        <v>2065</v>
      </c>
      <c r="F121" s="171" t="str">
        <f>HYPERLINK("https://www.liputan6.com/lifestyle/read/3978055/masjid-ramah-disabilitas-kesetaraan-beribadah-di-bulan-ramadan ","sumber")</f>
        <v>sumber</v>
      </c>
      <c r="G121" s="171" t="str">
        <f>HYPERLINK("https://drive.google.com/open?id=1YKNTN0EH1SpbMTAICSKJniQsWqcBCJM7","lokasi")</f>
        <v>lokasi</v>
      </c>
      <c r="H121" s="55">
        <v>350.0</v>
      </c>
      <c r="I121" s="55">
        <v>3.0</v>
      </c>
      <c r="J121" s="55">
        <v>2.0</v>
      </c>
      <c r="K121" s="172" t="s">
        <v>4208</v>
      </c>
      <c r="L121" s="55">
        <v>0.0</v>
      </c>
      <c r="M121" s="55">
        <v>0.0</v>
      </c>
      <c r="N121" s="55">
        <v>0.0</v>
      </c>
      <c r="O121" s="55">
        <v>0.0</v>
      </c>
      <c r="P121" s="55">
        <v>0.0</v>
      </c>
      <c r="Q121" s="55" t="s">
        <v>61</v>
      </c>
      <c r="R121" s="55" t="s">
        <v>192</v>
      </c>
      <c r="S121" s="174"/>
      <c r="T121" s="55">
        <v>0.0</v>
      </c>
      <c r="U121" s="55">
        <v>0.0</v>
      </c>
      <c r="V121" s="55">
        <v>0.0</v>
      </c>
      <c r="W121" s="46"/>
      <c r="X121" s="46"/>
      <c r="Y121" s="46"/>
      <c r="Z121" s="302"/>
      <c r="AA121" s="30"/>
      <c r="AB121" s="31"/>
      <c r="AC121" s="31"/>
      <c r="AD121" s="31"/>
      <c r="AE121" s="31"/>
      <c r="AF121" s="31"/>
    </row>
    <row r="122">
      <c r="A122" s="252">
        <v>1.0</v>
      </c>
      <c r="B122" s="173" t="s">
        <v>4209</v>
      </c>
      <c r="C122" s="55">
        <v>117.0</v>
      </c>
      <c r="D122" s="55">
        <v>3.0</v>
      </c>
      <c r="E122" s="55" t="s">
        <v>2208</v>
      </c>
      <c r="F122" s="171" t="str">
        <f>HYPERLINK("https://celebrity.okezone.com/read/2019/05/17/33/2057203/berkenalan-dengan-teman-tuli-natasha-rizki-petik-pelajaran-berharga ","sumber")</f>
        <v>sumber</v>
      </c>
      <c r="G122" s="171" t="str">
        <f>HYPERLINK("https://drive.google.com/open?id=1YRAhp1-UBRs9zQqlC02JkPG07ycyDpVM","lokasi")</f>
        <v>lokasi</v>
      </c>
      <c r="H122" s="55">
        <v>621.0</v>
      </c>
      <c r="I122" s="55">
        <v>2.0</v>
      </c>
      <c r="J122" s="55">
        <v>2.0</v>
      </c>
      <c r="K122" s="172" t="s">
        <v>4210</v>
      </c>
      <c r="L122" s="55">
        <v>0.0</v>
      </c>
      <c r="M122" s="55">
        <v>0.0</v>
      </c>
      <c r="N122" s="55">
        <v>0.0</v>
      </c>
      <c r="O122" s="55">
        <v>0.0</v>
      </c>
      <c r="P122" s="55">
        <v>0.0</v>
      </c>
      <c r="Q122" s="55">
        <v>0.0</v>
      </c>
      <c r="R122" s="55">
        <v>1.0</v>
      </c>
      <c r="S122" s="174"/>
      <c r="T122" s="55">
        <v>0.0</v>
      </c>
      <c r="U122" s="55">
        <v>0.0</v>
      </c>
      <c r="V122" s="55">
        <v>1.0</v>
      </c>
      <c r="W122" s="46"/>
      <c r="X122" s="46"/>
      <c r="Y122" s="46"/>
      <c r="Z122" s="302"/>
      <c r="AA122" s="30"/>
      <c r="AB122" s="31"/>
      <c r="AC122" s="31"/>
      <c r="AD122" s="31"/>
      <c r="AE122" s="31"/>
      <c r="AF122" s="31"/>
    </row>
    <row r="123">
      <c r="A123" s="231">
        <v>1.0</v>
      </c>
      <c r="B123" s="44" t="s">
        <v>4211</v>
      </c>
      <c r="C123" s="44">
        <v>118.0</v>
      </c>
      <c r="D123" s="44">
        <v>7.0</v>
      </c>
      <c r="E123" s="268">
        <v>43774.0</v>
      </c>
      <c r="F123" s="162" t="str">
        <f>HYPERLINK("http://www.tribunnews.com/regional/2019/05/11/sempat-hilang-kontak-selama-15-tahun-cinta-pasangan-penyandang-tunanetra-berujung-ke-pelaminan ","sumber")</f>
        <v>sumber</v>
      </c>
      <c r="G123" s="162" t="str">
        <f>HYPERLINK("https://drive.google.com/open?id=1m2qVMnSAVvrJEez6zQLOlB_Ly3-m9VnI","lokasi")</f>
        <v>lokasi</v>
      </c>
      <c r="H123" s="44">
        <v>126.0</v>
      </c>
      <c r="I123" s="44">
        <v>2.0</v>
      </c>
      <c r="J123" s="44">
        <v>2.0</v>
      </c>
      <c r="K123" s="164" t="s">
        <v>4212</v>
      </c>
      <c r="L123" s="44">
        <v>-1.0</v>
      </c>
      <c r="M123" s="44">
        <v>0.0</v>
      </c>
      <c r="N123" s="44">
        <v>-1.0</v>
      </c>
      <c r="O123" s="44">
        <v>0.0</v>
      </c>
      <c r="P123" s="44">
        <v>0.0</v>
      </c>
      <c r="Q123" s="44" t="s">
        <v>191</v>
      </c>
      <c r="R123" s="44" t="s">
        <v>61</v>
      </c>
      <c r="S123" s="164" t="s">
        <v>4213</v>
      </c>
      <c r="T123" s="44">
        <v>1.0</v>
      </c>
      <c r="U123" s="44">
        <v>0.0</v>
      </c>
      <c r="V123" s="44">
        <v>0.0</v>
      </c>
      <c r="W123" s="45"/>
      <c r="X123" s="45"/>
      <c r="Y123" s="45"/>
      <c r="Z123" s="9"/>
      <c r="AA123" s="9"/>
      <c r="AB123" s="9"/>
      <c r="AC123" s="9"/>
      <c r="AD123" s="9"/>
      <c r="AE123" s="9"/>
      <c r="AF123" s="9"/>
    </row>
    <row r="124">
      <c r="A124" s="231">
        <v>1.0</v>
      </c>
      <c r="B124" s="44" t="s">
        <v>4214</v>
      </c>
      <c r="C124" s="44">
        <v>119.0</v>
      </c>
      <c r="D124" s="44">
        <v>10.0</v>
      </c>
      <c r="E124" s="44" t="s">
        <v>232</v>
      </c>
      <c r="F124" s="162" t="str">
        <f>HYPERLINK("https://difabel.tempo.co/read/1205155/pentingnya-orang-tua-anak-berkebutuhan-khusus-masuk-komunitas ","sumber")</f>
        <v>sumber</v>
      </c>
      <c r="G124" s="162" t="str">
        <f>HYPERLINK("https://drive.google.com/open?id=1Q2lw2SS_zer7stMCkhMaj8lzoWI_qpsP","lokasi")</f>
        <v>lokasi</v>
      </c>
      <c r="H124" s="44">
        <v>292.0</v>
      </c>
      <c r="I124" s="44">
        <v>5.0</v>
      </c>
      <c r="J124" s="44">
        <v>2.0</v>
      </c>
      <c r="K124" s="164" t="s">
        <v>4215</v>
      </c>
      <c r="L124" s="44">
        <v>0.0</v>
      </c>
      <c r="M124" s="44">
        <v>0.0</v>
      </c>
      <c r="N124" s="166">
        <v>0.0</v>
      </c>
      <c r="O124" s="44">
        <v>0.0</v>
      </c>
      <c r="P124" s="44">
        <v>0.0</v>
      </c>
      <c r="Q124" s="44" t="s">
        <v>214</v>
      </c>
      <c r="R124" s="44" t="s">
        <v>192</v>
      </c>
      <c r="S124" s="164" t="s">
        <v>4216</v>
      </c>
      <c r="T124" s="44">
        <v>2.0</v>
      </c>
      <c r="U124" s="44">
        <v>0.0</v>
      </c>
      <c r="V124" s="44">
        <v>0.0</v>
      </c>
      <c r="W124" s="45"/>
      <c r="X124" s="45"/>
      <c r="Y124" s="45"/>
      <c r="Z124" s="9"/>
      <c r="AA124" s="9"/>
      <c r="AB124" s="9"/>
      <c r="AC124" s="9"/>
      <c r="AD124" s="9"/>
      <c r="AE124" s="9"/>
      <c r="AF124" s="9"/>
    </row>
    <row r="125">
      <c r="A125" s="43">
        <v>2.0</v>
      </c>
      <c r="B125" s="47" t="s">
        <v>4217</v>
      </c>
      <c r="C125" s="47">
        <v>120.0</v>
      </c>
      <c r="D125" s="47">
        <v>8.0</v>
      </c>
      <c r="E125" s="47" t="s">
        <v>793</v>
      </c>
      <c r="F125" s="156" t="str">
        <f>HYPERLINK("https://www.suara.com/bisnis/2019/05/17/144923/info-mudik-2019-fasilitas-rest-area-tol-kanci-pejagaan-km-228a ","sumber")</f>
        <v>sumber</v>
      </c>
      <c r="G125" s="156" t="str">
        <f>HYPERLINK("https://drive.google.com/open?id=1zZu238wjhvyg5Z8t6hk7295JUGCR356s","lokasi")</f>
        <v>lokasi</v>
      </c>
      <c r="H125" s="47">
        <v>504.0</v>
      </c>
      <c r="I125" s="48"/>
      <c r="J125" s="48"/>
      <c r="K125" s="165"/>
      <c r="L125" s="48"/>
      <c r="M125" s="48"/>
      <c r="N125" s="48"/>
      <c r="O125" s="48"/>
      <c r="P125" s="48"/>
      <c r="Q125" s="48"/>
      <c r="R125" s="48"/>
      <c r="S125" s="165"/>
      <c r="T125" s="48"/>
      <c r="U125" s="48"/>
      <c r="V125" s="48"/>
      <c r="W125" s="48"/>
      <c r="X125" s="48"/>
      <c r="Y125" s="48"/>
      <c r="Z125" s="338"/>
      <c r="AA125" s="43"/>
      <c r="AB125" s="51"/>
      <c r="AC125" s="51"/>
      <c r="AD125" s="51"/>
      <c r="AE125" s="51"/>
      <c r="AF125" s="51"/>
    </row>
    <row r="126">
      <c r="A126" s="43">
        <v>2.0</v>
      </c>
      <c r="B126" s="47" t="s">
        <v>4218</v>
      </c>
      <c r="C126" s="47">
        <v>121.0</v>
      </c>
      <c r="D126" s="47">
        <v>8.0</v>
      </c>
      <c r="E126" s="47" t="s">
        <v>237</v>
      </c>
      <c r="F126" s="156" t="str">
        <f>HYPERLINK("https://www.suara.com/news/2019/05/21/123555/setara-institute-nilai-aksi-people-power-ke-jalan-cacat-prosedural ","sumber")</f>
        <v>sumber</v>
      </c>
      <c r="G126" s="156" t="str">
        <f>HYPERLINK("https://drive.google.com/open?id=1mxxPyJ4OrXdKMQQ-bRc8R4XjgVx1Jbtu","lokasi")</f>
        <v>lokasi</v>
      </c>
      <c r="H126" s="47">
        <v>514.0</v>
      </c>
      <c r="I126" s="48"/>
      <c r="J126" s="48"/>
      <c r="K126" s="165"/>
      <c r="L126" s="48"/>
      <c r="M126" s="48"/>
      <c r="N126" s="48"/>
      <c r="O126" s="48"/>
      <c r="P126" s="48"/>
      <c r="Q126" s="48"/>
      <c r="R126" s="48"/>
      <c r="S126" s="165"/>
      <c r="T126" s="48"/>
      <c r="U126" s="48"/>
      <c r="V126" s="48"/>
      <c r="W126" s="48"/>
      <c r="X126" s="48"/>
      <c r="Y126" s="48"/>
      <c r="Z126" s="338"/>
      <c r="AA126" s="43"/>
      <c r="AB126" s="51"/>
      <c r="AC126" s="51"/>
      <c r="AD126" s="51"/>
      <c r="AE126" s="51"/>
      <c r="AF126" s="51"/>
    </row>
    <row r="127">
      <c r="A127" s="231">
        <v>1.0</v>
      </c>
      <c r="B127" s="44" t="s">
        <v>4219</v>
      </c>
      <c r="C127" s="44">
        <v>122.0</v>
      </c>
      <c r="D127" s="44">
        <v>8.0</v>
      </c>
      <c r="E127" s="44" t="s">
        <v>2216</v>
      </c>
      <c r="F127" s="162" t="str">
        <f>HYPERLINK("https://www.suara.com/entertainment/2019/05/29/200000/ledek-titiek-soeharto-nikita-mirzani-kan-sama-sama-janda ","sumber")</f>
        <v>sumber</v>
      </c>
      <c r="G127" s="162" t="str">
        <f>HYPERLINK("https://drive.google.com/open?id=15IbYbLXknihSMqUVDO9qIq1Jtenj2VNN","lokasi")</f>
        <v>lokasi</v>
      </c>
      <c r="H127" s="44">
        <v>306.0</v>
      </c>
      <c r="I127" s="44">
        <v>1.0</v>
      </c>
      <c r="J127" s="44">
        <v>1.0</v>
      </c>
      <c r="K127" s="164" t="s">
        <v>4220</v>
      </c>
      <c r="L127" s="44">
        <v>0.0</v>
      </c>
      <c r="M127" s="44">
        <v>-1.0</v>
      </c>
      <c r="N127" s="166">
        <v>0.0</v>
      </c>
      <c r="O127" s="44">
        <v>0.0</v>
      </c>
      <c r="P127" s="44">
        <v>0.0</v>
      </c>
      <c r="Q127" s="44">
        <v>0.0</v>
      </c>
      <c r="R127" s="44">
        <v>-1.0</v>
      </c>
      <c r="S127" s="175"/>
      <c r="T127" s="44">
        <v>0.0</v>
      </c>
      <c r="U127" s="44">
        <v>-1.0</v>
      </c>
      <c r="V127" s="44">
        <v>0.0</v>
      </c>
      <c r="W127" s="45"/>
      <c r="X127" s="45"/>
      <c r="Y127" s="45"/>
      <c r="Z127" s="9"/>
      <c r="AA127" s="9"/>
      <c r="AB127" s="9"/>
      <c r="AC127" s="9"/>
      <c r="AD127" s="9"/>
      <c r="AE127" s="9"/>
      <c r="AF127" s="9"/>
    </row>
    <row r="128">
      <c r="A128" s="43">
        <v>2.0</v>
      </c>
      <c r="B128" s="47" t="s">
        <v>4221</v>
      </c>
      <c r="C128" s="47">
        <v>123.0</v>
      </c>
      <c r="D128" s="47">
        <v>4.0</v>
      </c>
      <c r="E128" s="47" t="s">
        <v>212</v>
      </c>
      <c r="F128" s="156" t="str">
        <f>HYPERLINK("https://www.liputan6.com/news/read/3980458/utbk-2019-selesai-pengumuman-hasil-dapat-dilihat-di-laman-ini ","sumber")</f>
        <v>sumber</v>
      </c>
      <c r="G128" s="156" t="str">
        <f>HYPERLINK("https://drive.google.com/open?id=1bo65Q19xQTgxb0Knm394l6Cd-RdY7Tvn","lokasi")</f>
        <v>lokasi</v>
      </c>
      <c r="H128" s="47">
        <v>369.0</v>
      </c>
      <c r="I128" s="48"/>
      <c r="J128" s="48"/>
      <c r="K128" s="165"/>
      <c r="L128" s="48"/>
      <c r="M128" s="48"/>
      <c r="N128" s="48"/>
      <c r="O128" s="48"/>
      <c r="P128" s="48"/>
      <c r="Q128" s="48"/>
      <c r="R128" s="48"/>
      <c r="S128" s="165"/>
      <c r="T128" s="48"/>
      <c r="U128" s="48"/>
      <c r="V128" s="48"/>
      <c r="W128" s="48"/>
      <c r="X128" s="48"/>
      <c r="Y128" s="48"/>
      <c r="Z128" s="338"/>
      <c r="AA128" s="43"/>
      <c r="AB128" s="51"/>
      <c r="AC128" s="51"/>
      <c r="AD128" s="51"/>
      <c r="AE128" s="51"/>
      <c r="AF128" s="51"/>
    </row>
    <row r="129">
      <c r="A129" s="43">
        <v>2.0</v>
      </c>
      <c r="B129" s="47" t="s">
        <v>4222</v>
      </c>
      <c r="C129" s="47">
        <v>124.0</v>
      </c>
      <c r="D129" s="47">
        <v>8.0</v>
      </c>
      <c r="E129" s="280">
        <v>43471.0</v>
      </c>
      <c r="F129" s="156" t="str">
        <f>HYPERLINK("https://www.suara.com/tekno/2019/06/01/202057/kemenhub-siapkan-aturan-recall-kendaraan ","sumber")</f>
        <v>sumber</v>
      </c>
      <c r="G129" s="156" t="str">
        <f>HYPERLINK("https://drive.google.com/open?id=1alPYWxep2E2A0AgD9RZ1UmdRm3ceDlx_","lokasi")</f>
        <v>lokasi</v>
      </c>
      <c r="H129" s="47">
        <v>372.0</v>
      </c>
      <c r="I129" s="48"/>
      <c r="J129" s="48"/>
      <c r="K129" s="165"/>
      <c r="L129" s="48"/>
      <c r="M129" s="48"/>
      <c r="N129" s="48"/>
      <c r="O129" s="48"/>
      <c r="P129" s="48"/>
      <c r="Q129" s="48"/>
      <c r="R129" s="48"/>
      <c r="S129" s="165"/>
      <c r="T129" s="48"/>
      <c r="U129" s="48"/>
      <c r="V129" s="48"/>
      <c r="W129" s="48"/>
      <c r="X129" s="48"/>
      <c r="Y129" s="48"/>
      <c r="Z129" s="338"/>
      <c r="AA129" s="43"/>
      <c r="AB129" s="51"/>
      <c r="AC129" s="51"/>
      <c r="AD129" s="51"/>
      <c r="AE129" s="51"/>
      <c r="AF129" s="51"/>
    </row>
    <row r="130">
      <c r="A130" s="231">
        <v>1.0</v>
      </c>
      <c r="B130" s="44" t="s">
        <v>3176</v>
      </c>
      <c r="C130" s="44">
        <v>125.0</v>
      </c>
      <c r="D130" s="44">
        <v>6.0</v>
      </c>
      <c r="E130" s="268">
        <v>43714.0</v>
      </c>
      <c r="F130" s="162" t="str">
        <f>HYPERLINK("https://entertainment.kompas.com/read/2019/06/09/125736510/melompat-dari-panggung-jungkook-bts-temui-penonton-berkursi-roda ","sumber")</f>
        <v>sumber</v>
      </c>
      <c r="G130" s="162" t="str">
        <f>HYPERLINK("https://drive.google.com/open?id=1ormCfn8wqZEH-d0wtDIcNucVLW-gY-_E","lokasi")</f>
        <v>lokasi</v>
      </c>
      <c r="H130" s="44">
        <v>445.0</v>
      </c>
      <c r="I130" s="44">
        <v>2.0</v>
      </c>
      <c r="J130" s="44">
        <v>2.0</v>
      </c>
      <c r="K130" s="164" t="s">
        <v>4223</v>
      </c>
      <c r="L130" s="44">
        <v>-1.0</v>
      </c>
      <c r="M130" s="44">
        <v>0.0</v>
      </c>
      <c r="N130" s="166">
        <v>0.0</v>
      </c>
      <c r="O130" s="44">
        <v>0.0</v>
      </c>
      <c r="P130" s="44">
        <v>0.0</v>
      </c>
      <c r="Q130" s="44">
        <v>0.0</v>
      </c>
      <c r="R130" s="44">
        <v>1.0</v>
      </c>
      <c r="S130" s="175"/>
      <c r="T130" s="44">
        <v>0.0</v>
      </c>
      <c r="U130" s="44">
        <v>0.0</v>
      </c>
      <c r="V130" s="44">
        <v>0.0</v>
      </c>
      <c r="W130" s="45"/>
      <c r="X130" s="45"/>
      <c r="Y130" s="45"/>
      <c r="Z130" s="9"/>
      <c r="AA130" s="9"/>
      <c r="AB130" s="9"/>
      <c r="AC130" s="9"/>
      <c r="AD130" s="9"/>
      <c r="AE130" s="9"/>
      <c r="AF130" s="9"/>
    </row>
    <row r="131">
      <c r="A131" s="43">
        <v>2.0</v>
      </c>
      <c r="B131" s="47" t="s">
        <v>4224</v>
      </c>
      <c r="C131" s="47">
        <v>126.0</v>
      </c>
      <c r="D131" s="47">
        <v>5.0</v>
      </c>
      <c r="E131" s="280">
        <v>43805.0</v>
      </c>
      <c r="F131" s="156" t="str">
        <f>HYPERLINK("https://tirto.id/jppi-ptn-seharusnya-tak-do-mahasiswa-yang-terpapar-radikalisme-ecgk ","sumber")</f>
        <v>sumber</v>
      </c>
      <c r="G131" s="156" t="str">
        <f>HYPERLINK("https://drive.google.com/open?id=1IAX4eBqtjgHDf4SM1__FOxha1OIp3pbQ","lokasi")</f>
        <v>lokasi</v>
      </c>
      <c r="H131" s="47">
        <v>389.0</v>
      </c>
      <c r="I131" s="48"/>
      <c r="J131" s="48"/>
      <c r="K131" s="165"/>
      <c r="L131" s="48"/>
      <c r="M131" s="48"/>
      <c r="N131" s="48"/>
      <c r="O131" s="48"/>
      <c r="P131" s="48"/>
      <c r="Q131" s="48"/>
      <c r="R131" s="48"/>
      <c r="S131" s="165"/>
      <c r="T131" s="48"/>
      <c r="U131" s="48"/>
      <c r="V131" s="48"/>
      <c r="W131" s="48"/>
      <c r="X131" s="48"/>
      <c r="Y131" s="48"/>
      <c r="Z131" s="338"/>
      <c r="AA131" s="43"/>
      <c r="AB131" s="51"/>
      <c r="AC131" s="51"/>
      <c r="AD131" s="51"/>
      <c r="AE131" s="51"/>
      <c r="AF131" s="51"/>
    </row>
    <row r="132">
      <c r="A132" s="231">
        <v>1.0</v>
      </c>
      <c r="B132" s="44" t="s">
        <v>4225</v>
      </c>
      <c r="C132" s="44">
        <v>127.0</v>
      </c>
      <c r="D132" s="44">
        <v>10.0</v>
      </c>
      <c r="E132" s="44" t="s">
        <v>259</v>
      </c>
      <c r="F132" s="162" t="str">
        <f t="shared" ref="F132:F133" si="2">HYPERLINK("https://nasional.republika.co.id/berita/nasional/daerah/pt6w7g409/akui-sensen-sebagai-rasul-warga-garut-diamankan ","sumber")</f>
        <v>sumber</v>
      </c>
      <c r="G132" s="162" t="str">
        <f>HYPERLINK("https://drive.google.com/open?id=1SZO9vormTddLg2nljVHcGWv8oCiUufkg","lokasi")</f>
        <v>lokasi</v>
      </c>
      <c r="H132" s="44">
        <v>234.0</v>
      </c>
      <c r="I132" s="44">
        <v>2.0</v>
      </c>
      <c r="J132" s="44">
        <v>2.0</v>
      </c>
      <c r="K132" s="164" t="s">
        <v>4226</v>
      </c>
      <c r="L132" s="44">
        <v>-1.0</v>
      </c>
      <c r="M132" s="44">
        <v>0.0</v>
      </c>
      <c r="N132" s="44">
        <v>-1.0</v>
      </c>
      <c r="O132" s="44">
        <v>0.0</v>
      </c>
      <c r="P132" s="44">
        <v>-1.0</v>
      </c>
      <c r="Q132" s="44">
        <v>0.0</v>
      </c>
      <c r="R132" s="44">
        <v>1.0</v>
      </c>
      <c r="S132" s="175"/>
      <c r="T132" s="44">
        <v>0.0</v>
      </c>
      <c r="U132" s="44">
        <v>0.0</v>
      </c>
      <c r="V132" s="44">
        <v>0.0</v>
      </c>
      <c r="W132" s="45"/>
      <c r="X132" s="45"/>
      <c r="Y132" s="45"/>
      <c r="Z132" s="9"/>
      <c r="AA132" s="9"/>
      <c r="AB132" s="9"/>
      <c r="AC132" s="9"/>
      <c r="AD132" s="9"/>
      <c r="AE132" s="9"/>
      <c r="AF132" s="9"/>
    </row>
    <row r="133">
      <c r="A133" s="252">
        <v>1.0</v>
      </c>
      <c r="B133" s="173" t="s">
        <v>3186</v>
      </c>
      <c r="C133" s="55">
        <v>128.0</v>
      </c>
      <c r="D133" s="55">
        <v>9.0</v>
      </c>
      <c r="E133" s="55" t="s">
        <v>2405</v>
      </c>
      <c r="F133" s="171" t="str">
        <f t="shared" si="2"/>
        <v>sumber</v>
      </c>
      <c r="G133" s="171" t="str">
        <f>HYPERLINK("https://drive.google.com/open?id=1bmjuhjWTJOR-BGVO6v7zSSMaw-booru1","lokasi")</f>
        <v>lokasi</v>
      </c>
      <c r="H133" s="55">
        <v>371.0</v>
      </c>
      <c r="I133" s="55">
        <v>1.0</v>
      </c>
      <c r="J133" s="55">
        <v>2.0</v>
      </c>
      <c r="K133" s="172" t="s">
        <v>4227</v>
      </c>
      <c r="L133" s="55">
        <v>0.0</v>
      </c>
      <c r="M133" s="55">
        <v>-1.0</v>
      </c>
      <c r="N133" s="55">
        <v>0.0</v>
      </c>
      <c r="O133" s="55">
        <v>0.0</v>
      </c>
      <c r="P133" s="55">
        <v>0.0</v>
      </c>
      <c r="Q133" s="55">
        <v>0.0</v>
      </c>
      <c r="R133" s="55">
        <v>1.0</v>
      </c>
      <c r="S133" s="174"/>
      <c r="T133" s="55">
        <v>0.0</v>
      </c>
      <c r="U133" s="55">
        <v>0.0</v>
      </c>
      <c r="V133" s="55">
        <v>0.0</v>
      </c>
      <c r="W133" s="46"/>
      <c r="X133" s="46"/>
      <c r="Y133" s="46"/>
      <c r="Z133" s="302"/>
      <c r="AA133" s="30"/>
      <c r="AB133" s="31"/>
      <c r="AC133" s="31"/>
      <c r="AD133" s="31"/>
      <c r="AE133" s="31"/>
      <c r="AF133" s="31"/>
    </row>
    <row r="134">
      <c r="A134" s="252">
        <v>1.0</v>
      </c>
      <c r="B134" s="173" t="s">
        <v>4228</v>
      </c>
      <c r="C134" s="55">
        <v>129.0</v>
      </c>
      <c r="D134" s="55">
        <v>7.0</v>
      </c>
      <c r="E134" s="55" t="s">
        <v>2070</v>
      </c>
      <c r="F134" s="171" t="str">
        <f>HYPERLINK("http://www.tribunnews.com/regional/2019/06/24/kabar-terbaru-kecelakaan-tol-cipali-pria-yang-sebabkan-tabrakan-positif-gangguan-jiwa ","sumber")</f>
        <v>sumber</v>
      </c>
      <c r="G134" s="171" t="str">
        <f>HYPERLINK("https://drive.google.com/open?id=1OWsDbYvPve-JKBBxWG_6Vl3OmRLMKJVw","lokasi")</f>
        <v>lokasi</v>
      </c>
      <c r="H134" s="55">
        <v>235.0</v>
      </c>
      <c r="I134" s="55">
        <v>1.0</v>
      </c>
      <c r="J134" s="55">
        <v>2.0</v>
      </c>
      <c r="K134" s="172" t="s">
        <v>4229</v>
      </c>
      <c r="L134" s="55">
        <v>0.0</v>
      </c>
      <c r="M134" s="55">
        <v>-1.0</v>
      </c>
      <c r="N134" s="55">
        <v>-1.0</v>
      </c>
      <c r="O134" s="55">
        <v>0.0</v>
      </c>
      <c r="P134" s="55">
        <v>0.0</v>
      </c>
      <c r="Q134" s="55">
        <v>0.0</v>
      </c>
      <c r="R134" s="55">
        <v>-1.0</v>
      </c>
      <c r="S134" s="174"/>
      <c r="T134" s="55">
        <v>0.0</v>
      </c>
      <c r="U134" s="55">
        <v>0.0</v>
      </c>
      <c r="V134" s="55">
        <v>0.0</v>
      </c>
      <c r="W134" s="46"/>
      <c r="X134" s="46"/>
      <c r="Y134" s="46"/>
      <c r="Z134" s="302"/>
      <c r="AA134" s="30"/>
      <c r="AB134" s="31"/>
      <c r="AC134" s="31"/>
      <c r="AD134" s="31"/>
      <c r="AE134" s="31"/>
      <c r="AF134" s="31"/>
    </row>
    <row r="135">
      <c r="A135" s="43">
        <v>2.0</v>
      </c>
      <c r="B135" s="47" t="s">
        <v>2233</v>
      </c>
      <c r="C135" s="47">
        <v>130.0</v>
      </c>
      <c r="D135" s="47">
        <v>7.0</v>
      </c>
      <c r="E135" s="47" t="s">
        <v>414</v>
      </c>
      <c r="F135" s="156" t="str">
        <f>HYPERLINK("http://www.tribunnews.com/seleb/2019/06/18/cium-putrinya-di-tempat-umum-david-beckham-kembali-tuai-kontroversi ","sumber")</f>
        <v>sumber</v>
      </c>
      <c r="G135" s="156" t="str">
        <f>HYPERLINK("https://drive.google.com/open?id=1aGMQ8KLF1Pt0TaSQHtmhTwye4QvT1wgM","lokasi")</f>
        <v>lokasi</v>
      </c>
      <c r="H135" s="47">
        <v>112.0</v>
      </c>
      <c r="I135" s="48"/>
      <c r="J135" s="48"/>
      <c r="K135" s="165"/>
      <c r="L135" s="48"/>
      <c r="M135" s="48"/>
      <c r="N135" s="48"/>
      <c r="O135" s="48"/>
      <c r="P135" s="48"/>
      <c r="Q135" s="48"/>
      <c r="R135" s="48"/>
      <c r="S135" s="165"/>
      <c r="T135" s="48"/>
      <c r="U135" s="48"/>
      <c r="V135" s="48"/>
      <c r="W135" s="48"/>
      <c r="X135" s="48"/>
      <c r="Y135" s="48"/>
      <c r="Z135" s="338"/>
      <c r="AA135" s="43"/>
      <c r="AB135" s="51"/>
      <c r="AC135" s="51"/>
      <c r="AD135" s="51"/>
      <c r="AE135" s="51"/>
      <c r="AF135" s="51"/>
    </row>
    <row r="136">
      <c r="A136" s="231">
        <v>1.0</v>
      </c>
      <c r="B136" s="44" t="s">
        <v>4230</v>
      </c>
      <c r="C136" s="44">
        <v>131.0</v>
      </c>
      <c r="D136" s="44">
        <v>7.0</v>
      </c>
      <c r="E136" s="44" t="s">
        <v>607</v>
      </c>
      <c r="F136" s="162" t="str">
        <f>HYPERLINK("http://www.tribunnews.com/regional/2019/06/19/demi-nafkahi-keluarganya-pak-setu-rela-merangkak-dengan-tangan-sambil-berjualan-balon-sejauh-45-km ","sumber")</f>
        <v>sumber</v>
      </c>
      <c r="G136" s="162" t="str">
        <f>HYPERLINK("https://drive.google.com/open?id=192WJiLIqgDF2ql8B_V92tbBg2ll04teT","lokasi")</f>
        <v>lokasi</v>
      </c>
      <c r="H136" s="44">
        <v>157.0</v>
      </c>
      <c r="I136" s="44">
        <v>2.0</v>
      </c>
      <c r="J136" s="44">
        <v>2.0</v>
      </c>
      <c r="K136" s="164"/>
      <c r="L136" s="44">
        <v>-1.0</v>
      </c>
      <c r="M136" s="44">
        <v>0.0</v>
      </c>
      <c r="N136" s="44">
        <v>-1.0</v>
      </c>
      <c r="O136" s="44">
        <v>0.0</v>
      </c>
      <c r="P136" s="44">
        <v>-1.0</v>
      </c>
      <c r="Q136" s="44"/>
      <c r="R136" s="44"/>
      <c r="S136" s="175"/>
      <c r="T136" s="44">
        <v>0.0</v>
      </c>
      <c r="U136" s="44">
        <v>0.0</v>
      </c>
      <c r="V136" s="44">
        <v>0.0</v>
      </c>
      <c r="W136" s="45"/>
      <c r="X136" s="45"/>
      <c r="Y136" s="45"/>
      <c r="Z136" s="9"/>
      <c r="AA136" s="9"/>
      <c r="AB136" s="9"/>
      <c r="AC136" s="9"/>
      <c r="AD136" s="9"/>
      <c r="AE136" s="9"/>
      <c r="AF136" s="9"/>
    </row>
    <row r="137">
      <c r="A137" s="43">
        <v>2.0</v>
      </c>
      <c r="B137" s="47" t="s">
        <v>609</v>
      </c>
      <c r="C137" s="47">
        <v>132.0</v>
      </c>
      <c r="D137" s="47">
        <v>9.0</v>
      </c>
      <c r="E137" s="47" t="s">
        <v>252</v>
      </c>
      <c r="F137" s="156" t="str">
        <f>HYPERLINK("https://senggang.republika.co.id/berita/senggang/film/ptf73x459/ltemgttoy-story-4ltemgt-perjalanan-woody-dan-teman-baru ","sumber")</f>
        <v>sumber</v>
      </c>
      <c r="G137" s="156" t="str">
        <f>HYPERLINK("https://drive.google.com/open?id=1sNxTSVH0suoMSItuSiphMOqTvI13CP0U","lokasi")</f>
        <v>lokasi</v>
      </c>
      <c r="H137" s="47">
        <v>260.0</v>
      </c>
      <c r="I137" s="48"/>
      <c r="J137" s="48"/>
      <c r="K137" s="165"/>
      <c r="L137" s="48"/>
      <c r="M137" s="48"/>
      <c r="N137" s="48"/>
      <c r="O137" s="48"/>
      <c r="P137" s="48"/>
      <c r="Q137" s="48"/>
      <c r="R137" s="48"/>
      <c r="S137" s="165"/>
      <c r="T137" s="48"/>
      <c r="U137" s="48"/>
      <c r="V137" s="48"/>
      <c r="W137" s="48"/>
      <c r="X137" s="48"/>
      <c r="Y137" s="48"/>
      <c r="Z137" s="338"/>
      <c r="AA137" s="43"/>
      <c r="AB137" s="51"/>
      <c r="AC137" s="51"/>
      <c r="AD137" s="51"/>
      <c r="AE137" s="51"/>
      <c r="AF137" s="51"/>
    </row>
    <row r="138">
      <c r="A138" s="43">
        <v>2.0</v>
      </c>
      <c r="B138" s="47" t="s">
        <v>4231</v>
      </c>
      <c r="C138" s="47">
        <v>133.0</v>
      </c>
      <c r="D138" s="47">
        <v>6.0</v>
      </c>
      <c r="E138" s="47" t="s">
        <v>2070</v>
      </c>
      <c r="F138" s="156" t="str">
        <f>HYPERLINK("https://entertainment.kompas.com/read/2019/06/24/185516710/pandji-pragiwaksono-tak-khawatir-bawakan-materi-stand-up-tentang ","sumber")</f>
        <v>sumber</v>
      </c>
      <c r="G138" s="156" t="str">
        <f>HYPERLINK("https://drive.google.com/open?id=1d42CHtwNyDQjZN1vj5ph36PVAN60vFNO","lokasi")</f>
        <v>lokasi</v>
      </c>
      <c r="H138" s="47">
        <v>242.0</v>
      </c>
      <c r="I138" s="48"/>
      <c r="J138" s="48"/>
      <c r="K138" s="165"/>
      <c r="L138" s="48"/>
      <c r="M138" s="48"/>
      <c r="N138" s="48"/>
      <c r="O138" s="48"/>
      <c r="P138" s="48"/>
      <c r="Q138" s="48"/>
      <c r="R138" s="48"/>
      <c r="S138" s="165"/>
      <c r="T138" s="48"/>
      <c r="U138" s="48"/>
      <c r="V138" s="48"/>
      <c r="W138" s="48"/>
      <c r="X138" s="48"/>
      <c r="Y138" s="48"/>
      <c r="Z138" s="338"/>
      <c r="AA138" s="43"/>
      <c r="AB138" s="51"/>
      <c r="AC138" s="51"/>
      <c r="AD138" s="51"/>
      <c r="AE138" s="51"/>
      <c r="AF138" s="51"/>
    </row>
    <row r="139">
      <c r="A139" s="252">
        <v>1.0</v>
      </c>
      <c r="B139" s="173" t="s">
        <v>4232</v>
      </c>
      <c r="C139" s="55">
        <v>134.0</v>
      </c>
      <c r="D139" s="55">
        <v>3.0</v>
      </c>
      <c r="E139" s="344">
        <v>43744.0</v>
      </c>
      <c r="F139" s="171" t="str">
        <f>HYPERLINK("https://news.okezone.com/read/2019/06/10/338/2065040/pedagang-sayuran-tewas-ditusuk-orang-gila ","sumber")</f>
        <v>sumber</v>
      </c>
      <c r="G139" s="171" t="str">
        <f>HYPERLINK("https://drive.google.com/open?id=1n-wzTrGZJV3e71ynz_i8EYqbgcOc4mE-","lokasi")</f>
        <v>lokasi</v>
      </c>
      <c r="H139" s="55">
        <v>432.0</v>
      </c>
      <c r="I139" s="55">
        <v>1.0</v>
      </c>
      <c r="J139" s="55">
        <v>2.0</v>
      </c>
      <c r="K139" s="172" t="s">
        <v>4233</v>
      </c>
      <c r="L139" s="55">
        <v>0.0</v>
      </c>
      <c r="M139" s="55">
        <v>-1.0</v>
      </c>
      <c r="N139" s="55">
        <v>-1.0</v>
      </c>
      <c r="O139" s="55">
        <v>0.0</v>
      </c>
      <c r="P139" s="55">
        <v>-1.0</v>
      </c>
      <c r="Q139" s="55" t="s">
        <v>61</v>
      </c>
      <c r="R139" s="55" t="s">
        <v>61</v>
      </c>
      <c r="S139" s="174"/>
      <c r="T139" s="55">
        <v>0.0</v>
      </c>
      <c r="U139" s="55">
        <v>0.0</v>
      </c>
      <c r="V139" s="55">
        <v>0.0</v>
      </c>
      <c r="W139" s="46"/>
      <c r="X139" s="46"/>
      <c r="Y139" s="46"/>
      <c r="Z139" s="302"/>
      <c r="AA139" s="30"/>
      <c r="AB139" s="31"/>
      <c r="AC139" s="31"/>
      <c r="AD139" s="31"/>
      <c r="AE139" s="31"/>
      <c r="AF139" s="31"/>
    </row>
    <row r="140">
      <c r="A140" s="252">
        <v>1.0</v>
      </c>
      <c r="B140" s="55" t="s">
        <v>4234</v>
      </c>
      <c r="C140" s="55">
        <v>135.0</v>
      </c>
      <c r="D140" s="55">
        <v>4.0</v>
      </c>
      <c r="E140" s="344">
        <v>43561.0</v>
      </c>
      <c r="F140" s="171" t="str">
        <f>HYPERLINK("https://www.liputan6.com/health/read/3983076/mudik-naik-kapal-motor-penyandang-disabilitas-ini-kesulitan-ke-toilet ","sumber")</f>
        <v>sumber</v>
      </c>
      <c r="G140" s="171" t="str">
        <f>HYPERLINK("https://drive.google.com/open?id=14XBotNmgaqG2PWyY3Ou1SDvC5vTFshfa","lokasi")</f>
        <v>lokasi</v>
      </c>
      <c r="H140" s="55">
        <v>305.0</v>
      </c>
      <c r="I140" s="55">
        <v>2.0</v>
      </c>
      <c r="J140" s="55">
        <v>2.0</v>
      </c>
      <c r="K140" s="172" t="s">
        <v>4235</v>
      </c>
      <c r="L140" s="55">
        <v>0.0</v>
      </c>
      <c r="M140" s="55">
        <v>0.0</v>
      </c>
      <c r="N140" s="173">
        <v>0.0</v>
      </c>
      <c r="O140" s="55">
        <v>0.0</v>
      </c>
      <c r="P140" s="55">
        <v>0.0</v>
      </c>
      <c r="Q140" s="55">
        <v>2.0</v>
      </c>
      <c r="R140" s="55">
        <v>1.0</v>
      </c>
      <c r="S140" s="174"/>
      <c r="T140" s="55">
        <v>0.0</v>
      </c>
      <c r="U140" s="55">
        <v>0.0</v>
      </c>
      <c r="V140" s="55">
        <v>0.0</v>
      </c>
      <c r="W140" s="46"/>
      <c r="X140" s="46"/>
      <c r="Y140" s="46"/>
      <c r="Z140" s="302"/>
      <c r="AA140" s="30"/>
      <c r="AB140" s="31"/>
      <c r="AC140" s="31"/>
      <c r="AD140" s="31"/>
      <c r="AE140" s="31"/>
      <c r="AF140" s="31"/>
    </row>
    <row r="141">
      <c r="A141" s="252">
        <v>1.0</v>
      </c>
      <c r="B141" s="173" t="s">
        <v>4236</v>
      </c>
      <c r="C141" s="55">
        <v>136.0</v>
      </c>
      <c r="D141" s="55">
        <v>8.0</v>
      </c>
      <c r="E141" s="55" t="s">
        <v>831</v>
      </c>
      <c r="F141" s="171" t="str">
        <f>HYPERLINK("https://www.suara.com/health/2019/06/20/094837/zonasi-sekolah-disambut-baik-difabel-ini-syarat-siswa-berkebutuhan-khusus ","sumber")</f>
        <v>sumber</v>
      </c>
      <c r="G141" s="171" t="str">
        <f>HYPERLINK("https://drive.google.com/open?id=15UhOyFyM0NkS0_Klx00mF-8ubGj1qHME","lokasi")</f>
        <v>lokasi</v>
      </c>
      <c r="H141" s="55">
        <v>255.0</v>
      </c>
      <c r="I141" s="55">
        <v>4.0</v>
      </c>
      <c r="J141" s="55">
        <v>2.0</v>
      </c>
      <c r="K141" s="172" t="s">
        <v>4237</v>
      </c>
      <c r="L141" s="55">
        <v>0.0</v>
      </c>
      <c r="M141" s="55">
        <v>0.0</v>
      </c>
      <c r="N141" s="173">
        <v>0.0</v>
      </c>
      <c r="O141" s="55">
        <v>0.0</v>
      </c>
      <c r="P141" s="55">
        <v>-1.0</v>
      </c>
      <c r="Q141" s="55" t="s">
        <v>242</v>
      </c>
      <c r="R141" s="55" t="s">
        <v>392</v>
      </c>
      <c r="S141" s="174"/>
      <c r="T141" s="55">
        <v>0.0</v>
      </c>
      <c r="U141" s="55">
        <v>0.0</v>
      </c>
      <c r="V141" s="55">
        <v>1.0</v>
      </c>
      <c r="W141" s="46"/>
      <c r="X141" s="46"/>
      <c r="Y141" s="46"/>
      <c r="Z141" s="302"/>
      <c r="AA141" s="30"/>
      <c r="AB141" s="31"/>
      <c r="AC141" s="31"/>
      <c r="AD141" s="31"/>
      <c r="AE141" s="31"/>
      <c r="AF141" s="31"/>
    </row>
    <row r="142">
      <c r="A142" s="43">
        <v>2.0</v>
      </c>
      <c r="B142" s="47" t="s">
        <v>620</v>
      </c>
      <c r="C142" s="47">
        <v>137.0</v>
      </c>
      <c r="D142" s="47">
        <v>10.0</v>
      </c>
      <c r="E142" s="47" t="s">
        <v>621</v>
      </c>
      <c r="F142" s="156" t="str">
        <f>HYPERLINK("https://dunia.tempo.co/read/1219790/festival-yulin-di-cina-saat-jutaan-anjing-dikonsumsi ","sumber")</f>
        <v>sumber</v>
      </c>
      <c r="G142" s="156" t="str">
        <f>HYPERLINK("https://drive.google.com/open?id=1QzrFIGBTcAMD0YsY_cfJN8v1n6El_CIO","lokasi")</f>
        <v>lokasi</v>
      </c>
      <c r="H142" s="47">
        <v>378.0</v>
      </c>
      <c r="I142" s="48"/>
      <c r="J142" s="48"/>
      <c r="K142" s="165"/>
      <c r="L142" s="48"/>
      <c r="M142" s="48"/>
      <c r="N142" s="48"/>
      <c r="O142" s="48"/>
      <c r="P142" s="48"/>
      <c r="Q142" s="48"/>
      <c r="R142" s="48"/>
      <c r="S142" s="165"/>
      <c r="T142" s="48"/>
      <c r="U142" s="48"/>
      <c r="V142" s="48"/>
      <c r="W142" s="48"/>
      <c r="X142" s="48"/>
      <c r="Y142" s="48"/>
      <c r="Z142" s="338"/>
      <c r="AA142" s="43"/>
      <c r="AB142" s="51"/>
      <c r="AC142" s="51"/>
      <c r="AD142" s="51"/>
      <c r="AE142" s="51"/>
      <c r="AF142" s="51"/>
    </row>
    <row r="143">
      <c r="A143" s="252">
        <v>1.0</v>
      </c>
      <c r="B143" s="173" t="s">
        <v>4238</v>
      </c>
      <c r="C143" s="55">
        <v>138.0</v>
      </c>
      <c r="D143" s="55">
        <v>3.0</v>
      </c>
      <c r="E143" s="55" t="s">
        <v>642</v>
      </c>
      <c r="F143" s="171" t="str">
        <f>HYPERLINK("https://news.okezone.com/read/2019/07/22/340/2082045/lbh-padang-bawa-kasus-dokter-gigi-ditolak-jadi-pns-karena-disabilitas-ke-ptun ","sumber")</f>
        <v>sumber</v>
      </c>
      <c r="G143" s="171" t="str">
        <f>HYPERLINK("https://drive.google.com/open?id=1acf-V8lOsLztLAfcMMltTT9LxBsFxVZV","lokasi")</f>
        <v>lokasi</v>
      </c>
      <c r="H143" s="55">
        <v>549.0</v>
      </c>
      <c r="I143" s="55">
        <v>1.0</v>
      </c>
      <c r="J143" s="55">
        <v>2.0</v>
      </c>
      <c r="K143" s="172" t="s">
        <v>4239</v>
      </c>
      <c r="L143" s="55">
        <v>0.0</v>
      </c>
      <c r="M143" s="55">
        <v>-1.0</v>
      </c>
      <c r="N143" s="173">
        <v>0.0</v>
      </c>
      <c r="O143" s="55">
        <v>0.0</v>
      </c>
      <c r="P143" s="55">
        <v>0.0</v>
      </c>
      <c r="Q143" s="55">
        <v>0.0</v>
      </c>
      <c r="R143" s="55">
        <v>1.0</v>
      </c>
      <c r="S143" s="174"/>
      <c r="T143" s="55">
        <v>0.0</v>
      </c>
      <c r="U143" s="55">
        <v>0.0</v>
      </c>
      <c r="V143" s="55">
        <v>0.0</v>
      </c>
      <c r="W143" s="46"/>
      <c r="X143" s="46"/>
      <c r="Y143" s="46"/>
      <c r="Z143" s="302"/>
      <c r="AA143" s="30"/>
      <c r="AB143" s="31"/>
      <c r="AC143" s="31"/>
      <c r="AD143" s="31"/>
      <c r="AE143" s="31"/>
      <c r="AF143" s="31"/>
    </row>
    <row r="144">
      <c r="A144" s="252">
        <v>1.0</v>
      </c>
      <c r="B144" s="173" t="s">
        <v>1351</v>
      </c>
      <c r="C144" s="55">
        <v>139.0</v>
      </c>
      <c r="D144" s="55">
        <v>8.0</v>
      </c>
      <c r="E144" s="344">
        <v>43472.0</v>
      </c>
      <c r="F144" s="171" t="str">
        <f>HYPERLINK("https://www.suara.com/health/2019/07/01/180000/pentingnya-ikut-kelas-zumba-bagi-anak-dengan-gangguan-spektrum-autisme ","sumber")</f>
        <v>sumber</v>
      </c>
      <c r="G144" s="171" t="str">
        <f>HYPERLINK("https://drive.google.com/open?id=1GSqFo6YqsIcMdUS048WKOP2eMJ5WdQsa","lokasi")</f>
        <v>lokasi</v>
      </c>
      <c r="H144" s="55">
        <v>427.0</v>
      </c>
      <c r="I144" s="55">
        <v>2.0</v>
      </c>
      <c r="J144" s="55">
        <v>2.0</v>
      </c>
      <c r="K144" s="172" t="s">
        <v>4240</v>
      </c>
      <c r="L144" s="55">
        <v>0.0</v>
      </c>
      <c r="M144" s="55">
        <v>0.0</v>
      </c>
      <c r="N144" s="173">
        <v>0.0</v>
      </c>
      <c r="O144" s="55">
        <v>0.0</v>
      </c>
      <c r="P144" s="55">
        <v>0.0</v>
      </c>
      <c r="Q144" s="55" t="s">
        <v>61</v>
      </c>
      <c r="R144" s="55" t="s">
        <v>192</v>
      </c>
      <c r="S144" s="174"/>
      <c r="T144" s="55">
        <v>0.0</v>
      </c>
      <c r="U144" s="55">
        <v>0.0</v>
      </c>
      <c r="V144" s="55">
        <v>0.0</v>
      </c>
      <c r="W144" s="46"/>
      <c r="X144" s="46"/>
      <c r="Y144" s="46"/>
      <c r="Z144" s="302"/>
      <c r="AA144" s="30"/>
      <c r="AB144" s="31"/>
      <c r="AC144" s="31"/>
      <c r="AD144" s="31"/>
      <c r="AE144" s="31"/>
      <c r="AF144" s="31"/>
    </row>
    <row r="145">
      <c r="A145" s="252">
        <v>1.0</v>
      </c>
      <c r="B145" s="173" t="s">
        <v>4241</v>
      </c>
      <c r="C145" s="55">
        <v>140.0</v>
      </c>
      <c r="D145" s="55">
        <v>6.0</v>
      </c>
      <c r="E145" s="344">
        <v>43806.0</v>
      </c>
      <c r="F145" s="171" t="str">
        <f>HYPERLINK("https://regional.kompas.com/read/2019/07/12/07000081/berbagi-nasi-bungkus-untuk-orang-gangguan-jiwa-tiap-jumat-tak-mundur-walau ","sumber")</f>
        <v>sumber</v>
      </c>
      <c r="G145" s="171" t="str">
        <f>HYPERLINK("https://drive.google.com/open?id=1Esn6d6XbxG0rWh-o_7Y_nBrfS0BDRxB1","lokasi")</f>
        <v>lokasi</v>
      </c>
      <c r="H145" s="55">
        <v>324.0</v>
      </c>
      <c r="I145" s="55">
        <v>3.0</v>
      </c>
      <c r="J145" s="55">
        <v>2.0</v>
      </c>
      <c r="K145" s="172" t="s">
        <v>4242</v>
      </c>
      <c r="L145" s="55">
        <v>0.0</v>
      </c>
      <c r="M145" s="55">
        <v>0.0</v>
      </c>
      <c r="N145" s="173">
        <v>0.0</v>
      </c>
      <c r="O145" s="55">
        <v>0.0</v>
      </c>
      <c r="P145" s="55">
        <v>0.0</v>
      </c>
      <c r="Q145" s="55" t="s">
        <v>61</v>
      </c>
      <c r="R145" s="55" t="s">
        <v>192</v>
      </c>
      <c r="S145" s="174"/>
      <c r="T145" s="55">
        <v>0.0</v>
      </c>
      <c r="U145" s="55">
        <v>0.0</v>
      </c>
      <c r="V145" s="55">
        <v>0.0</v>
      </c>
      <c r="W145" s="46"/>
      <c r="X145" s="46"/>
      <c r="Y145" s="46"/>
      <c r="Z145" s="302"/>
      <c r="AA145" s="30"/>
      <c r="AB145" s="31"/>
      <c r="AC145" s="31"/>
      <c r="AD145" s="31"/>
      <c r="AE145" s="31"/>
      <c r="AF145" s="31"/>
    </row>
    <row r="146">
      <c r="A146" s="43">
        <v>2.0</v>
      </c>
      <c r="B146" s="47" t="s">
        <v>1357</v>
      </c>
      <c r="C146" s="47">
        <v>141.0</v>
      </c>
      <c r="D146" s="47">
        <v>10.0</v>
      </c>
      <c r="E146" s="280">
        <v>43653.0</v>
      </c>
      <c r="F146" s="156" t="str">
        <f>HYPERLINK("https://sport.tempo.co/read/1221891/dikabarkan-bakal-jadi-menteri-begini-jawaban-ketua-kpsn ","sumber")</f>
        <v>sumber</v>
      </c>
      <c r="G146" s="156" t="str">
        <f>HYPERLINK("https://drive.google.com/open?id=10xOpFfYlCjf80CFDVsSS0irwGuEHwVX7","lokasi")</f>
        <v>lokasi</v>
      </c>
      <c r="H146" s="47">
        <v>151.0</v>
      </c>
      <c r="I146" s="48"/>
      <c r="J146" s="48"/>
      <c r="K146" s="165"/>
      <c r="L146" s="48"/>
      <c r="M146" s="48"/>
      <c r="N146" s="48"/>
      <c r="O146" s="48"/>
      <c r="P146" s="48"/>
      <c r="Q146" s="48"/>
      <c r="R146" s="48"/>
      <c r="S146" s="165"/>
      <c r="T146" s="48"/>
      <c r="U146" s="48"/>
      <c r="V146" s="48"/>
      <c r="W146" s="48"/>
      <c r="X146" s="48"/>
      <c r="Y146" s="48"/>
      <c r="Z146" s="338"/>
      <c r="AA146" s="43"/>
      <c r="AB146" s="51"/>
      <c r="AC146" s="51"/>
      <c r="AD146" s="51"/>
      <c r="AE146" s="51"/>
      <c r="AF146" s="51"/>
    </row>
    <row r="147">
      <c r="A147" s="252">
        <v>1.0</v>
      </c>
      <c r="B147" s="173" t="s">
        <v>4243</v>
      </c>
      <c r="C147" s="55">
        <v>142.0</v>
      </c>
      <c r="D147" s="55">
        <v>5.0</v>
      </c>
      <c r="E147" s="55" t="s">
        <v>2622</v>
      </c>
      <c r="F147" s="171" t="str">
        <f>HYPERLINK("https://tirto.id/hapus-kekerasan-anak-disabilitas-kemenpppa-anjurkan-pencegahan-efgZ ","sumber")</f>
        <v>sumber</v>
      </c>
      <c r="G147" s="171" t="str">
        <f>HYPERLINK("https://drive.google.com/open?id=1sw3A1MOSvlbslPPnE9Wg4OJbkRsco4By","lokasi")</f>
        <v>lokasi</v>
      </c>
      <c r="H147" s="55">
        <v>260.0</v>
      </c>
      <c r="I147" s="347">
        <v>4.0</v>
      </c>
      <c r="J147" s="55">
        <v>2.0</v>
      </c>
      <c r="K147" s="55" t="s">
        <v>4244</v>
      </c>
      <c r="L147" s="55">
        <v>0.0</v>
      </c>
      <c r="M147" s="55">
        <v>0.0</v>
      </c>
      <c r="N147" s="173">
        <v>0.0</v>
      </c>
      <c r="O147" s="55">
        <v>0.0</v>
      </c>
      <c r="P147" s="55">
        <v>0.0</v>
      </c>
      <c r="Q147" s="55">
        <v>0.0</v>
      </c>
      <c r="R147" s="55">
        <v>1.0</v>
      </c>
      <c r="S147" s="174"/>
      <c r="T147" s="55">
        <v>0.0</v>
      </c>
      <c r="U147" s="55">
        <v>0.0</v>
      </c>
      <c r="V147" s="55">
        <v>1.0</v>
      </c>
      <c r="W147" s="46"/>
      <c r="X147" s="46"/>
      <c r="Y147" s="46"/>
      <c r="Z147" s="302"/>
      <c r="AA147" s="30"/>
      <c r="AB147" s="31"/>
      <c r="AC147" s="31"/>
      <c r="AD147" s="31"/>
      <c r="AE147" s="31"/>
      <c r="AF147" s="31"/>
    </row>
    <row r="148">
      <c r="A148" s="252">
        <v>1.0</v>
      </c>
      <c r="B148" s="173" t="s">
        <v>4245</v>
      </c>
      <c r="C148" s="55">
        <v>143.0</v>
      </c>
      <c r="D148" s="55">
        <v>1.0</v>
      </c>
      <c r="E148" s="55" t="s">
        <v>293</v>
      </c>
      <c r="F148" s="171" t="str">
        <f>HYPERLINK("https://news.detik.com/abc-australia/d-4629246/pastor-india-yang-sebut-dosa-orangtua-sebabkan-autisme-batal-ke-australia ","sumber")</f>
        <v>sumber</v>
      </c>
      <c r="G148" s="171" t="str">
        <f>HYPERLINK("https://drive.google.com/open?id=1kNQakdUwkpbFlQY3D6xk8oo9d0r3leI0","lokasi")</f>
        <v>lokasi</v>
      </c>
      <c r="H148" s="55">
        <v>596.0</v>
      </c>
      <c r="I148" s="55">
        <v>1.0</v>
      </c>
      <c r="J148" s="55">
        <v>2.0</v>
      </c>
      <c r="K148" s="172" t="s">
        <v>4246</v>
      </c>
      <c r="L148" s="55">
        <v>0.0</v>
      </c>
      <c r="M148" s="55">
        <v>-1.0</v>
      </c>
      <c r="N148" s="173">
        <v>0.0</v>
      </c>
      <c r="O148" s="55">
        <v>0.0</v>
      </c>
      <c r="P148" s="55">
        <v>0.0</v>
      </c>
      <c r="Q148" s="55" t="s">
        <v>202</v>
      </c>
      <c r="R148" s="55" t="s">
        <v>4247</v>
      </c>
      <c r="S148" s="174"/>
      <c r="T148" s="55">
        <v>0.0</v>
      </c>
      <c r="U148" s="55">
        <v>0.0</v>
      </c>
      <c r="V148" s="55">
        <v>1.0</v>
      </c>
      <c r="W148" s="46"/>
      <c r="X148" s="46"/>
      <c r="Y148" s="46"/>
      <c r="Z148" s="302"/>
      <c r="AA148" s="30"/>
      <c r="AB148" s="31"/>
      <c r="AC148" s="31"/>
      <c r="AD148" s="31"/>
      <c r="AE148" s="31"/>
      <c r="AF148" s="31"/>
    </row>
    <row r="149">
      <c r="A149" s="231">
        <v>1.0</v>
      </c>
      <c r="B149" s="44" t="s">
        <v>4248</v>
      </c>
      <c r="C149" s="44">
        <v>144.0</v>
      </c>
      <c r="D149" s="44">
        <v>8.0</v>
      </c>
      <c r="E149" s="268">
        <v>43776.0</v>
      </c>
      <c r="F149" s="162" t="str">
        <f>HYPERLINK("https://www.suara.com/news/2019/07/11/154146/nonton-konser-pria-berkebutuhan-khusus-crowd-surfing-pakai-kursi-roda ","sumber")</f>
        <v>sumber</v>
      </c>
      <c r="G149" s="162" t="str">
        <f>HYPERLINK("https://drive.google.com/open?id=1PIPDaT9bax8PKomZ1LmERgQDld1_2ZwR","lokasi")</f>
        <v>lokasi</v>
      </c>
      <c r="H149" s="44">
        <v>259.0</v>
      </c>
      <c r="I149" s="44">
        <v>2.0</v>
      </c>
      <c r="J149" s="44">
        <v>2.0</v>
      </c>
      <c r="K149" s="348" t="s">
        <v>4249</v>
      </c>
      <c r="L149" s="44">
        <v>0.0</v>
      </c>
      <c r="M149" s="44">
        <v>0.0</v>
      </c>
      <c r="N149" s="44">
        <v>-1.0</v>
      </c>
      <c r="O149" s="44">
        <v>0.0</v>
      </c>
      <c r="P149" s="44">
        <v>0.0</v>
      </c>
      <c r="Q149" s="44">
        <v>2.0</v>
      </c>
      <c r="R149" s="44">
        <v>1.0</v>
      </c>
      <c r="S149" s="175"/>
      <c r="T149" s="44">
        <v>0.0</v>
      </c>
      <c r="U149" s="44">
        <v>0.0</v>
      </c>
      <c r="V149" s="44">
        <v>0.0</v>
      </c>
      <c r="W149" s="45"/>
      <c r="X149" s="45"/>
      <c r="Y149" s="45"/>
      <c r="Z149" s="9"/>
      <c r="AA149" s="9"/>
      <c r="AB149" s="9"/>
      <c r="AC149" s="9"/>
      <c r="AD149" s="9"/>
      <c r="AE149" s="9"/>
      <c r="AF149" s="9"/>
    </row>
    <row r="150">
      <c r="A150" s="231">
        <v>1.0</v>
      </c>
      <c r="B150" s="44" t="s">
        <v>4250</v>
      </c>
      <c r="C150" s="44">
        <v>145.0</v>
      </c>
      <c r="D150" s="44">
        <v>5.0</v>
      </c>
      <c r="E150" s="44" t="s">
        <v>645</v>
      </c>
      <c r="F150" s="162" t="str">
        <f>HYPERLINK("https://tirto.id/belajar-bersikap-manusiawi-bersama-anak-dengan-down-syndrome-ed6A ","sumber")</f>
        <v>sumber</v>
      </c>
      <c r="G150" s="162" t="str">
        <f>HYPERLINK("https://drive.google.com/open?id=1mZLHm7zyZNaaJC51PHabgr6wqPl5fVWQ","lokasi")</f>
        <v>lokasi</v>
      </c>
      <c r="H150" s="44">
        <v>1303.0</v>
      </c>
      <c r="I150" s="44">
        <v>2.0</v>
      </c>
      <c r="J150" s="44">
        <v>2.0</v>
      </c>
      <c r="K150" s="228" t="s">
        <v>4251</v>
      </c>
      <c r="L150" s="44">
        <v>0.0</v>
      </c>
      <c r="M150" s="44">
        <v>0.0</v>
      </c>
      <c r="N150" s="166">
        <v>0.0</v>
      </c>
      <c r="O150" s="44">
        <v>0.0</v>
      </c>
      <c r="P150" s="44">
        <v>0.0</v>
      </c>
      <c r="Q150" s="44" t="s">
        <v>61</v>
      </c>
      <c r="R150" s="44" t="s">
        <v>192</v>
      </c>
      <c r="S150" s="175"/>
      <c r="T150" s="44">
        <v>0.0</v>
      </c>
      <c r="U150" s="44">
        <v>0.0</v>
      </c>
      <c r="V150" s="44">
        <v>0.0</v>
      </c>
      <c r="W150" s="45"/>
      <c r="X150" s="45"/>
      <c r="Y150" s="45"/>
      <c r="Z150" s="9"/>
      <c r="AA150" s="9"/>
      <c r="AB150" s="9"/>
      <c r="AC150" s="9"/>
      <c r="AD150" s="9"/>
      <c r="AE150" s="9"/>
      <c r="AF150" s="9"/>
    </row>
    <row r="151">
      <c r="A151" s="43">
        <v>2.0</v>
      </c>
      <c r="B151" s="47" t="s">
        <v>4252</v>
      </c>
      <c r="C151" s="47">
        <v>146.0</v>
      </c>
      <c r="D151" s="47">
        <v>6.0</v>
      </c>
      <c r="E151" s="47" t="s">
        <v>4253</v>
      </c>
      <c r="F151" s="156" t="str">
        <f>HYPERLINK("https://bola.kompas.com/read/2019/07/15/14323248/harry-maguire-jadi-jaminan-kokohnya-pertahanan-manchester-united ","sumber")</f>
        <v>sumber</v>
      </c>
      <c r="G151" s="156" t="str">
        <f>HYPERLINK("https://drive.google.com/open?id=1jIBbOM2XMSFMFbtrlPwZBjYfDHscx5e8","lokasi")</f>
        <v>lokasi</v>
      </c>
      <c r="H151" s="47">
        <v>280.0</v>
      </c>
      <c r="I151" s="48"/>
      <c r="J151" s="48"/>
      <c r="K151" s="165"/>
      <c r="L151" s="48"/>
      <c r="M151" s="48"/>
      <c r="N151" s="48"/>
      <c r="O151" s="48"/>
      <c r="P151" s="48"/>
      <c r="Q151" s="48"/>
      <c r="R151" s="48"/>
      <c r="S151" s="165"/>
      <c r="T151" s="48"/>
      <c r="U151" s="48"/>
      <c r="V151" s="48"/>
      <c r="W151" s="48"/>
      <c r="X151" s="48"/>
      <c r="Y151" s="48"/>
      <c r="Z151" s="338"/>
      <c r="AA151" s="43"/>
      <c r="AB151" s="51"/>
      <c r="AC151" s="51"/>
      <c r="AD151" s="51"/>
      <c r="AE151" s="51"/>
      <c r="AF151" s="51"/>
    </row>
    <row r="152">
      <c r="A152" s="252">
        <v>1.0</v>
      </c>
      <c r="B152" s="173" t="s">
        <v>4254</v>
      </c>
      <c r="C152" s="55">
        <v>147.0</v>
      </c>
      <c r="D152" s="55">
        <v>4.0</v>
      </c>
      <c r="E152" s="344">
        <v>43472.0</v>
      </c>
      <c r="F152" s="171" t="str">
        <f>HYPERLINK("https://www.liputan6.com/news/read/4002169/dewan-masjid-minta-umat-tak-terpancing-insiden-perempuan-bawa-anjing ","sumber")</f>
        <v>sumber</v>
      </c>
      <c r="G152" s="171" t="str">
        <f>HYPERLINK("https://drive.google.com/open?id=1XhSuu0Y_oXAVwXwYo6NQUIrk7ygupvdV","lokasi")</f>
        <v>lokasi</v>
      </c>
      <c r="H152" s="55">
        <v>728.0</v>
      </c>
      <c r="I152" s="55">
        <v>1.0</v>
      </c>
      <c r="J152" s="55">
        <v>2.0</v>
      </c>
      <c r="K152" s="172" t="s">
        <v>4255</v>
      </c>
      <c r="L152" s="55">
        <v>0.0</v>
      </c>
      <c r="M152" s="55">
        <v>1.0</v>
      </c>
      <c r="N152" s="173">
        <v>0.0</v>
      </c>
      <c r="O152" s="55">
        <v>0.0</v>
      </c>
      <c r="P152" s="55">
        <v>0.0</v>
      </c>
      <c r="Q152" s="55" t="s">
        <v>53</v>
      </c>
      <c r="R152" s="55" t="s">
        <v>546</v>
      </c>
      <c r="S152" s="174"/>
      <c r="T152" s="55">
        <v>0.0</v>
      </c>
      <c r="U152" s="55">
        <v>0.0</v>
      </c>
      <c r="V152" s="55">
        <v>1.0</v>
      </c>
      <c r="W152" s="46"/>
      <c r="X152" s="46"/>
      <c r="Y152" s="46"/>
      <c r="Z152" s="302"/>
      <c r="AA152" s="30"/>
      <c r="AB152" s="31"/>
      <c r="AC152" s="31"/>
      <c r="AD152" s="31"/>
      <c r="AE152" s="31"/>
      <c r="AF152" s="31"/>
    </row>
    <row r="153">
      <c r="A153" s="252">
        <v>1.0</v>
      </c>
      <c r="B153" s="173" t="s">
        <v>4256</v>
      </c>
      <c r="C153" s="55">
        <v>148.0</v>
      </c>
      <c r="D153" s="55">
        <v>8.0</v>
      </c>
      <c r="E153" s="55" t="s">
        <v>295</v>
      </c>
      <c r="F153" s="171" t="str">
        <f>HYPERLINK("https://www.suara.com/news/2019/07/24/231330/dokter-romi-dibatalkan-jadi-asn-ombudsman-panggil-bupati-solsel ","sumber")</f>
        <v>sumber</v>
      </c>
      <c r="G153" s="171" t="str">
        <f>HYPERLINK("https://drive.google.com/open?id=1c969iBdou89b326zoUINOwNveIBLGfMM","lokasi")</f>
        <v>lokasi</v>
      </c>
      <c r="H153" s="55">
        <v>280.0</v>
      </c>
      <c r="I153" s="55">
        <v>1.0</v>
      </c>
      <c r="J153" s="55">
        <v>2.0</v>
      </c>
      <c r="K153" s="172" t="s">
        <v>4257</v>
      </c>
      <c r="L153" s="55">
        <v>0.0</v>
      </c>
      <c r="M153" s="55">
        <v>-1.0</v>
      </c>
      <c r="N153" s="173">
        <v>0.0</v>
      </c>
      <c r="O153" s="55">
        <v>0.0</v>
      </c>
      <c r="P153" s="55">
        <v>0.0</v>
      </c>
      <c r="Q153" s="55" t="s">
        <v>119</v>
      </c>
      <c r="R153" s="55" t="s">
        <v>192</v>
      </c>
      <c r="S153" s="174"/>
      <c r="T153" s="55">
        <v>0.0</v>
      </c>
      <c r="U153" s="55">
        <v>0.0</v>
      </c>
      <c r="V153" s="55">
        <v>1.0</v>
      </c>
      <c r="W153" s="46"/>
      <c r="X153" s="46"/>
      <c r="Y153" s="46"/>
      <c r="Z153" s="302"/>
      <c r="AA153" s="30"/>
      <c r="AB153" s="31"/>
      <c r="AC153" s="31"/>
      <c r="AD153" s="31"/>
      <c r="AE153" s="31"/>
      <c r="AF153" s="31"/>
    </row>
    <row r="154">
      <c r="A154" s="231">
        <v>1.0</v>
      </c>
      <c r="B154" s="44" t="s">
        <v>3215</v>
      </c>
      <c r="C154" s="44">
        <v>149.0</v>
      </c>
      <c r="D154" s="44">
        <v>8.0</v>
      </c>
      <c r="E154" s="44" t="s">
        <v>2441</v>
      </c>
      <c r="F154" s="162" t="str">
        <f>HYPERLINK("https://jabar.suara.com/read/2019/07/19/212509/kondisi-wawan-game-mulai-membaik-sudah-tak-buang-hajat-sembarangan-lagi ","sumber")</f>
        <v>sumber</v>
      </c>
      <c r="G154" s="162" t="str">
        <f>HYPERLINK("https://drive.google.com/open?id=1Q0sqsg3yutkH6Ox_geOoYp6b48PL85l8","lokasi")</f>
        <v>lokasi</v>
      </c>
      <c r="H154" s="44">
        <v>348.0</v>
      </c>
      <c r="I154" s="44">
        <v>2.0</v>
      </c>
      <c r="J154" s="44">
        <v>2.0</v>
      </c>
      <c r="K154" s="164" t="s">
        <v>4258</v>
      </c>
      <c r="L154" s="44">
        <v>0.0</v>
      </c>
      <c r="M154" s="44">
        <v>0.0</v>
      </c>
      <c r="N154" s="44">
        <v>-1.0</v>
      </c>
      <c r="O154" s="44">
        <v>0.0</v>
      </c>
      <c r="P154" s="44">
        <v>0.0</v>
      </c>
      <c r="Q154" s="44" t="s">
        <v>61</v>
      </c>
      <c r="R154" s="44" t="s">
        <v>100</v>
      </c>
      <c r="S154" s="164" t="s">
        <v>2250</v>
      </c>
      <c r="T154" s="44">
        <v>1.0</v>
      </c>
      <c r="U154" s="44">
        <v>0.0</v>
      </c>
      <c r="V154" s="44">
        <v>0.0</v>
      </c>
      <c r="W154" s="45"/>
      <c r="X154" s="45"/>
      <c r="Y154" s="45"/>
      <c r="Z154" s="9"/>
      <c r="AA154" s="9"/>
      <c r="AB154" s="9"/>
      <c r="AC154" s="9"/>
      <c r="AD154" s="9"/>
      <c r="AE154" s="9"/>
      <c r="AF154" s="9"/>
    </row>
    <row r="155">
      <c r="A155" s="231">
        <v>1.0</v>
      </c>
      <c r="B155" s="44" t="s">
        <v>4259</v>
      </c>
      <c r="C155" s="44">
        <v>150.0</v>
      </c>
      <c r="D155" s="44">
        <v>7.0</v>
      </c>
      <c r="E155" s="44" t="s">
        <v>865</v>
      </c>
      <c r="F155" s="162" t="str">
        <f>HYPERLINK("https://www.tribunnews.com/regional/2019/07/21/diduga-alami-gangguan-jiwa-pria-di-cianjur-nekat-menggali-makam-ayahnya-dan-bawa-jasad-ke-rumah ","sumber")</f>
        <v>sumber</v>
      </c>
      <c r="G155" s="162" t="str">
        <f>HYPERLINK("https://drive.google.com/open?id=1OcEW3PKddgmjbso8wLJBX2YE_QkfVVKV","lokasi")</f>
        <v>lokasi</v>
      </c>
      <c r="H155" s="44">
        <v>116.0</v>
      </c>
      <c r="I155" s="44">
        <v>2.0</v>
      </c>
      <c r="J155" s="44">
        <v>2.0</v>
      </c>
      <c r="K155" s="164" t="s">
        <v>4260</v>
      </c>
      <c r="L155" s="44">
        <v>-1.0</v>
      </c>
      <c r="M155" s="44">
        <v>0.0</v>
      </c>
      <c r="N155" s="44">
        <v>-1.0</v>
      </c>
      <c r="O155" s="44">
        <v>0.0</v>
      </c>
      <c r="P155" s="44">
        <v>-1.0</v>
      </c>
      <c r="Q155" s="44" t="s">
        <v>61</v>
      </c>
      <c r="R155" s="44" t="s">
        <v>62</v>
      </c>
      <c r="S155" s="164" t="s">
        <v>4261</v>
      </c>
      <c r="T155" s="44">
        <v>1.0</v>
      </c>
      <c r="U155" s="44">
        <v>0.0</v>
      </c>
      <c r="V155" s="44">
        <v>0.0</v>
      </c>
      <c r="W155" s="45"/>
      <c r="X155" s="45"/>
      <c r="Y155" s="45"/>
      <c r="Z155" s="9"/>
      <c r="AA155" s="9"/>
      <c r="AB155" s="9"/>
      <c r="AC155" s="9"/>
      <c r="AD155" s="9"/>
      <c r="AE155" s="9"/>
      <c r="AF155" s="9"/>
    </row>
    <row r="156">
      <c r="A156" s="43">
        <v>2.0</v>
      </c>
      <c r="B156" s="47" t="s">
        <v>4262</v>
      </c>
      <c r="C156" s="47">
        <v>151.0</v>
      </c>
      <c r="D156" s="47">
        <v>2.0</v>
      </c>
      <c r="E156" s="47" t="s">
        <v>642</v>
      </c>
      <c r="F156" s="156" t="str">
        <f>HYPERLINK("https://www.cnnindonesia.com/nasional/20190722190438-20-414507/anies-soal-macet-cikini-itu-namanya-growing-pain ","sumber")</f>
        <v>sumber</v>
      </c>
      <c r="G156" s="156" t="str">
        <f t="shared" ref="G156:G157" si="3">HYPERLINK("https://drive.google.com/open?id=1DrWO0ESoNM-RgsIu6wL6_QcXwEebigfW","lokasi")</f>
        <v>lokasi</v>
      </c>
      <c r="H156" s="47">
        <v>335.0</v>
      </c>
      <c r="I156" s="48"/>
      <c r="J156" s="48"/>
      <c r="K156" s="165"/>
      <c r="L156" s="48"/>
      <c r="M156" s="48"/>
      <c r="N156" s="48"/>
      <c r="O156" s="48"/>
      <c r="P156" s="48"/>
      <c r="Q156" s="48"/>
      <c r="R156" s="48"/>
      <c r="S156" s="165"/>
      <c r="T156" s="48"/>
      <c r="U156" s="48"/>
      <c r="V156" s="48"/>
      <c r="W156" s="48"/>
      <c r="X156" s="48"/>
      <c r="Y156" s="48"/>
      <c r="Z156" s="338"/>
      <c r="AA156" s="43"/>
      <c r="AB156" s="51"/>
      <c r="AC156" s="51"/>
      <c r="AD156" s="51"/>
      <c r="AE156" s="51"/>
      <c r="AF156" s="51"/>
    </row>
    <row r="157">
      <c r="A157" s="231">
        <v>1.0</v>
      </c>
      <c r="B157" s="44" t="s">
        <v>4263</v>
      </c>
      <c r="C157" s="44">
        <v>152.0</v>
      </c>
      <c r="D157" s="44">
        <v>5.0</v>
      </c>
      <c r="E157" s="44" t="s">
        <v>295</v>
      </c>
      <c r="F157" s="162" t="str">
        <f>HYPERLINK("https://tirto.id/tragedi-telak-para-pelawak-eeUc ","sumber")</f>
        <v>sumber</v>
      </c>
      <c r="G157" s="162" t="str">
        <f t="shared" si="3"/>
        <v>lokasi</v>
      </c>
      <c r="H157" s="44">
        <v>1259.0</v>
      </c>
      <c r="I157" s="44">
        <v>2.0</v>
      </c>
      <c r="J157" s="44">
        <v>2.0</v>
      </c>
      <c r="K157" s="164" t="s">
        <v>4264</v>
      </c>
      <c r="L157" s="44">
        <v>0.0</v>
      </c>
      <c r="M157" s="44">
        <v>0.0</v>
      </c>
      <c r="N157" s="166">
        <v>0.0</v>
      </c>
      <c r="O157" s="44">
        <v>0.0</v>
      </c>
      <c r="P157" s="44">
        <v>0.0</v>
      </c>
      <c r="Q157" s="44" t="s">
        <v>89</v>
      </c>
      <c r="R157" s="44" t="s">
        <v>1058</v>
      </c>
      <c r="S157" s="175"/>
      <c r="T157" s="44">
        <v>0.0</v>
      </c>
      <c r="U157" s="44">
        <v>0.0</v>
      </c>
      <c r="V157" s="44">
        <v>0.0</v>
      </c>
      <c r="W157" s="45"/>
      <c r="X157" s="45"/>
      <c r="Y157" s="45"/>
      <c r="Z157" s="9"/>
      <c r="AA157" s="9"/>
      <c r="AB157" s="9"/>
      <c r="AC157" s="9"/>
      <c r="AD157" s="9"/>
      <c r="AE157" s="9"/>
      <c r="AF157" s="9"/>
    </row>
    <row r="158">
      <c r="A158" s="231">
        <v>1.0</v>
      </c>
      <c r="B158" s="44" t="s">
        <v>4265</v>
      </c>
      <c r="C158" s="44">
        <v>153.0</v>
      </c>
      <c r="D158" s="44">
        <v>2.0</v>
      </c>
      <c r="E158" s="44" t="s">
        <v>871</v>
      </c>
      <c r="F158" s="162" t="str">
        <f>HYPERLINK("https://www.cnnindonesia.com/nasional/20190725140204-20-415418/surat-dokter-gigi-romi-ke-jokowi-saya-mohon-keadilan ","sumber")</f>
        <v>sumber</v>
      </c>
      <c r="G158" s="162" t="str">
        <f>HYPERLINK("https://drive.google.com/open?id=1xsqfIK2M07FxGenDuQrqKvsKKlXRzTgR","lokasi")</f>
        <v>lokasi</v>
      </c>
      <c r="H158" s="44">
        <v>923.0</v>
      </c>
      <c r="I158" s="44">
        <v>4.0</v>
      </c>
      <c r="J158" s="44">
        <v>2.0</v>
      </c>
      <c r="K158" s="164" t="s">
        <v>4266</v>
      </c>
      <c r="L158" s="44">
        <v>0.0</v>
      </c>
      <c r="M158" s="44">
        <v>0.0</v>
      </c>
      <c r="N158" s="166">
        <v>0.0</v>
      </c>
      <c r="O158" s="44">
        <v>0.0</v>
      </c>
      <c r="P158" s="44">
        <v>0.0</v>
      </c>
      <c r="Q158" s="44" t="s">
        <v>53</v>
      </c>
      <c r="R158" s="44" t="s">
        <v>242</v>
      </c>
      <c r="S158" s="175"/>
      <c r="T158" s="44">
        <v>0.0</v>
      </c>
      <c r="U158" s="44">
        <v>0.0</v>
      </c>
      <c r="V158" s="44">
        <v>0.0</v>
      </c>
      <c r="W158" s="45"/>
      <c r="X158" s="45"/>
      <c r="Y158" s="45"/>
      <c r="Z158" s="9"/>
      <c r="AA158" s="9"/>
      <c r="AB158" s="9"/>
      <c r="AC158" s="9"/>
      <c r="AD158" s="9"/>
      <c r="AE158" s="9"/>
      <c r="AF158" s="9"/>
    </row>
    <row r="159">
      <c r="A159" s="43">
        <v>2.0</v>
      </c>
      <c r="B159" s="47" t="s">
        <v>4267</v>
      </c>
      <c r="C159" s="47">
        <v>154.0</v>
      </c>
      <c r="D159" s="47">
        <v>3.0</v>
      </c>
      <c r="E159" s="47" t="s">
        <v>871</v>
      </c>
      <c r="F159" s="156" t="str">
        <f>HYPERLINK("https://celebrity.okezone.com/read/2019/07/25/598/2083477/tayang-oktober-the-cw-bocorkan-penampakan-batwoman ","sumber")</f>
        <v>sumber</v>
      </c>
      <c r="G159" s="156" t="str">
        <f>HYPERLINK("https://drive.google.com/open?id=1tiKWtPLMhUKXo55w4wjwulvnRqoPM44e","lokasi")</f>
        <v>lokasi</v>
      </c>
      <c r="H159" s="47">
        <v>307.0</v>
      </c>
      <c r="I159" s="48"/>
      <c r="J159" s="48"/>
      <c r="K159" s="165"/>
      <c r="L159" s="48"/>
      <c r="M159" s="48"/>
      <c r="N159" s="48"/>
      <c r="O159" s="48"/>
      <c r="P159" s="48"/>
      <c r="Q159" s="48"/>
      <c r="R159" s="48"/>
      <c r="S159" s="165"/>
      <c r="T159" s="48"/>
      <c r="U159" s="48"/>
      <c r="V159" s="48"/>
      <c r="W159" s="48"/>
      <c r="X159" s="48"/>
      <c r="Y159" s="48"/>
      <c r="Z159" s="338"/>
      <c r="AA159" s="43"/>
      <c r="AB159" s="51"/>
      <c r="AC159" s="51"/>
      <c r="AD159" s="51"/>
      <c r="AE159" s="51"/>
      <c r="AF159" s="51"/>
    </row>
    <row r="160">
      <c r="A160" s="231">
        <v>1.0</v>
      </c>
      <c r="B160" s="44" t="s">
        <v>4268</v>
      </c>
      <c r="C160" s="44">
        <v>155.0</v>
      </c>
      <c r="D160" s="44">
        <v>9.0</v>
      </c>
      <c r="E160" s="44" t="s">
        <v>4122</v>
      </c>
      <c r="F160" s="162" t="str">
        <f>HYPERLINK("https://republika.co.id/berita/pvayz2415/pertamina-salurkan-mobil-ltemgthome-careltemgt-untuk-abk ","sumber")</f>
        <v>sumber</v>
      </c>
      <c r="G160" s="162" t="str">
        <f>HYPERLINK("https://drive.google.com/open?id=1c0irAm3hHfrX65E-pK_d6yfbYnHw2XuB","lokasi")</f>
        <v>lokasi</v>
      </c>
      <c r="H160" s="44">
        <v>346.0</v>
      </c>
      <c r="I160" s="44">
        <v>3.0</v>
      </c>
      <c r="J160" s="44">
        <v>2.0</v>
      </c>
      <c r="K160" s="164" t="s">
        <v>4269</v>
      </c>
      <c r="L160" s="44">
        <v>0.0</v>
      </c>
      <c r="M160" s="44">
        <v>0.0</v>
      </c>
      <c r="N160" s="166">
        <v>0.0</v>
      </c>
      <c r="O160" s="44">
        <v>0.0</v>
      </c>
      <c r="P160" s="44">
        <v>0.0</v>
      </c>
      <c r="Q160" s="44" t="s">
        <v>131</v>
      </c>
      <c r="R160" s="44" t="s">
        <v>392</v>
      </c>
      <c r="S160" s="175"/>
      <c r="T160" s="44">
        <v>0.0</v>
      </c>
      <c r="U160" s="44">
        <v>0.0</v>
      </c>
      <c r="V160" s="44">
        <v>0.0</v>
      </c>
      <c r="W160" s="45"/>
      <c r="X160" s="45"/>
      <c r="Y160" s="45"/>
      <c r="Z160" s="9"/>
      <c r="AA160" s="9"/>
      <c r="AB160" s="9"/>
      <c r="AC160" s="9"/>
      <c r="AD160" s="9"/>
      <c r="AE160" s="9"/>
      <c r="AF160" s="9"/>
    </row>
    <row r="161">
      <c r="A161" s="252">
        <v>1.0</v>
      </c>
      <c r="B161" s="173" t="s">
        <v>4270</v>
      </c>
      <c r="C161" s="55">
        <v>156.0</v>
      </c>
      <c r="D161" s="55">
        <v>9.0</v>
      </c>
      <c r="E161" s="55" t="s">
        <v>2458</v>
      </c>
      <c r="F161" s="171" t="str">
        <f>HYPERLINK("https://nasional.republika.co.id/berita/pvcxq8428/lembaga-disabilitas-yakin-dr-romi-bisa-menang-di-ptun ","sumber")</f>
        <v>sumber</v>
      </c>
      <c r="G161" s="171" t="str">
        <f>HYPERLINK("https://drive.google.com/open?id=19npmNpOMzLfDBz_PSwgfJo_tFG-PuH27","lokasi")</f>
        <v>lokasi</v>
      </c>
      <c r="H161" s="55">
        <v>74.0</v>
      </c>
      <c r="I161" s="55">
        <v>3.0</v>
      </c>
      <c r="J161" s="55">
        <v>2.0</v>
      </c>
      <c r="K161" s="172" t="s">
        <v>4271</v>
      </c>
      <c r="L161" s="55">
        <v>0.0</v>
      </c>
      <c r="M161" s="55">
        <v>0.0</v>
      </c>
      <c r="N161" s="173">
        <v>0.0</v>
      </c>
      <c r="O161" s="55">
        <v>0.0</v>
      </c>
      <c r="P161" s="55">
        <v>0.0</v>
      </c>
      <c r="Q161" s="55">
        <v>1.0</v>
      </c>
      <c r="R161" s="55">
        <v>1.0</v>
      </c>
      <c r="S161" s="174"/>
      <c r="T161" s="55">
        <v>0.0</v>
      </c>
      <c r="U161" s="55">
        <v>0.0</v>
      </c>
      <c r="V161" s="55">
        <v>1.0</v>
      </c>
      <c r="W161" s="46"/>
      <c r="X161" s="46"/>
      <c r="Y161" s="46"/>
      <c r="Z161" s="302"/>
      <c r="AA161" s="30"/>
      <c r="AB161" s="31"/>
      <c r="AC161" s="31"/>
      <c r="AD161" s="31"/>
      <c r="AE161" s="31"/>
      <c r="AF161" s="31"/>
    </row>
    <row r="162">
      <c r="A162" s="252">
        <v>1.0</v>
      </c>
      <c r="B162" s="173" t="s">
        <v>4272</v>
      </c>
      <c r="C162" s="55">
        <v>157.0</v>
      </c>
      <c r="D162" s="55">
        <v>9.0</v>
      </c>
      <c r="E162" s="55" t="s">
        <v>2458</v>
      </c>
      <c r="F162" s="171" t="str">
        <f>HYPERLINK("https://nasional.republika.co.id/berita/pvcjb8428/kementerian-pppa-advokasi-persoalan-drg-romi ","sumber")</f>
        <v>sumber</v>
      </c>
      <c r="G162" s="171" t="str">
        <f>HYPERLINK("https://drive.google.com/open?id=1xXX-sSWwheX9Wimy4YVxaMMXs40ux0iE","lokasi")</f>
        <v>lokasi</v>
      </c>
      <c r="H162" s="55">
        <v>71.0</v>
      </c>
      <c r="I162" s="55">
        <v>1.0</v>
      </c>
      <c r="J162" s="55">
        <v>2.0</v>
      </c>
      <c r="K162" s="172" t="s">
        <v>4273</v>
      </c>
      <c r="L162" s="55">
        <v>0.0</v>
      </c>
      <c r="M162" s="55">
        <v>1.0</v>
      </c>
      <c r="N162" s="173">
        <v>0.0</v>
      </c>
      <c r="O162" s="55">
        <v>0.0</v>
      </c>
      <c r="P162" s="55">
        <v>0.0</v>
      </c>
      <c r="Q162" s="55" t="s">
        <v>61</v>
      </c>
      <c r="R162" s="55" t="s">
        <v>100</v>
      </c>
      <c r="S162" s="174"/>
      <c r="T162" s="55">
        <v>0.0</v>
      </c>
      <c r="U162" s="55">
        <v>0.0</v>
      </c>
      <c r="V162" s="55">
        <v>1.0</v>
      </c>
      <c r="W162" s="46"/>
      <c r="X162" s="46"/>
      <c r="Y162" s="46"/>
      <c r="Z162" s="302"/>
      <c r="AA162" s="30"/>
      <c r="AB162" s="31"/>
      <c r="AC162" s="31"/>
      <c r="AD162" s="31"/>
      <c r="AE162" s="31"/>
      <c r="AF162" s="31"/>
    </row>
    <row r="163">
      <c r="A163" s="43">
        <v>2.0</v>
      </c>
      <c r="B163" s="47" t="s">
        <v>4274</v>
      </c>
      <c r="C163" s="47">
        <v>158.0</v>
      </c>
      <c r="D163" s="47">
        <v>3.0</v>
      </c>
      <c r="E163" s="280">
        <v>43473.0</v>
      </c>
      <c r="F163" s="156" t="str">
        <f>HYPERLINK("https://lifestyle.okezone.com/read/2019/08/01/196/2086539/menguak-fenomena-kesurupan-dari-kacamata-magis-hingga-psikologi ","sumber")</f>
        <v>sumber</v>
      </c>
      <c r="G163" s="156" t="str">
        <f>HYPERLINK("https://drive.google.com/open?id=1tC99caVhFK9EKFsNf2qm9Yi0a_UPjilq","lokasi")</f>
        <v>lokasi</v>
      </c>
      <c r="H163" s="47">
        <v>598.0</v>
      </c>
      <c r="I163" s="47"/>
      <c r="J163" s="47"/>
      <c r="K163" s="157"/>
      <c r="L163" s="47"/>
      <c r="M163" s="47"/>
      <c r="N163" s="47"/>
      <c r="O163" s="47"/>
      <c r="P163" s="47"/>
      <c r="Q163" s="47"/>
      <c r="R163" s="47"/>
      <c r="S163" s="157"/>
      <c r="T163" s="47"/>
      <c r="U163" s="47"/>
      <c r="V163" s="47"/>
      <c r="W163" s="48"/>
      <c r="X163" s="48"/>
      <c r="Y163" s="48"/>
      <c r="Z163" s="51"/>
      <c r="AA163" s="51"/>
      <c r="AB163" s="51"/>
      <c r="AC163" s="51"/>
      <c r="AD163" s="51"/>
      <c r="AE163" s="51"/>
      <c r="AF163" s="51"/>
    </row>
    <row r="164">
      <c r="A164" s="43">
        <v>2.0</v>
      </c>
      <c r="B164" s="47" t="s">
        <v>4275</v>
      </c>
      <c r="C164" s="47">
        <v>159.0</v>
      </c>
      <c r="D164" s="47">
        <v>7.0</v>
      </c>
      <c r="E164" s="280">
        <v>43716.0</v>
      </c>
      <c r="F164" s="156" t="str">
        <f>HYPERLINK("https://www.tribunnews.com/nasional/2019/08/09/kisah-haru-nyai-heni-istri-mbah-moen-dilarang-masuk-mala-lihat-pemakaman-dari-balik-pagar-besi ","sumber")</f>
        <v>sumber</v>
      </c>
      <c r="G164" s="156" t="str">
        <f>HYPERLINK("https://drive.google.com/open?id=1o5YPaVXwRNHYPYtg2s1eaTwn-ld4AJUg","lokasi")</f>
        <v>lokasi</v>
      </c>
      <c r="H164" s="47">
        <v>245.0</v>
      </c>
      <c r="I164" s="48"/>
      <c r="J164" s="48"/>
      <c r="K164" s="165"/>
      <c r="L164" s="48"/>
      <c r="M164" s="48"/>
      <c r="N164" s="48"/>
      <c r="O164" s="48"/>
      <c r="P164" s="48"/>
      <c r="Q164" s="48"/>
      <c r="R164" s="48"/>
      <c r="S164" s="165"/>
      <c r="T164" s="48"/>
      <c r="U164" s="48"/>
      <c r="V164" s="48"/>
      <c r="W164" s="48"/>
      <c r="X164" s="48"/>
      <c r="Y164" s="48"/>
      <c r="Z164" s="338"/>
      <c r="AA164" s="43"/>
      <c r="AB164" s="51"/>
      <c r="AC164" s="51"/>
      <c r="AD164" s="51"/>
      <c r="AE164" s="51"/>
      <c r="AF164" s="51"/>
    </row>
    <row r="165">
      <c r="A165" s="231">
        <v>1.0</v>
      </c>
      <c r="B165" s="44" t="s">
        <v>4276</v>
      </c>
      <c r="C165" s="44">
        <v>160.0</v>
      </c>
      <c r="D165" s="44">
        <v>1.0</v>
      </c>
      <c r="E165" s="268">
        <v>43746.0</v>
      </c>
      <c r="F165" s="162" t="str">
        <f>HYPERLINK("https://health.detik.com/berita-detikhealth/d-4659885/waspadai-begal-payudara-ini-cerita-mereka-yang-pernah-jadi-korban ","sumber")</f>
        <v>sumber</v>
      </c>
      <c r="G165" s="162" t="str">
        <f>HYPERLINK("https://drive.google.com/open?id=1_KLRYBPY-G19AcXYNGzQ3ogM-OuVGSCi","lokasi")</f>
        <v>lokasi</v>
      </c>
      <c r="H165" s="44">
        <v>405.0</v>
      </c>
      <c r="I165" s="44">
        <v>1.0</v>
      </c>
      <c r="J165" s="44">
        <v>1.0</v>
      </c>
      <c r="K165" s="164" t="s">
        <v>4277</v>
      </c>
      <c r="L165" s="44">
        <v>0.0</v>
      </c>
      <c r="M165" s="44">
        <v>1.0</v>
      </c>
      <c r="N165" s="166">
        <v>0.0</v>
      </c>
      <c r="O165" s="44">
        <v>1.0</v>
      </c>
      <c r="P165" s="44">
        <v>0.0</v>
      </c>
      <c r="Q165" s="44" t="s">
        <v>191</v>
      </c>
      <c r="R165" s="44" t="s">
        <v>192</v>
      </c>
      <c r="S165" s="175"/>
      <c r="T165" s="44">
        <v>0.0</v>
      </c>
      <c r="U165" s="44">
        <v>0.0</v>
      </c>
      <c r="V165" s="44">
        <v>1.0</v>
      </c>
      <c r="W165" s="45"/>
      <c r="X165" s="45"/>
      <c r="Y165" s="45"/>
      <c r="Z165" s="9"/>
      <c r="AA165" s="9"/>
      <c r="AB165" s="9"/>
      <c r="AC165" s="9"/>
      <c r="AD165" s="9"/>
      <c r="AE165" s="9"/>
      <c r="AF165" s="9"/>
    </row>
    <row r="166">
      <c r="A166" s="252">
        <v>1.0</v>
      </c>
      <c r="B166" s="173" t="s">
        <v>4278</v>
      </c>
      <c r="C166" s="55">
        <v>161.0</v>
      </c>
      <c r="D166" s="55">
        <v>8.0</v>
      </c>
      <c r="E166" s="344">
        <v>43746.0</v>
      </c>
      <c r="F166" s="171" t="str">
        <f>HYPERLINK("https://jateng.suara.com/read/2019/08/10/221112/idul-kurban-berkah-bagi-widjianto-penyandang-disabilitas-perajin-besek ","sumber")</f>
        <v>sumber</v>
      </c>
      <c r="G166" s="171" t="str">
        <f>HYPERLINK("https://drive.google.com/open?id=1Ex4rs8yzp1QlqFBdDwcGJbpqpRVKSDg-","lokasi")</f>
        <v>lokasi</v>
      </c>
      <c r="H166" s="55">
        <v>326.0</v>
      </c>
      <c r="I166" s="55">
        <v>2.0</v>
      </c>
      <c r="J166" s="55">
        <v>2.0</v>
      </c>
      <c r="K166" s="172" t="s">
        <v>4279</v>
      </c>
      <c r="L166" s="55">
        <v>0.0</v>
      </c>
      <c r="M166" s="55">
        <v>0.0</v>
      </c>
      <c r="N166" s="173">
        <v>0.0</v>
      </c>
      <c r="O166" s="55">
        <v>0.0</v>
      </c>
      <c r="P166" s="55">
        <v>0.0</v>
      </c>
      <c r="Q166" s="55">
        <v>2.0</v>
      </c>
      <c r="R166" s="55">
        <v>1.0</v>
      </c>
      <c r="S166" s="174"/>
      <c r="T166" s="55">
        <v>0.0</v>
      </c>
      <c r="U166" s="55">
        <v>0.0</v>
      </c>
      <c r="V166" s="55">
        <v>0.0</v>
      </c>
      <c r="W166" s="46"/>
      <c r="X166" s="46"/>
      <c r="Y166" s="46"/>
      <c r="Z166" s="302"/>
      <c r="AA166" s="30"/>
      <c r="AB166" s="31"/>
      <c r="AC166" s="31"/>
      <c r="AD166" s="31"/>
      <c r="AE166" s="31"/>
      <c r="AF166" s="31"/>
    </row>
    <row r="167">
      <c r="A167" s="231">
        <v>1.0</v>
      </c>
      <c r="B167" s="44" t="s">
        <v>4280</v>
      </c>
      <c r="C167" s="44">
        <v>162.0</v>
      </c>
      <c r="D167" s="44">
        <v>9.0</v>
      </c>
      <c r="E167" s="268">
        <v>43807.0</v>
      </c>
      <c r="F167" s="162" t="str">
        <f>HYPERLINK("https://nasional.republika.co.id/berita/pw450a335/polisi-buru-pelaku-begal-payudara-di-bintaro ","sumber")</f>
        <v>sumber</v>
      </c>
      <c r="G167" s="162" t="str">
        <f>HYPERLINK("https://drive.google.com/open?id=14S7yFLpmQ2vCRFzO9sxPeAS44WIUwXq8","lokasi")</f>
        <v>lokasi</v>
      </c>
      <c r="H167" s="44">
        <v>261.0</v>
      </c>
      <c r="I167" s="44">
        <v>1.0</v>
      </c>
      <c r="J167" s="44">
        <v>1.0</v>
      </c>
      <c r="K167" s="164" t="s">
        <v>4281</v>
      </c>
      <c r="L167" s="44">
        <v>0.0</v>
      </c>
      <c r="M167" s="44">
        <v>1.0</v>
      </c>
      <c r="N167" s="166">
        <v>0.0</v>
      </c>
      <c r="O167" s="44">
        <v>1.0</v>
      </c>
      <c r="P167" s="44">
        <v>0.0</v>
      </c>
      <c r="Q167" s="44">
        <v>0.0</v>
      </c>
      <c r="R167" s="44">
        <v>-1.0</v>
      </c>
      <c r="S167" s="175"/>
      <c r="T167" s="44">
        <v>0.0</v>
      </c>
      <c r="U167" s="44">
        <v>0.0</v>
      </c>
      <c r="V167" s="44">
        <v>0.0</v>
      </c>
      <c r="W167" s="45"/>
      <c r="X167" s="45"/>
      <c r="Y167" s="45"/>
      <c r="Z167" s="9"/>
      <c r="AA167" s="9"/>
      <c r="AB167" s="9"/>
      <c r="AC167" s="9"/>
      <c r="AD167" s="9"/>
      <c r="AE167" s="9"/>
      <c r="AF167" s="9"/>
    </row>
    <row r="168">
      <c r="A168" s="231">
        <v>1.0</v>
      </c>
      <c r="B168" s="44" t="s">
        <v>4282</v>
      </c>
      <c r="C168" s="44">
        <v>163.0</v>
      </c>
      <c r="D168" s="44">
        <v>7.0</v>
      </c>
      <c r="E168" s="44" t="s">
        <v>303</v>
      </c>
      <c r="F168" s="162" t="str">
        <f>HYPERLINK("https://www.tribunnews.com/lifestyle/2019/08/14/perlu-aksi-nyata-bantu-masyarakat-yang-hidup-dengan-disabilitas ","sumber")</f>
        <v>sumber</v>
      </c>
      <c r="G168" s="162" t="str">
        <f>HYPERLINK("https://drive.google.com/open?id=1y66F6MD-uV-J_CPDK78n7SaNcvlaK9rY","lokasi")</f>
        <v>lokasi</v>
      </c>
      <c r="H168" s="44">
        <v>287.0</v>
      </c>
      <c r="I168" s="44">
        <v>4.0</v>
      </c>
      <c r="J168" s="44">
        <v>2.0</v>
      </c>
      <c r="K168" s="164" t="s">
        <v>4283</v>
      </c>
      <c r="L168" s="44">
        <v>0.0</v>
      </c>
      <c r="M168" s="44">
        <v>0.0</v>
      </c>
      <c r="N168" s="166">
        <v>0.0</v>
      </c>
      <c r="O168" s="44">
        <v>0.0</v>
      </c>
      <c r="P168" s="44">
        <v>0.0</v>
      </c>
      <c r="Q168" s="44" t="s">
        <v>192</v>
      </c>
      <c r="R168" s="44" t="s">
        <v>192</v>
      </c>
      <c r="S168" s="175"/>
      <c r="T168" s="44">
        <v>0.0</v>
      </c>
      <c r="U168" s="44">
        <v>0.0</v>
      </c>
      <c r="V168" s="44">
        <v>1.0</v>
      </c>
      <c r="W168" s="45"/>
      <c r="X168" s="45"/>
      <c r="Y168" s="45"/>
      <c r="Z168" s="9"/>
      <c r="AA168" s="9"/>
      <c r="AB168" s="9"/>
      <c r="AC168" s="9"/>
      <c r="AD168" s="9"/>
      <c r="AE168" s="9"/>
      <c r="AF168" s="9"/>
    </row>
    <row r="169">
      <c r="A169" s="231">
        <v>1.0</v>
      </c>
      <c r="B169" s="44" t="s">
        <v>1377</v>
      </c>
      <c r="C169" s="44">
        <v>164.0</v>
      </c>
      <c r="D169" s="44">
        <v>2.0</v>
      </c>
      <c r="E169" s="44" t="s">
        <v>300</v>
      </c>
      <c r="F169" s="162" t="str">
        <f>HYPERLINK("https://www.cnnindonesia.com/nasional/20190818094104-12-422377/warga-pengibar-bendera-pki-disebut-gangguan-jiwa ","sumber")</f>
        <v>sumber</v>
      </c>
      <c r="G169" s="162" t="str">
        <f>HYPERLINK("https://drive.google.com/file/d/1xw2ht_OLAorvB_TI5BqZZY5BChgd_pW5/view?usp=sharing","lokasi")</f>
        <v>lokasi</v>
      </c>
      <c r="H169" s="44">
        <v>314.0</v>
      </c>
      <c r="I169" s="44">
        <v>1.0</v>
      </c>
      <c r="J169" s="44">
        <v>2.0</v>
      </c>
      <c r="K169" s="164" t="s">
        <v>4284</v>
      </c>
      <c r="L169" s="44">
        <v>-1.0</v>
      </c>
      <c r="M169" s="44">
        <v>-1.0</v>
      </c>
      <c r="N169" s="44">
        <v>-1.0</v>
      </c>
      <c r="O169" s="44">
        <v>0.0</v>
      </c>
      <c r="P169" s="44">
        <v>0.0</v>
      </c>
      <c r="Q169" s="44">
        <v>0.0</v>
      </c>
      <c r="R169" s="44">
        <v>-1.0</v>
      </c>
      <c r="S169" s="164" t="s">
        <v>4285</v>
      </c>
      <c r="T169" s="44">
        <v>2.0</v>
      </c>
      <c r="U169" s="44">
        <v>0.0</v>
      </c>
      <c r="V169" s="44">
        <v>0.0</v>
      </c>
      <c r="W169" s="45"/>
      <c r="X169" s="45"/>
      <c r="Y169" s="45"/>
      <c r="Z169" s="9"/>
      <c r="AA169" s="9"/>
      <c r="AB169" s="9"/>
      <c r="AC169" s="9"/>
      <c r="AD169" s="9"/>
      <c r="AE169" s="9"/>
      <c r="AF169" s="9"/>
    </row>
    <row r="170">
      <c r="A170" s="252">
        <v>1.0</v>
      </c>
      <c r="B170" s="173" t="s">
        <v>4286</v>
      </c>
      <c r="C170" s="55">
        <v>165.0</v>
      </c>
      <c r="D170" s="55">
        <v>1.0</v>
      </c>
      <c r="E170" s="55" t="s">
        <v>4287</v>
      </c>
      <c r="F170" s="171" t="str">
        <f>HYPERLINK("https://news.detik.com/berita-jawa-timur/d-4667377/penyandang-tunarungu-tewas-tertabrak-kereta-di-sidoarjo ","sumber")</f>
        <v>sumber</v>
      </c>
      <c r="G170" s="171" t="str">
        <f>HYPERLINK("https://drive.google.com/file/d/1z5WBnoy0E4l0ogERXunvIaMVrKaYzsag/view?usp=sharing","lokasi")</f>
        <v>lokasi</v>
      </c>
      <c r="H170" s="55">
        <v>190.0</v>
      </c>
      <c r="I170" s="55">
        <v>5.0</v>
      </c>
      <c r="J170" s="55">
        <v>2.0</v>
      </c>
      <c r="K170" s="172" t="s">
        <v>4288</v>
      </c>
      <c r="L170" s="55">
        <v>0.0</v>
      </c>
      <c r="M170" s="55">
        <v>0.0</v>
      </c>
      <c r="N170" s="173">
        <v>0.0</v>
      </c>
      <c r="O170" s="55">
        <v>0.0</v>
      </c>
      <c r="P170" s="55">
        <v>0.0</v>
      </c>
      <c r="Q170" s="55">
        <v>0.0</v>
      </c>
      <c r="R170" s="55">
        <v>0.0</v>
      </c>
      <c r="S170" s="174"/>
      <c r="T170" s="55">
        <v>0.0</v>
      </c>
      <c r="U170" s="55">
        <v>0.0</v>
      </c>
      <c r="V170" s="55">
        <v>0.0</v>
      </c>
      <c r="W170" s="46"/>
      <c r="X170" s="46"/>
      <c r="Y170" s="46"/>
      <c r="Z170" s="302"/>
      <c r="AA170" s="30"/>
      <c r="AB170" s="31"/>
      <c r="AC170" s="31"/>
      <c r="AD170" s="31"/>
      <c r="AE170" s="31"/>
      <c r="AF170" s="31"/>
    </row>
    <row r="171">
      <c r="A171" s="231">
        <v>1.0</v>
      </c>
      <c r="B171" s="44" t="s">
        <v>4289</v>
      </c>
      <c r="C171" s="44">
        <v>166.0</v>
      </c>
      <c r="D171" s="44">
        <v>6.0</v>
      </c>
      <c r="E171" s="44" t="s">
        <v>41</v>
      </c>
      <c r="F171" s="162" t="str">
        <f>HYPERLINK("https://entertainment.kompas.com/read/2019/08/24/141229110/dian-sastro-saya-bilang-ke-dia-shailendra-tuh-spesial ","sumber")</f>
        <v>sumber</v>
      </c>
      <c r="G171" s="162" t="str">
        <f>HYPERLINK("https://drive.google.com/open?id=1w6kVmGS-xyxi4onfkegkbvN4NbqQU81n","lokasi")</f>
        <v>lokasi</v>
      </c>
      <c r="H171" s="44">
        <v>219.0</v>
      </c>
      <c r="I171" s="44">
        <v>2.0</v>
      </c>
      <c r="J171" s="44">
        <v>2.0</v>
      </c>
      <c r="K171" s="164" t="s">
        <v>4290</v>
      </c>
      <c r="L171" s="44">
        <v>0.0</v>
      </c>
      <c r="M171" s="44">
        <v>0.0</v>
      </c>
      <c r="N171" s="166">
        <v>0.0</v>
      </c>
      <c r="O171" s="44">
        <v>0.0</v>
      </c>
      <c r="P171" s="44">
        <v>0.0</v>
      </c>
      <c r="Q171" s="44">
        <v>0.0</v>
      </c>
      <c r="R171" s="44">
        <v>1.0</v>
      </c>
      <c r="S171" s="175"/>
      <c r="T171" s="44">
        <v>0.0</v>
      </c>
      <c r="U171" s="44">
        <v>0.0</v>
      </c>
      <c r="V171" s="44">
        <v>0.0</v>
      </c>
      <c r="W171" s="45"/>
      <c r="X171" s="45"/>
      <c r="Y171" s="45"/>
      <c r="Z171" s="9"/>
      <c r="AA171" s="9"/>
      <c r="AB171" s="9"/>
      <c r="AC171" s="9"/>
      <c r="AD171" s="9"/>
      <c r="AE171" s="9"/>
      <c r="AF171" s="9"/>
    </row>
    <row r="172">
      <c r="A172" s="43">
        <v>2.0</v>
      </c>
      <c r="B172" s="47" t="s">
        <v>4291</v>
      </c>
      <c r="C172" s="47">
        <v>167.0</v>
      </c>
      <c r="D172" s="47">
        <v>7.0</v>
      </c>
      <c r="E172" s="47" t="s">
        <v>41</v>
      </c>
      <c r="F172" s="156" t="str">
        <f>HYPERLINK("https://www.tribunnews.com/metropolitan/2019/08/24/viral-satpam-serpong-meninggal-digigit-ular-weling-kenali-ciri-waspada-habitatnya-ada-di-sekitar ","sumber")</f>
        <v>sumber</v>
      </c>
      <c r="G172" s="156" t="str">
        <f>HYPERLINK("https://drive.google.com/open?id=1aE0eNgla6Uqt6pqfoQHbGiWP8SD-N5mi","lokasi")</f>
        <v>lokasi</v>
      </c>
      <c r="H172" s="47">
        <v>228.0</v>
      </c>
      <c r="I172" s="48"/>
      <c r="J172" s="48"/>
      <c r="K172" s="165"/>
      <c r="L172" s="48"/>
      <c r="M172" s="48"/>
      <c r="N172" s="48"/>
      <c r="O172" s="48"/>
      <c r="P172" s="48"/>
      <c r="Q172" s="48"/>
      <c r="R172" s="48"/>
      <c r="S172" s="165"/>
      <c r="T172" s="48"/>
      <c r="U172" s="48"/>
      <c r="V172" s="48"/>
      <c r="W172" s="48"/>
      <c r="X172" s="48"/>
      <c r="Y172" s="48"/>
      <c r="Z172" s="338"/>
      <c r="AA172" s="43"/>
      <c r="AB172" s="51"/>
      <c r="AC172" s="51"/>
      <c r="AD172" s="51"/>
      <c r="AE172" s="51"/>
      <c r="AF172" s="51"/>
    </row>
    <row r="173">
      <c r="A173" s="252">
        <v>1.0</v>
      </c>
      <c r="B173" s="173" t="s">
        <v>4292</v>
      </c>
      <c r="C173" s="55">
        <v>168.0</v>
      </c>
      <c r="D173" s="55">
        <v>3.0</v>
      </c>
      <c r="E173" s="344">
        <v>43807.0</v>
      </c>
      <c r="F173" s="171" t="str">
        <f>HYPERLINK("https://news.okezone.com/read/2019/08/12/65/2090893/tak-lagi-pakai-tongkat-aplikasi-ini-mudahkan-tuna-netra-berjalan ","sumber")</f>
        <v>sumber</v>
      </c>
      <c r="G173" s="171" t="str">
        <f>HYPERLINK("https://drive.google.com/open?id=1urm7uuXT_2_Ae4ZGn4XhnKKKdD1J2v_x","lokasi")</f>
        <v>lokasi</v>
      </c>
      <c r="H173" s="55">
        <v>431.0</v>
      </c>
      <c r="I173" s="55">
        <v>4.0</v>
      </c>
      <c r="J173" s="55">
        <v>2.0</v>
      </c>
      <c r="K173" s="172" t="s">
        <v>4293</v>
      </c>
      <c r="L173" s="55">
        <v>-1.0</v>
      </c>
      <c r="M173" s="55">
        <v>0.0</v>
      </c>
      <c r="N173" s="173">
        <v>0.0</v>
      </c>
      <c r="O173" s="55">
        <v>0.0</v>
      </c>
      <c r="P173" s="55">
        <v>0.0</v>
      </c>
      <c r="Q173" s="55">
        <v>0.0</v>
      </c>
      <c r="R173" s="55">
        <v>1.0</v>
      </c>
      <c r="S173" s="174"/>
      <c r="T173" s="55">
        <v>0.0</v>
      </c>
      <c r="U173" s="55">
        <v>0.0</v>
      </c>
      <c r="V173" s="55">
        <v>0.0</v>
      </c>
      <c r="W173" s="46"/>
      <c r="X173" s="46"/>
      <c r="Y173" s="46"/>
      <c r="Z173" s="302"/>
      <c r="AA173" s="30"/>
      <c r="AB173" s="31"/>
      <c r="AC173" s="31"/>
      <c r="AD173" s="31"/>
      <c r="AE173" s="31"/>
      <c r="AF173" s="31"/>
    </row>
    <row r="174">
      <c r="A174" s="43">
        <v>2.0</v>
      </c>
      <c r="B174" s="47" t="s">
        <v>4294</v>
      </c>
      <c r="C174" s="47">
        <v>169.0</v>
      </c>
      <c r="D174" s="47">
        <v>3.0</v>
      </c>
      <c r="E174" s="47" t="s">
        <v>315</v>
      </c>
      <c r="F174" s="156" t="str">
        <f>HYPERLINK("https://nasional.okezone.com/read/2019/08/27/337/2097310/tak-masuk-struktur-dpp-pkb-2019-2024-karding-biar-saja ","sumber")</f>
        <v>sumber</v>
      </c>
      <c r="G174" s="156" t="str">
        <f>HYPERLINK("https://drive.google.com/open?id=1tGB2fRhBkAqMRPUjMnuAI9-37rJSEovT","lokasi")</f>
        <v>lokasi</v>
      </c>
      <c r="H174" s="47">
        <v>696.0</v>
      </c>
      <c r="I174" s="48"/>
      <c r="J174" s="48"/>
      <c r="K174" s="165"/>
      <c r="L174" s="48"/>
      <c r="M174" s="48"/>
      <c r="N174" s="48"/>
      <c r="O174" s="48"/>
      <c r="P174" s="48"/>
      <c r="Q174" s="48"/>
      <c r="R174" s="48"/>
      <c r="S174" s="165"/>
      <c r="T174" s="48"/>
      <c r="U174" s="48"/>
      <c r="V174" s="48"/>
      <c r="W174" s="48"/>
      <c r="X174" s="48"/>
      <c r="Y174" s="48"/>
      <c r="Z174" s="338"/>
      <c r="AA174" s="43"/>
      <c r="AB174" s="51"/>
      <c r="AC174" s="51"/>
      <c r="AD174" s="51"/>
      <c r="AE174" s="51"/>
      <c r="AF174" s="51"/>
    </row>
    <row r="175">
      <c r="A175" s="252">
        <v>1.0</v>
      </c>
      <c r="B175" s="173" t="s">
        <v>4295</v>
      </c>
      <c r="C175" s="55">
        <v>170.0</v>
      </c>
      <c r="D175" s="55">
        <v>5.0</v>
      </c>
      <c r="E175" s="55" t="s">
        <v>315</v>
      </c>
      <c r="F175" s="171" t="str">
        <f>HYPERLINK("https://tirto.id/pemprov-dki-siapkan-fasilitas-bagi-difabel-di-trotoar-dan-jpo-eg7z","sumber")</f>
        <v>sumber</v>
      </c>
      <c r="G175" s="171" t="str">
        <f>HYPERLINK("https://drive.google.com/open?id=1BwjCcBDB-2Nt7GY8zEYNzdRC71Ql5CXR","lokasi")</f>
        <v>lokasi</v>
      </c>
      <c r="H175" s="55">
        <v>300.0</v>
      </c>
      <c r="I175" s="55">
        <v>4.0</v>
      </c>
      <c r="J175" s="55">
        <v>2.0</v>
      </c>
      <c r="K175" s="172" t="s">
        <v>4296</v>
      </c>
      <c r="L175" s="55">
        <v>0.0</v>
      </c>
      <c r="M175" s="55">
        <v>0.0</v>
      </c>
      <c r="N175" s="173">
        <v>0.0</v>
      </c>
      <c r="O175" s="55">
        <v>0.0</v>
      </c>
      <c r="P175" s="55">
        <v>0.0</v>
      </c>
      <c r="Q175" s="55">
        <v>0.0</v>
      </c>
      <c r="R175" s="55">
        <v>1.0</v>
      </c>
      <c r="S175" s="174"/>
      <c r="T175" s="55">
        <v>0.0</v>
      </c>
      <c r="U175" s="55">
        <v>0.0</v>
      </c>
      <c r="V175" s="55">
        <v>1.0</v>
      </c>
      <c r="W175" s="46"/>
      <c r="X175" s="46"/>
      <c r="Y175" s="46"/>
      <c r="Z175" s="302"/>
      <c r="AA175" s="30"/>
      <c r="AB175" s="31"/>
      <c r="AC175" s="31"/>
      <c r="AD175" s="31"/>
      <c r="AE175" s="31"/>
      <c r="AF175" s="31"/>
    </row>
    <row r="176">
      <c r="A176" s="252">
        <v>1.0</v>
      </c>
      <c r="B176" s="173" t="s">
        <v>4297</v>
      </c>
      <c r="C176" s="55">
        <v>171.0</v>
      </c>
      <c r="D176" s="55">
        <v>6.0</v>
      </c>
      <c r="E176" s="344">
        <v>43474.0</v>
      </c>
      <c r="F176" s="171" t="str">
        <f>HYPERLINK("https://megapolitan.kompas.com/read/2019/09/01/19510291/pria-bunuh-ayah-kandung-karena-terganggu-suara-dengkuran-diduga-gangguan ","sumber")</f>
        <v>sumber</v>
      </c>
      <c r="G176" s="171" t="str">
        <f>HYPERLINK("https://drive.google.com/open?id=1syMw0H5as0ur0hbAswVxDbMpFSsgq7rc","lokasi")</f>
        <v>lokasi</v>
      </c>
      <c r="H176" s="55">
        <v>276.0</v>
      </c>
      <c r="I176" s="55">
        <v>1.0</v>
      </c>
      <c r="J176" s="55">
        <v>2.0</v>
      </c>
      <c r="K176" s="172" t="s">
        <v>4298</v>
      </c>
      <c r="L176" s="55">
        <v>0.0</v>
      </c>
      <c r="M176" s="55">
        <v>-1.0</v>
      </c>
      <c r="N176" s="173">
        <v>0.0</v>
      </c>
      <c r="O176" s="55">
        <v>0.0</v>
      </c>
      <c r="P176" s="55">
        <v>0.0</v>
      </c>
      <c r="Q176" s="55">
        <v>0.0</v>
      </c>
      <c r="R176" s="55">
        <v>0.0</v>
      </c>
      <c r="S176" s="174"/>
      <c r="T176" s="55">
        <v>0.0</v>
      </c>
      <c r="U176" s="55">
        <v>0.0</v>
      </c>
      <c r="V176" s="55">
        <v>1.0</v>
      </c>
      <c r="W176" s="46"/>
      <c r="X176" s="46"/>
      <c r="Y176" s="46"/>
      <c r="Z176" s="302"/>
      <c r="AA176" s="30"/>
      <c r="AB176" s="31"/>
      <c r="AC176" s="31"/>
      <c r="AD176" s="31"/>
      <c r="AE176" s="31"/>
      <c r="AF176" s="31"/>
    </row>
    <row r="177">
      <c r="A177" s="231">
        <v>1.0</v>
      </c>
      <c r="B177" s="44" t="s">
        <v>4299</v>
      </c>
      <c r="C177" s="44">
        <v>172.0</v>
      </c>
      <c r="D177" s="44">
        <v>10.0</v>
      </c>
      <c r="E177" s="268">
        <v>43474.0</v>
      </c>
      <c r="F177" s="162" t="str">
        <f>HYPERLINK("https://difabel.tempo.co/read/1242647/budaya-dan-data-hambat-pemenuhan-hak-penyandang-disabilitas ","sumber")</f>
        <v>sumber</v>
      </c>
      <c r="G177" s="162" t="str">
        <f>HYPERLINK("https://drive.google.com/open?id=17Fk0-SrQ00nhFLHoJcqTIBMgsb8naqEZ","lokasi")</f>
        <v>lokasi</v>
      </c>
      <c r="H177" s="44">
        <v>213.0</v>
      </c>
      <c r="I177" s="44">
        <v>4.0</v>
      </c>
      <c r="J177" s="44">
        <v>2.0</v>
      </c>
      <c r="K177" s="164" t="s">
        <v>4300</v>
      </c>
      <c r="L177" s="44">
        <v>0.0</v>
      </c>
      <c r="M177" s="44">
        <v>0.0</v>
      </c>
      <c r="N177" s="166">
        <v>0.0</v>
      </c>
      <c r="O177" s="44">
        <v>0.0</v>
      </c>
      <c r="P177" s="44">
        <v>0.0</v>
      </c>
      <c r="Q177" s="44" t="s">
        <v>61</v>
      </c>
      <c r="R177" s="44" t="s">
        <v>192</v>
      </c>
      <c r="S177" s="175"/>
      <c r="T177" s="44">
        <v>0.0</v>
      </c>
      <c r="U177" s="44">
        <v>0.0</v>
      </c>
      <c r="V177" s="44">
        <v>1.0</v>
      </c>
      <c r="W177" s="45"/>
      <c r="X177" s="45"/>
      <c r="Y177" s="45"/>
      <c r="Z177" s="9"/>
      <c r="AA177" s="9"/>
      <c r="AB177" s="9"/>
      <c r="AC177" s="9"/>
      <c r="AD177" s="9"/>
      <c r="AE177" s="9"/>
      <c r="AF177" s="9"/>
    </row>
    <row r="178">
      <c r="A178" s="43">
        <v>2.0</v>
      </c>
      <c r="B178" s="47" t="s">
        <v>4301</v>
      </c>
      <c r="C178" s="47">
        <v>173.0</v>
      </c>
      <c r="D178" s="47">
        <v>5.0</v>
      </c>
      <c r="E178" s="280">
        <v>43505.0</v>
      </c>
      <c r="F178" s="156" t="str">
        <f>HYPERLINK("https://tirto.id/tiga-desa-di-pati-jawa-tengah-jadi-sasaran-penembakan-misterius-ehqj ","sumber")</f>
        <v>sumber</v>
      </c>
      <c r="G178" s="156" t="str">
        <f>HYPERLINK("https://drive.google.com/open?id=1Ch0xJ01BzTbniExH3N2rrbrK6BELZS6T","lokasi")</f>
        <v>lokasi</v>
      </c>
      <c r="H178" s="47">
        <v>298.0</v>
      </c>
      <c r="I178" s="48"/>
      <c r="J178" s="48"/>
      <c r="K178" s="165"/>
      <c r="L178" s="48"/>
      <c r="M178" s="48"/>
      <c r="N178" s="48"/>
      <c r="O178" s="48"/>
      <c r="P178" s="48"/>
      <c r="Q178" s="48"/>
      <c r="R178" s="48"/>
      <c r="S178" s="165"/>
      <c r="T178" s="48"/>
      <c r="U178" s="48"/>
      <c r="V178" s="48"/>
      <c r="W178" s="48"/>
      <c r="X178" s="48"/>
      <c r="Y178" s="48"/>
      <c r="Z178" s="338"/>
      <c r="AA178" s="43"/>
      <c r="AB178" s="51"/>
      <c r="AC178" s="51"/>
      <c r="AD178" s="51"/>
      <c r="AE178" s="51"/>
      <c r="AF178" s="51"/>
    </row>
    <row r="179">
      <c r="A179" s="43">
        <v>2.0</v>
      </c>
      <c r="B179" s="47" t="s">
        <v>4302</v>
      </c>
      <c r="C179" s="47">
        <v>174.0</v>
      </c>
      <c r="D179" s="47">
        <v>2.0</v>
      </c>
      <c r="E179" s="280">
        <v>43533.0</v>
      </c>
      <c r="F179" s="156" t="str">
        <f>HYPERLINK("https://www.cnnindonesia.com/hiburan/20190903173535-220-427207/garap-ratu-ilmu-hitam-kimo-dan-joko-anwar-tanya-paranormal ","sumber")</f>
        <v>sumber</v>
      </c>
      <c r="G179" s="156" t="str">
        <f>HYPERLINK("https://drive.google.com/open?id=1lQk2OjnjRBdrjjaGNMI_JN3-I02N6U_R","lokasi")</f>
        <v>lokasi</v>
      </c>
      <c r="H179" s="47">
        <v>414.0</v>
      </c>
      <c r="I179" s="48"/>
      <c r="J179" s="48"/>
      <c r="K179" s="165"/>
      <c r="L179" s="48"/>
      <c r="M179" s="48"/>
      <c r="N179" s="48"/>
      <c r="O179" s="48"/>
      <c r="P179" s="48"/>
      <c r="Q179" s="48"/>
      <c r="R179" s="48"/>
      <c r="S179" s="165"/>
      <c r="T179" s="48"/>
      <c r="U179" s="48"/>
      <c r="V179" s="48"/>
      <c r="W179" s="48"/>
      <c r="X179" s="48"/>
      <c r="Y179" s="48"/>
      <c r="Z179" s="338"/>
      <c r="AA179" s="43"/>
      <c r="AB179" s="51"/>
      <c r="AC179" s="51"/>
      <c r="AD179" s="51"/>
      <c r="AE179" s="51"/>
      <c r="AF179" s="51"/>
    </row>
    <row r="180">
      <c r="A180" s="43">
        <v>2.0</v>
      </c>
      <c r="B180" s="47" t="s">
        <v>4303</v>
      </c>
      <c r="C180" s="47">
        <v>175.0</v>
      </c>
      <c r="D180" s="47">
        <v>1.0</v>
      </c>
      <c r="E180" s="280">
        <v>43533.0</v>
      </c>
      <c r="F180" s="156" t="str">
        <f>HYPERLINK("https://health.detik.com/diet/d-4691615/diet-junk-food-dituding-jadi-penyebab-kebutaan-remaja-ini ","sumber")</f>
        <v>sumber</v>
      </c>
      <c r="G180" s="156" t="str">
        <f>HYPERLINK("https://drive.google.com/open?id=1RSZwCgFw3-blWkJJhNKzgVJL2_t_UcZH","lokasi")</f>
        <v>lokasi</v>
      </c>
      <c r="H180" s="47">
        <v>300.0</v>
      </c>
      <c r="I180" s="48"/>
      <c r="J180" s="48"/>
      <c r="K180" s="165"/>
      <c r="L180" s="48"/>
      <c r="M180" s="48"/>
      <c r="N180" s="48"/>
      <c r="O180" s="48"/>
      <c r="P180" s="48"/>
      <c r="Q180" s="48"/>
      <c r="R180" s="48"/>
      <c r="S180" s="165"/>
      <c r="T180" s="48"/>
      <c r="U180" s="48"/>
      <c r="V180" s="48"/>
      <c r="W180" s="48"/>
      <c r="X180" s="48"/>
      <c r="Y180" s="48"/>
      <c r="Z180" s="338"/>
      <c r="AA180" s="43"/>
      <c r="AB180" s="51"/>
      <c r="AC180" s="51"/>
      <c r="AD180" s="51"/>
      <c r="AE180" s="51"/>
      <c r="AF180" s="51"/>
    </row>
    <row r="181">
      <c r="A181" s="43">
        <v>2.0</v>
      </c>
      <c r="B181" s="47" t="s">
        <v>4304</v>
      </c>
      <c r="C181" s="47">
        <v>176.0</v>
      </c>
      <c r="D181" s="47">
        <v>10.0</v>
      </c>
      <c r="E181" s="280">
        <v>43533.0</v>
      </c>
      <c r="F181" s="156" t="str">
        <f>HYPERLINK("https://cantik.tempo.co/read/1243101/perawatan-kulit-mendapatkan-mochi-skin-ala-wanita-jepang ","sumber")</f>
        <v>sumber</v>
      </c>
      <c r="G181" s="156" t="str">
        <f>HYPERLINK("https://drive.google.com/open?id=1TqaNY-pIwniDxhJYGZpOyWt4g4rw78Vw","lokasi")</f>
        <v>lokasi</v>
      </c>
      <c r="H181" s="47">
        <v>465.0</v>
      </c>
      <c r="I181" s="48"/>
      <c r="J181" s="48"/>
      <c r="K181" s="165"/>
      <c r="L181" s="48"/>
      <c r="M181" s="48"/>
      <c r="N181" s="48"/>
      <c r="O181" s="48"/>
      <c r="P181" s="48"/>
      <c r="Q181" s="48"/>
      <c r="R181" s="48"/>
      <c r="S181" s="165"/>
      <c r="T181" s="48"/>
      <c r="U181" s="48"/>
      <c r="V181" s="48"/>
      <c r="W181" s="48"/>
      <c r="X181" s="48"/>
      <c r="Y181" s="48"/>
      <c r="Z181" s="338"/>
      <c r="AA181" s="43"/>
      <c r="AB181" s="51"/>
      <c r="AC181" s="51"/>
      <c r="AD181" s="51"/>
      <c r="AE181" s="51"/>
      <c r="AF181" s="51"/>
    </row>
    <row r="182">
      <c r="A182" s="43">
        <v>2.0</v>
      </c>
      <c r="B182" s="47" t="s">
        <v>4305</v>
      </c>
      <c r="C182" s="47">
        <v>177.0</v>
      </c>
      <c r="D182" s="47">
        <v>7.0</v>
      </c>
      <c r="E182" s="280">
        <v>43533.0</v>
      </c>
      <c r="F182" s="156" t="str">
        <f>HYPERLINK("https://www.tribunnews.com/bisnis/2019/09/03/bni-bantu-wni-di-jepang-berinvestasi-di-era-digital ","sumber")</f>
        <v>sumber</v>
      </c>
      <c r="G182" s="156" t="str">
        <f>HYPERLINK("https://drive.google.com/open?id=1gxhCShzqu93H3wRonRf6xpopiy3m8pTB","lokasi")</f>
        <v>lokasi</v>
      </c>
      <c r="H182" s="47">
        <v>311.0</v>
      </c>
      <c r="I182" s="48"/>
      <c r="J182" s="48"/>
      <c r="K182" s="165"/>
      <c r="L182" s="48"/>
      <c r="M182" s="48"/>
      <c r="N182" s="48"/>
      <c r="O182" s="48"/>
      <c r="P182" s="48"/>
      <c r="Q182" s="48"/>
      <c r="R182" s="48"/>
      <c r="S182" s="165"/>
      <c r="T182" s="48"/>
      <c r="U182" s="48"/>
      <c r="V182" s="48"/>
      <c r="W182" s="48"/>
      <c r="X182" s="48"/>
      <c r="Y182" s="48"/>
      <c r="Z182" s="338"/>
      <c r="AA182" s="43"/>
      <c r="AB182" s="51"/>
      <c r="AC182" s="51"/>
      <c r="AD182" s="51"/>
      <c r="AE182" s="51"/>
      <c r="AF182" s="51"/>
    </row>
    <row r="183">
      <c r="A183" s="252">
        <v>1.0</v>
      </c>
      <c r="B183" s="173" t="s">
        <v>4306</v>
      </c>
      <c r="C183" s="55">
        <v>178.0</v>
      </c>
      <c r="D183" s="55">
        <v>8.0</v>
      </c>
      <c r="E183" s="55" t="s">
        <v>2491</v>
      </c>
      <c r="F183" s="171" t="str">
        <f>HYPERLINK("https://www.suara.com/news/2019/08/27/094042/mensos-lantik-asn-penyandang-disabilitas-pertama-sebagai-pejabat-kemensos ","sumber")</f>
        <v>sumber</v>
      </c>
      <c r="G183" s="171" t="str">
        <f>HYPERLINK("https://drive.google.com/open?id=10KwWEeqnfYxYGQmf8-XlQMDgMnUpYDC0","lokasi")</f>
        <v>lokasi</v>
      </c>
      <c r="H183" s="55">
        <v>541.0</v>
      </c>
      <c r="I183" s="55">
        <v>2.0</v>
      </c>
      <c r="J183" s="55">
        <v>2.0</v>
      </c>
      <c r="K183" s="172" t="s">
        <v>4307</v>
      </c>
      <c r="L183" s="55">
        <v>0.0</v>
      </c>
      <c r="M183" s="55">
        <v>0.0</v>
      </c>
      <c r="N183" s="173">
        <v>0.0</v>
      </c>
      <c r="O183" s="55">
        <v>0.0</v>
      </c>
      <c r="P183" s="55">
        <v>0.0</v>
      </c>
      <c r="Q183" s="55">
        <v>0.0</v>
      </c>
      <c r="R183" s="55">
        <v>0.0</v>
      </c>
      <c r="S183" s="174"/>
      <c r="T183" s="55">
        <v>0.0</v>
      </c>
      <c r="U183" s="55">
        <v>0.0</v>
      </c>
      <c r="V183" s="55">
        <v>0.0</v>
      </c>
      <c r="W183" s="46"/>
      <c r="X183" s="46"/>
      <c r="Y183" s="46"/>
      <c r="Z183" s="302"/>
      <c r="AA183" s="30"/>
      <c r="AB183" s="31"/>
      <c r="AC183" s="31"/>
      <c r="AD183" s="31"/>
      <c r="AE183" s="31"/>
      <c r="AF183" s="31"/>
    </row>
    <row r="184">
      <c r="A184" s="231">
        <v>1.0</v>
      </c>
      <c r="B184" s="44" t="s">
        <v>4308</v>
      </c>
      <c r="C184" s="44">
        <v>179.0</v>
      </c>
      <c r="D184" s="44">
        <v>2.0</v>
      </c>
      <c r="E184" s="44" t="s">
        <v>337</v>
      </c>
      <c r="F184" s="162" t="str">
        <f>HYPERLINK("https://www.cnnindonesia.com/nasional/20190925200608-20-434043/ruu-pks-para-wanita-demo-dprd-di-bandung-dan-palembang ","sumber")</f>
        <v>sumber</v>
      </c>
      <c r="G184" s="162" t="str">
        <f>HYPERLINK("https://drive.google.com/open?id=1ZcoHOk8erFzKYlw6sTjMMBC8lbvQC62y","lokasi")</f>
        <v>lokasi</v>
      </c>
      <c r="H184" s="44">
        <v>1035.0</v>
      </c>
      <c r="I184" s="44">
        <v>1.0</v>
      </c>
      <c r="J184" s="44">
        <v>1.0</v>
      </c>
      <c r="K184" s="164" t="s">
        <v>4309</v>
      </c>
      <c r="L184" s="44">
        <v>0.0</v>
      </c>
      <c r="M184" s="44">
        <v>1.0</v>
      </c>
      <c r="N184" s="166">
        <v>0.0</v>
      </c>
      <c r="O184" s="44">
        <v>0.0</v>
      </c>
      <c r="P184" s="44">
        <v>0.0</v>
      </c>
      <c r="Q184" s="44" t="s">
        <v>61</v>
      </c>
      <c r="R184" s="44" t="s">
        <v>780</v>
      </c>
      <c r="S184" s="175"/>
      <c r="T184" s="44">
        <v>0.0</v>
      </c>
      <c r="U184" s="44">
        <v>0.0</v>
      </c>
      <c r="V184" s="44">
        <v>1.0</v>
      </c>
      <c r="W184" s="45"/>
      <c r="X184" s="45"/>
      <c r="Y184" s="45"/>
      <c r="Z184" s="9"/>
      <c r="AA184" s="9"/>
      <c r="AB184" s="9"/>
      <c r="AC184" s="9"/>
      <c r="AD184" s="9"/>
      <c r="AE184" s="9"/>
      <c r="AF184" s="9"/>
    </row>
    <row r="185">
      <c r="A185" s="231">
        <v>1.0</v>
      </c>
      <c r="B185" s="44" t="s">
        <v>4310</v>
      </c>
      <c r="C185" s="44">
        <v>180.0</v>
      </c>
      <c r="D185" s="44">
        <v>4.0</v>
      </c>
      <c r="E185" s="44" t="s">
        <v>681</v>
      </c>
      <c r="F185" s="162" t="str">
        <f>HYPERLINK("https://www.liputan6.com/lifestyle/read/4072896/cardi-b-alami-pelecehan-seksual-saat-pemotretan ","sumber")</f>
        <v>sumber</v>
      </c>
      <c r="G185" s="162" t="str">
        <f>HYPERLINK("https://drive.google.com/open?id=1UPkW4s5On3qDlA5Qg_w-bR35NBdwQhUA","lokasi")</f>
        <v>lokasi</v>
      </c>
      <c r="H185" s="44">
        <v>357.0</v>
      </c>
      <c r="I185" s="44">
        <v>1.0</v>
      </c>
      <c r="J185" s="44">
        <v>1.0</v>
      </c>
      <c r="K185" s="164" t="s">
        <v>4311</v>
      </c>
      <c r="L185" s="44">
        <v>-1.0</v>
      </c>
      <c r="M185" s="44">
        <v>-1.0</v>
      </c>
      <c r="N185" s="166">
        <v>0.0</v>
      </c>
      <c r="O185" s="44">
        <v>0.0</v>
      </c>
      <c r="P185" s="44">
        <v>0.0</v>
      </c>
      <c r="Q185" s="44">
        <v>2.0</v>
      </c>
      <c r="R185" s="44">
        <v>1.0</v>
      </c>
      <c r="S185" s="175"/>
      <c r="T185" s="44">
        <v>0.0</v>
      </c>
      <c r="U185" s="44">
        <v>0.0</v>
      </c>
      <c r="V185" s="44">
        <v>0.0</v>
      </c>
      <c r="W185" s="45"/>
      <c r="X185" s="45"/>
      <c r="Y185" s="45"/>
      <c r="Z185" s="9"/>
      <c r="AA185" s="9"/>
      <c r="AB185" s="9"/>
      <c r="AC185" s="9"/>
      <c r="AD185" s="9"/>
      <c r="AE185" s="9"/>
      <c r="AF185" s="9"/>
    </row>
    <row r="186">
      <c r="A186" s="231">
        <v>1.0</v>
      </c>
      <c r="B186" s="44" t="s">
        <v>4312</v>
      </c>
      <c r="C186" s="44">
        <v>181.0</v>
      </c>
      <c r="D186" s="44">
        <v>9.0</v>
      </c>
      <c r="E186" s="44" t="s">
        <v>681</v>
      </c>
      <c r="F186" s="162" t="str">
        <f>HYPERLINK("https://republika.co.id/berita/pyisq7282/mustajab-dan-pak-bupati ","sumber")</f>
        <v>sumber</v>
      </c>
      <c r="G186" s="162" t="str">
        <f>HYPERLINK("https://drive.google.com/open?id=1eIMCb_KBuUbgHKXoZWsGU8Jli8RZOBQl","lokasi")</f>
        <v>lokasi</v>
      </c>
      <c r="H186" s="44">
        <v>99.0</v>
      </c>
      <c r="I186" s="44">
        <v>2.0</v>
      </c>
      <c r="J186" s="44">
        <v>2.0</v>
      </c>
      <c r="K186" s="164" t="s">
        <v>4313</v>
      </c>
      <c r="L186" s="44">
        <v>-1.0</v>
      </c>
      <c r="M186" s="44">
        <v>0.0</v>
      </c>
      <c r="N186" s="44">
        <v>-1.0</v>
      </c>
      <c r="O186" s="44">
        <v>0.0</v>
      </c>
      <c r="P186" s="44">
        <v>0.0</v>
      </c>
      <c r="Q186" s="44">
        <v>2.0</v>
      </c>
      <c r="R186" s="44">
        <v>1.0</v>
      </c>
      <c r="S186" s="175"/>
      <c r="T186" s="44">
        <v>0.0</v>
      </c>
      <c r="U186" s="44">
        <v>0.0</v>
      </c>
      <c r="V186" s="44">
        <v>0.0</v>
      </c>
      <c r="W186" s="45"/>
      <c r="X186" s="45"/>
      <c r="Y186" s="45"/>
      <c r="Z186" s="9"/>
      <c r="AA186" s="9"/>
      <c r="AB186" s="9"/>
      <c r="AC186" s="9"/>
      <c r="AD186" s="9"/>
      <c r="AE186" s="9"/>
      <c r="AF186" s="9"/>
    </row>
    <row r="187">
      <c r="A187" s="167">
        <v>1.0</v>
      </c>
      <c r="B187" s="349" t="s">
        <v>4314</v>
      </c>
      <c r="C187" s="55">
        <v>182.0</v>
      </c>
      <c r="D187" s="55">
        <v>10.0</v>
      </c>
      <c r="E187" s="55" t="s">
        <v>681</v>
      </c>
      <c r="F187" s="171" t="str">
        <f>HYPERLINK("https://gaya.tempo.co/read/1253465/bicara-sendiri-tak-selalu-gila-ini-kata-peneliti ","sumber")</f>
        <v>sumber</v>
      </c>
      <c r="G187" s="171" t="str">
        <f>HYPERLINK("https://drive.google.com/open?id=1dzDi_G_D6EomGDWUw6Szn5113ai_TgSt","lokasi")</f>
        <v>lokasi</v>
      </c>
      <c r="H187" s="55">
        <v>276.0</v>
      </c>
      <c r="I187" s="55">
        <v>4.0</v>
      </c>
      <c r="J187" s="55">
        <v>2.0</v>
      </c>
      <c r="K187" s="172" t="s">
        <v>4315</v>
      </c>
      <c r="L187" s="55">
        <v>0.0</v>
      </c>
      <c r="M187" s="55">
        <v>0.0</v>
      </c>
      <c r="N187" s="173">
        <v>0.0</v>
      </c>
      <c r="O187" s="55">
        <v>0.0</v>
      </c>
      <c r="P187" s="55">
        <v>0.0</v>
      </c>
      <c r="Q187" s="55">
        <v>0.0</v>
      </c>
      <c r="R187" s="55">
        <v>1.0</v>
      </c>
      <c r="S187" s="174"/>
      <c r="T187" s="55">
        <v>0.0</v>
      </c>
      <c r="U187" s="55">
        <v>0.0</v>
      </c>
      <c r="V187" s="55">
        <v>1.0</v>
      </c>
      <c r="W187" s="46"/>
      <c r="X187" s="46"/>
      <c r="Y187" s="46"/>
      <c r="Z187" s="302"/>
      <c r="AA187" s="30"/>
      <c r="AB187" s="31"/>
      <c r="AC187" s="31"/>
      <c r="AD187" s="31"/>
      <c r="AE187" s="31"/>
      <c r="AF187" s="31"/>
    </row>
    <row r="188">
      <c r="A188" s="158">
        <v>1.0</v>
      </c>
      <c r="B188" s="159" t="s">
        <v>1891</v>
      </c>
      <c r="C188" s="44">
        <v>183.0</v>
      </c>
      <c r="D188" s="44">
        <v>1.0</v>
      </c>
      <c r="E188" s="268">
        <v>43586.0</v>
      </c>
      <c r="F188" s="162" t="str">
        <f>HYPERLINK("https://news.detik.com/bbc-world/d-4371707/india-akui-hak-lgbt-sejak-zaman-kuno-bukan-karena-pengaruh-barat ","sumber")</f>
        <v>sumber</v>
      </c>
      <c r="G188" s="162" t="str">
        <f>HYPERLINK("https://drive.google.com/open?id=1XAJGihcTvFdsPMOjZ1kk_Oe-0nRy1tO8","lokasi")</f>
        <v>lokasi</v>
      </c>
      <c r="H188" s="44">
        <v>901.0</v>
      </c>
      <c r="I188" s="44">
        <v>4.0</v>
      </c>
      <c r="J188" s="44">
        <v>3.0</v>
      </c>
      <c r="K188" s="164" t="s">
        <v>4316</v>
      </c>
      <c r="L188" s="44">
        <v>0.0</v>
      </c>
      <c r="M188" s="44">
        <v>0.0</v>
      </c>
      <c r="N188" s="166">
        <v>0.0</v>
      </c>
      <c r="O188" s="44">
        <v>0.0</v>
      </c>
      <c r="P188" s="44">
        <v>0.0</v>
      </c>
      <c r="Q188" s="44" t="s">
        <v>4317</v>
      </c>
      <c r="R188" s="44" t="s">
        <v>1058</v>
      </c>
      <c r="S188" s="175"/>
      <c r="T188" s="44">
        <v>0.0</v>
      </c>
      <c r="U188" s="44">
        <v>0.0</v>
      </c>
      <c r="V188" s="44">
        <v>1.0</v>
      </c>
      <c r="W188" s="45"/>
      <c r="X188" s="45"/>
      <c r="Y188" s="45"/>
      <c r="Z188" s="9"/>
      <c r="AA188" s="9"/>
      <c r="AB188" s="9"/>
      <c r="AC188" s="9"/>
      <c r="AD188" s="9"/>
      <c r="AE188" s="9"/>
      <c r="AF188" s="9"/>
    </row>
    <row r="189">
      <c r="A189" s="167">
        <v>1.0</v>
      </c>
      <c r="B189" s="349" t="s">
        <v>1905</v>
      </c>
      <c r="C189" s="55">
        <v>184.0</v>
      </c>
      <c r="D189" s="55">
        <v>4.0</v>
      </c>
      <c r="E189" s="55" t="s">
        <v>457</v>
      </c>
      <c r="F189" s="171" t="str">
        <f>HYPERLINK("https://www.liputan6.com/showbiz/read/3866036/robert-de-niro-anggap-donald-trump-bencana-bagi-negara ","sumber")</f>
        <v>sumber</v>
      </c>
      <c r="G189" s="171" t="str">
        <f>HYPERLINK("https://drive.google.com/open?id=1w-IYrly7EDBDpByB09CRkSonUE9-OpAc","lokasi")</f>
        <v>lokasi</v>
      </c>
      <c r="H189" s="55">
        <v>223.0</v>
      </c>
      <c r="I189" s="55">
        <v>1.0</v>
      </c>
      <c r="J189" s="55">
        <v>3.0</v>
      </c>
      <c r="K189" s="172" t="s">
        <v>4318</v>
      </c>
      <c r="L189" s="55">
        <v>0.0</v>
      </c>
      <c r="M189" s="55">
        <v>1.0</v>
      </c>
      <c r="N189" s="173">
        <v>0.0</v>
      </c>
      <c r="O189" s="55">
        <v>0.0</v>
      </c>
      <c r="P189" s="55">
        <v>0.0</v>
      </c>
      <c r="Q189" s="55" t="s">
        <v>53</v>
      </c>
      <c r="R189" s="55" t="s">
        <v>2230</v>
      </c>
      <c r="S189" s="174"/>
      <c r="T189" s="55">
        <v>0.0</v>
      </c>
      <c r="U189" s="55">
        <v>0.0</v>
      </c>
      <c r="V189" s="55">
        <v>0.0</v>
      </c>
      <c r="W189" s="46"/>
      <c r="X189" s="46"/>
      <c r="Y189" s="46"/>
      <c r="Z189" s="302"/>
      <c r="AA189" s="30"/>
      <c r="AB189" s="31"/>
      <c r="AC189" s="31"/>
      <c r="AD189" s="31"/>
      <c r="AE189" s="31"/>
      <c r="AF189" s="31"/>
    </row>
    <row r="190">
      <c r="A190" s="231">
        <v>1.0</v>
      </c>
      <c r="B190" s="44" t="s">
        <v>4319</v>
      </c>
      <c r="C190" s="44">
        <v>185.0</v>
      </c>
      <c r="D190" s="44">
        <v>5.0</v>
      </c>
      <c r="E190" s="268">
        <v>43709.0</v>
      </c>
      <c r="F190" s="162" t="str">
        <f>HYPERLINK("https://tirto.id/praktik-sewa-rahim-dan-dampak-psikologisnya-untuk-anak-ddNa ","sumber")</f>
        <v>sumber</v>
      </c>
      <c r="G190" s="162" t="str">
        <f>HYPERLINK("https://drive.google.com/open?id=1KGpFoK3380wOBnKidb6oP9U7OPJVlbVo","lokasi")</f>
        <v>lokasi</v>
      </c>
      <c r="H190" s="44">
        <v>493.0</v>
      </c>
      <c r="I190" s="44">
        <v>5.0</v>
      </c>
      <c r="J190" s="44">
        <v>3.0</v>
      </c>
      <c r="K190" s="164"/>
      <c r="L190" s="44">
        <v>-1.0</v>
      </c>
      <c r="M190" s="44">
        <v>0.0</v>
      </c>
      <c r="N190" s="166">
        <v>0.0</v>
      </c>
      <c r="O190" s="44">
        <v>0.0</v>
      </c>
      <c r="P190" s="44">
        <v>0.0</v>
      </c>
      <c r="Q190" s="44"/>
      <c r="R190" s="44"/>
      <c r="S190" s="175"/>
      <c r="T190" s="44">
        <v>0.0</v>
      </c>
      <c r="U190" s="44">
        <v>0.0</v>
      </c>
      <c r="V190" s="44">
        <v>1.0</v>
      </c>
      <c r="W190" s="45"/>
      <c r="X190" s="45"/>
      <c r="Y190" s="45"/>
      <c r="Z190" s="9"/>
      <c r="AA190" s="9"/>
      <c r="AB190" s="9"/>
      <c r="AC190" s="9"/>
      <c r="AD190" s="9"/>
      <c r="AE190" s="9"/>
      <c r="AF190" s="9"/>
    </row>
    <row r="191">
      <c r="A191" s="158">
        <v>1.0</v>
      </c>
      <c r="B191" s="159" t="s">
        <v>1413</v>
      </c>
      <c r="C191" s="44">
        <v>186.0</v>
      </c>
      <c r="D191" s="44">
        <v>2.0</v>
      </c>
      <c r="E191" s="268">
        <v>43739.0</v>
      </c>
      <c r="F191" s="162" t="str">
        <f>HYPERLINK("https://www.cnnindonesia.com/hiburan/20190110130206-220-359862/oscar-2019-dikabarkan-tak-pakai-pemandu-acara ","sumber")</f>
        <v>sumber</v>
      </c>
      <c r="G191" s="162" t="str">
        <f>HYPERLINK("https://drive.google.com/open?id=1W8KkrepVKHfV3CoIPjg1wlJwFUSvH7lk","lokasi")</f>
        <v>lokasi</v>
      </c>
      <c r="H191" s="44">
        <v>211.0</v>
      </c>
      <c r="I191" s="44">
        <v>4.0</v>
      </c>
      <c r="J191" s="44">
        <v>3.0</v>
      </c>
      <c r="K191" s="164"/>
      <c r="L191" s="44">
        <v>-1.0</v>
      </c>
      <c r="M191" s="44">
        <v>0.0</v>
      </c>
      <c r="N191" s="166">
        <v>0.0</v>
      </c>
      <c r="O191" s="44">
        <v>0.0</v>
      </c>
      <c r="P191" s="44">
        <v>0.0</v>
      </c>
      <c r="Q191" s="44"/>
      <c r="R191" s="44"/>
      <c r="S191" s="175"/>
      <c r="T191" s="44">
        <v>0.0</v>
      </c>
      <c r="U191" s="44">
        <v>0.0</v>
      </c>
      <c r="V191" s="44">
        <v>0.0</v>
      </c>
      <c r="W191" s="45"/>
      <c r="X191" s="45"/>
      <c r="Y191" s="45"/>
      <c r="Z191" s="9"/>
      <c r="AA191" s="9"/>
      <c r="AB191" s="9"/>
      <c r="AC191" s="9"/>
      <c r="AD191" s="9"/>
      <c r="AE191" s="9"/>
      <c r="AF191" s="9"/>
    </row>
    <row r="192">
      <c r="A192" s="158">
        <v>1.0</v>
      </c>
      <c r="B192" s="159" t="s">
        <v>4320</v>
      </c>
      <c r="C192" s="44">
        <v>187.0</v>
      </c>
      <c r="D192" s="44">
        <v>3.0</v>
      </c>
      <c r="E192" s="44" t="s">
        <v>4148</v>
      </c>
      <c r="F192" s="162" t="str">
        <f>HYPERLINK("https://lifestyle.okezone.com/read/2019/01/23/196/2008321/remaja-ini-raup-rp70-juta-sebulan-kerja-apa ","sumber")</f>
        <v>sumber</v>
      </c>
      <c r="G192" s="162" t="str">
        <f>HYPERLINK("https://drive.google.com/open?id=1ZXbbQdcR53F4u8WxY9tnwby6zfq5Sjw5","lokasi")</f>
        <v>lokasi</v>
      </c>
      <c r="H192" s="44">
        <v>507.0</v>
      </c>
      <c r="I192" s="44">
        <v>2.0</v>
      </c>
      <c r="J192" s="44">
        <v>3.0</v>
      </c>
      <c r="K192" s="164" t="s">
        <v>4321</v>
      </c>
      <c r="L192" s="44">
        <v>0.0</v>
      </c>
      <c r="M192" s="44">
        <v>0.0</v>
      </c>
      <c r="N192" s="166">
        <v>0.0</v>
      </c>
      <c r="O192" s="44">
        <v>0.0</v>
      </c>
      <c r="P192" s="44">
        <v>-1.0</v>
      </c>
      <c r="Q192" s="44">
        <v>2.0</v>
      </c>
      <c r="R192" s="44">
        <v>0.0</v>
      </c>
      <c r="S192" s="175"/>
      <c r="T192" s="44">
        <v>0.0</v>
      </c>
      <c r="U192" s="44">
        <v>0.0</v>
      </c>
      <c r="V192" s="44">
        <v>0.0</v>
      </c>
      <c r="W192" s="45"/>
      <c r="X192" s="45"/>
      <c r="Y192" s="45"/>
      <c r="Z192" s="9"/>
      <c r="AA192" s="9"/>
      <c r="AB192" s="9"/>
      <c r="AC192" s="9"/>
      <c r="AD192" s="9"/>
      <c r="AE192" s="9"/>
      <c r="AF192" s="9"/>
    </row>
    <row r="193">
      <c r="A193" s="152">
        <v>2.0</v>
      </c>
      <c r="B193" s="153" t="s">
        <v>4322</v>
      </c>
      <c r="C193" s="47">
        <v>188.0</v>
      </c>
      <c r="D193" s="47">
        <v>6.0</v>
      </c>
      <c r="E193" s="47" t="s">
        <v>87</v>
      </c>
      <c r="F193" s="156" t="str">
        <f>HYPERLINK("https://www.liputan6.com/regional/read/3871797/warga-geruduk-rumah-yang-diduga-penampung-komunitas-lgbt-di-pekanbaru ","sumber")</f>
        <v>sumber</v>
      </c>
      <c r="G193" s="156" t="str">
        <f>HYPERLINK("https://drive.google.com/open?id=1AyaFUxhyKyy_N9GmZ_bQwAwEMjgvMiSF","lokasi")</f>
        <v>lokasi</v>
      </c>
      <c r="H193" s="47">
        <v>374.0</v>
      </c>
      <c r="I193" s="48"/>
      <c r="J193" s="48"/>
      <c r="K193" s="165"/>
      <c r="L193" s="48"/>
      <c r="M193" s="48"/>
      <c r="N193" s="48"/>
      <c r="O193" s="48"/>
      <c r="P193" s="48"/>
      <c r="Q193" s="48"/>
      <c r="R193" s="48"/>
      <c r="S193" s="165"/>
      <c r="T193" s="48"/>
      <c r="U193" s="48"/>
      <c r="V193" s="48"/>
      <c r="W193" s="48"/>
      <c r="X193" s="48"/>
      <c r="Y193" s="48"/>
      <c r="Z193" s="338"/>
      <c r="AA193" s="43"/>
      <c r="AB193" s="51"/>
      <c r="AC193" s="51"/>
      <c r="AD193" s="51"/>
      <c r="AE193" s="51"/>
      <c r="AF193" s="51"/>
    </row>
    <row r="194">
      <c r="A194" s="158">
        <v>1.0</v>
      </c>
      <c r="B194" s="159" t="s">
        <v>4323</v>
      </c>
      <c r="C194" s="44">
        <v>189.0</v>
      </c>
      <c r="D194" s="44">
        <v>2.0</v>
      </c>
      <c r="E194" s="44" t="s">
        <v>466</v>
      </c>
      <c r="F194" s="162" t="str">
        <f>HYPERLINK("https://www.cnnindonesia.com/teknologi/20190129185350-185-364845/maraknya-kekerasan-terhadap-perempuan-di-dunia-maya ","sumber")</f>
        <v>sumber</v>
      </c>
      <c r="G194" s="162" t="str">
        <f>HYPERLINK("https://drive.google.com/open?id=1KXdEnOTJEFHE5Z8hV5eB-uLzhO-RvvFA","lokasi")</f>
        <v>lokasi</v>
      </c>
      <c r="H194" s="44">
        <v>375.0</v>
      </c>
      <c r="I194" s="44">
        <v>4.0</v>
      </c>
      <c r="J194" s="44">
        <v>1.0</v>
      </c>
      <c r="K194" s="164" t="s">
        <v>4324</v>
      </c>
      <c r="L194" s="44">
        <v>0.0</v>
      </c>
      <c r="M194" s="44">
        <v>0.0</v>
      </c>
      <c r="N194" s="166">
        <v>0.0</v>
      </c>
      <c r="O194" s="44">
        <v>0.0</v>
      </c>
      <c r="P194" s="44">
        <v>0.0</v>
      </c>
      <c r="Q194" s="44">
        <v>0.0</v>
      </c>
      <c r="R194" s="44">
        <v>1.0</v>
      </c>
      <c r="S194" s="175"/>
      <c r="T194" s="44">
        <v>0.0</v>
      </c>
      <c r="U194" s="44">
        <v>0.0</v>
      </c>
      <c r="V194" s="44">
        <v>1.0</v>
      </c>
      <c r="W194" s="45"/>
      <c r="X194" s="45"/>
      <c r="Y194" s="45"/>
      <c r="Z194" s="9"/>
      <c r="AA194" s="9"/>
      <c r="AB194" s="9"/>
      <c r="AC194" s="9"/>
      <c r="AD194" s="9"/>
      <c r="AE194" s="9"/>
      <c r="AF194" s="9"/>
    </row>
    <row r="195">
      <c r="A195" s="158">
        <v>1.0</v>
      </c>
      <c r="B195" s="159" t="s">
        <v>4325</v>
      </c>
      <c r="C195" s="44">
        <v>190.0</v>
      </c>
      <c r="D195" s="44">
        <v>10.0</v>
      </c>
      <c r="E195" s="44" t="s">
        <v>466</v>
      </c>
      <c r="F195" s="162" t="str">
        <f>HYPERLINK("https://dunia.tempo.co/read/1170376/pasangan-gay-bocorkan-data-14-200-penderita-hivaids-singapura ","sumber")</f>
        <v>sumber</v>
      </c>
      <c r="G195" s="162" t="str">
        <f>HYPERLINK("https://drive.google.com/open?id=1vw1SRcDN3lDH7dDs9_hqJudXJKOg3MmJ","lokasi")</f>
        <v>lokasi</v>
      </c>
      <c r="H195" s="44">
        <v>429.0</v>
      </c>
      <c r="I195" s="44">
        <v>1.0</v>
      </c>
      <c r="J195" s="44">
        <v>3.0</v>
      </c>
      <c r="K195" s="164"/>
      <c r="L195" s="44">
        <v>0.0</v>
      </c>
      <c r="M195" s="44">
        <v>-1.0</v>
      </c>
      <c r="N195" s="44">
        <v>-1.0</v>
      </c>
      <c r="O195" s="44">
        <v>0.0</v>
      </c>
      <c r="P195" s="44">
        <v>-1.0</v>
      </c>
      <c r="Q195" s="44"/>
      <c r="R195" s="44"/>
      <c r="S195" s="175"/>
      <c r="T195" s="44">
        <v>0.0</v>
      </c>
      <c r="U195" s="44">
        <v>-1.0</v>
      </c>
      <c r="V195" s="44">
        <v>0.0</v>
      </c>
      <c r="W195" s="45"/>
      <c r="X195" s="45"/>
      <c r="Y195" s="45"/>
      <c r="Z195" s="9"/>
      <c r="AA195" s="9"/>
      <c r="AB195" s="9"/>
      <c r="AC195" s="9"/>
      <c r="AD195" s="9"/>
      <c r="AE195" s="9"/>
      <c r="AF195" s="9"/>
    </row>
    <row r="196">
      <c r="A196" s="158">
        <v>1.0</v>
      </c>
      <c r="B196" s="159" t="s">
        <v>4326</v>
      </c>
      <c r="C196" s="44">
        <v>191.0</v>
      </c>
      <c r="D196" s="44">
        <v>1.0</v>
      </c>
      <c r="E196" s="268">
        <v>43498.0</v>
      </c>
      <c r="F196" s="162" t="str">
        <f>HYPERLINK("https://news.detik.com/berita/d-4411518/komnas-perempuan-ruu-penghapusan-kekerasan-seksual-penting-demi-keadilan ","sumber")</f>
        <v>sumber</v>
      </c>
      <c r="G196" s="162" t="str">
        <f>HYPERLINK("https://drive.google.com/open?id=1KiPmQqI3o0gtFG2-tTc_D-jJOTTuRB_i","lokasi")</f>
        <v>lokasi</v>
      </c>
      <c r="H196" s="44">
        <v>453.0</v>
      </c>
      <c r="I196" s="44">
        <v>4.0</v>
      </c>
      <c r="J196" s="44">
        <v>1.0</v>
      </c>
      <c r="K196" s="164" t="s">
        <v>4327</v>
      </c>
      <c r="L196" s="44">
        <v>0.0</v>
      </c>
      <c r="M196" s="44">
        <v>0.0</v>
      </c>
      <c r="N196" s="166">
        <v>0.0</v>
      </c>
      <c r="O196" s="44">
        <v>0.0</v>
      </c>
      <c r="P196" s="44">
        <v>0.0</v>
      </c>
      <c r="Q196" s="44" t="s">
        <v>100</v>
      </c>
      <c r="R196" s="44" t="s">
        <v>780</v>
      </c>
      <c r="S196" s="175"/>
      <c r="T196" s="44">
        <v>0.0</v>
      </c>
      <c r="U196" s="44">
        <v>0.0</v>
      </c>
      <c r="V196" s="44">
        <v>1.0</v>
      </c>
      <c r="W196" s="45"/>
      <c r="X196" s="45"/>
      <c r="Y196" s="45"/>
      <c r="Z196" s="9"/>
      <c r="AA196" s="9"/>
      <c r="AB196" s="9"/>
      <c r="AC196" s="9"/>
      <c r="AD196" s="9"/>
      <c r="AE196" s="9"/>
      <c r="AF196" s="9"/>
    </row>
    <row r="197">
      <c r="A197" s="158">
        <v>1.0</v>
      </c>
      <c r="B197" s="159" t="s">
        <v>4328</v>
      </c>
      <c r="C197" s="44">
        <v>192.0</v>
      </c>
      <c r="D197" s="44">
        <v>8.0</v>
      </c>
      <c r="E197" s="268">
        <v>43498.0</v>
      </c>
      <c r="F197" s="162" t="str">
        <f>HYPERLINK("https://www.suara.com/lifestyle/2019/02/02/113500/gagal-kencan-evie-kapak-kepala-orang-di-minimarket ","sumber")</f>
        <v>sumber</v>
      </c>
      <c r="G197" s="162" t="str">
        <f>HYPERLINK("https://drive.google.com/open?id=1womEy8pUKKyDV01drn2mR2htjF2Cu818","lokasi")</f>
        <v>lokasi</v>
      </c>
      <c r="H197" s="44">
        <v>296.0</v>
      </c>
      <c r="I197" s="44">
        <v>1.0</v>
      </c>
      <c r="J197" s="44">
        <v>3.0</v>
      </c>
      <c r="K197" s="164"/>
      <c r="L197" s="44">
        <v>-1.0</v>
      </c>
      <c r="M197" s="44">
        <v>-1.0</v>
      </c>
      <c r="N197" s="44">
        <v>-1.0</v>
      </c>
      <c r="O197" s="44">
        <v>0.0</v>
      </c>
      <c r="P197" s="44">
        <v>0.0</v>
      </c>
      <c r="Q197" s="44"/>
      <c r="R197" s="44"/>
      <c r="S197" s="175"/>
      <c r="T197" s="44">
        <v>0.0</v>
      </c>
      <c r="U197" s="44">
        <v>-1.0</v>
      </c>
      <c r="V197" s="44">
        <v>0.0</v>
      </c>
      <c r="W197" s="45"/>
      <c r="X197" s="45"/>
      <c r="Y197" s="45"/>
      <c r="Z197" s="9"/>
      <c r="AA197" s="9"/>
      <c r="AB197" s="9"/>
      <c r="AC197" s="9"/>
      <c r="AD197" s="9"/>
      <c r="AE197" s="9"/>
      <c r="AF197" s="9"/>
    </row>
    <row r="198">
      <c r="A198" s="167">
        <v>1.0</v>
      </c>
      <c r="B198" s="349" t="s">
        <v>4329</v>
      </c>
      <c r="C198" s="55">
        <v>193.0</v>
      </c>
      <c r="D198" s="55">
        <v>2.0</v>
      </c>
      <c r="E198" s="344">
        <v>43771.0</v>
      </c>
      <c r="F198" s="171" t="str">
        <f>HYPERLINK("https://www.cnnindonesia.com/nasional/20190211155105-20-368239/rudiantara-ancam-tutup-instagram-soal-komik-muslim-gay ","sumber")</f>
        <v>sumber</v>
      </c>
      <c r="G198" s="171" t="str">
        <f>HYPERLINK("https://drive.google.com/open?id=1mfW-ctBV__2SZvdDRqdMstc95Tv4ldbd","lokasi")</f>
        <v>lokasi</v>
      </c>
      <c r="H198" s="55">
        <v>267.0</v>
      </c>
      <c r="I198" s="55">
        <v>1.0</v>
      </c>
      <c r="J198" s="55">
        <v>3.0</v>
      </c>
      <c r="K198" s="172" t="s">
        <v>4330</v>
      </c>
      <c r="L198" s="55">
        <v>0.0</v>
      </c>
      <c r="M198" s="55">
        <v>-1.0</v>
      </c>
      <c r="N198" s="173">
        <v>0.0</v>
      </c>
      <c r="O198" s="55">
        <v>0.0</v>
      </c>
      <c r="P198" s="55">
        <v>0.0</v>
      </c>
      <c r="Q198" s="55">
        <v>0.0</v>
      </c>
      <c r="R198" s="55">
        <v>-1.0</v>
      </c>
      <c r="S198" s="174"/>
      <c r="T198" s="55">
        <v>0.0</v>
      </c>
      <c r="U198" s="55">
        <v>0.0</v>
      </c>
      <c r="V198" s="55">
        <v>1.0</v>
      </c>
      <c r="W198" s="46"/>
      <c r="X198" s="46"/>
      <c r="Y198" s="46"/>
      <c r="Z198" s="302"/>
      <c r="AA198" s="30"/>
      <c r="AB198" s="31"/>
      <c r="AC198" s="31"/>
      <c r="AD198" s="31"/>
      <c r="AE198" s="31"/>
      <c r="AF198" s="31"/>
    </row>
    <row r="199">
      <c r="A199" s="158">
        <v>1.0</v>
      </c>
      <c r="B199" s="159" t="s">
        <v>4331</v>
      </c>
      <c r="C199" s="44">
        <v>194.0</v>
      </c>
      <c r="D199" s="44">
        <v>4.0</v>
      </c>
      <c r="E199" s="268">
        <v>43648.0</v>
      </c>
      <c r="F199" s="162" t="str">
        <f>HYPERLINK("https://www.liputan6.com/showbiz/read/3889688/polisi-ungkap-identitas-asli-reva-alexa ","sumber")</f>
        <v>sumber</v>
      </c>
      <c r="G199" s="162" t="str">
        <f>HYPERLINK("https://drive.google.com/open?id=1gCxregkeMXyDXi9fw9VZtD4Zv3sFzanj","lokasi")</f>
        <v>lokasi</v>
      </c>
      <c r="H199" s="44">
        <v>175.0</v>
      </c>
      <c r="I199" s="44">
        <v>1.0</v>
      </c>
      <c r="J199" s="44">
        <v>3.0</v>
      </c>
      <c r="K199" s="164" t="s">
        <v>4332</v>
      </c>
      <c r="L199" s="44">
        <v>0.0</v>
      </c>
      <c r="M199" s="44">
        <v>-1.0</v>
      </c>
      <c r="N199" s="44">
        <v>-1.0</v>
      </c>
      <c r="O199" s="44">
        <v>0.0</v>
      </c>
      <c r="P199" s="44">
        <v>0.0</v>
      </c>
      <c r="Q199" s="44">
        <v>0.0</v>
      </c>
      <c r="R199" s="44">
        <v>-1.0</v>
      </c>
      <c r="S199" s="164" t="s">
        <v>4333</v>
      </c>
      <c r="T199" s="44">
        <v>1.0</v>
      </c>
      <c r="U199" s="44">
        <v>0.0</v>
      </c>
      <c r="V199" s="44">
        <v>0.0</v>
      </c>
      <c r="W199" s="45"/>
      <c r="X199" s="45"/>
      <c r="Y199" s="45"/>
      <c r="Z199" s="9"/>
      <c r="AA199" s="9"/>
      <c r="AB199" s="9"/>
      <c r="AC199" s="9"/>
      <c r="AD199" s="9"/>
      <c r="AE199" s="9"/>
      <c r="AF199" s="9"/>
    </row>
    <row r="200">
      <c r="A200" s="158">
        <v>1.0</v>
      </c>
      <c r="B200" s="159" t="s">
        <v>3329</v>
      </c>
      <c r="C200" s="44">
        <v>195.0</v>
      </c>
      <c r="D200" s="44">
        <v>4.0</v>
      </c>
      <c r="E200" s="268">
        <v>43740.0</v>
      </c>
      <c r="F200" s="162" t="str">
        <f>HYPERLINK("https://www.liputan6.com/global/read/3891328/ditekan-arab-saudi-2-muslimah-anggota-kongres-as-semakin-garang ","sumber")</f>
        <v>sumber</v>
      </c>
      <c r="G200" s="162" t="str">
        <f>HYPERLINK("https://drive.google.com/open?id=1oV2xfnv0_Zd5o2y5JHafYIN1cm__UHYW","lokasi")</f>
        <v>lokasi</v>
      </c>
      <c r="H200" s="44">
        <v>408.0</v>
      </c>
      <c r="I200" s="44">
        <v>1.0</v>
      </c>
      <c r="J200" s="44">
        <v>1.0</v>
      </c>
      <c r="K200" s="164" t="s">
        <v>4334</v>
      </c>
      <c r="L200" s="44">
        <v>-1.0</v>
      </c>
      <c r="M200" s="44">
        <v>-1.0</v>
      </c>
      <c r="N200" s="166">
        <v>0.0</v>
      </c>
      <c r="O200" s="44">
        <v>1.0</v>
      </c>
      <c r="P200" s="44">
        <v>0.0</v>
      </c>
      <c r="Q200" s="44">
        <v>0.0</v>
      </c>
      <c r="R200" s="44">
        <v>1.0</v>
      </c>
      <c r="S200" s="175"/>
      <c r="T200" s="44">
        <v>0.0</v>
      </c>
      <c r="U200" s="44">
        <v>-1.0</v>
      </c>
      <c r="V200" s="44">
        <v>1.0</v>
      </c>
      <c r="W200" s="45"/>
      <c r="X200" s="45"/>
      <c r="Y200" s="45"/>
      <c r="Z200" s="9"/>
      <c r="AA200" s="9"/>
      <c r="AB200" s="9"/>
      <c r="AC200" s="9"/>
      <c r="AD200" s="9"/>
      <c r="AE200" s="9"/>
      <c r="AF200" s="9"/>
    </row>
    <row r="201">
      <c r="A201" s="167">
        <v>1.0</v>
      </c>
      <c r="B201" s="349" t="s">
        <v>4335</v>
      </c>
      <c r="C201" s="55">
        <v>196.0</v>
      </c>
      <c r="D201" s="55">
        <v>6.0</v>
      </c>
      <c r="E201" s="55" t="s">
        <v>476</v>
      </c>
      <c r="F201" s="171" t="str">
        <f>HYPERLINK("https://regional.kompas.com/read/2019/02/19/17511981/barang-waria-korban-pembunuhan-di-palembang-hilang ","sumber")</f>
        <v>sumber</v>
      </c>
      <c r="G201" s="171" t="str">
        <f>HYPERLINK("https://drive.google.com/open?id=1jbTZp09BuMqefOf-V7UTNlWxERTejQqq","lokasi")</f>
        <v>lokasi</v>
      </c>
      <c r="H201" s="55">
        <v>227.0</v>
      </c>
      <c r="I201" s="55">
        <v>1.0</v>
      </c>
      <c r="J201" s="55">
        <v>3.0</v>
      </c>
      <c r="K201" s="172" t="s">
        <v>4336</v>
      </c>
      <c r="L201" s="55">
        <v>0.0</v>
      </c>
      <c r="M201" s="55">
        <v>1.0</v>
      </c>
      <c r="N201" s="173">
        <v>0.0</v>
      </c>
      <c r="O201" s="55">
        <v>0.0</v>
      </c>
      <c r="P201" s="55">
        <v>0.0</v>
      </c>
      <c r="Q201" s="55" t="s">
        <v>61</v>
      </c>
      <c r="R201" s="55" t="s">
        <v>100</v>
      </c>
      <c r="S201" s="174"/>
      <c r="T201" s="55">
        <v>0.0</v>
      </c>
      <c r="U201" s="55">
        <v>0.0</v>
      </c>
      <c r="V201" s="55">
        <v>0.0</v>
      </c>
      <c r="W201" s="46"/>
      <c r="X201" s="46"/>
      <c r="Y201" s="46"/>
      <c r="Z201" s="302"/>
      <c r="AA201" s="30"/>
      <c r="AB201" s="31"/>
      <c r="AC201" s="31"/>
      <c r="AD201" s="31"/>
      <c r="AE201" s="31"/>
      <c r="AF201" s="31"/>
    </row>
    <row r="202">
      <c r="A202" s="152">
        <v>2.0</v>
      </c>
      <c r="B202" s="153" t="s">
        <v>4337</v>
      </c>
      <c r="C202" s="47">
        <v>197.0</v>
      </c>
      <c r="D202" s="47">
        <v>8.0</v>
      </c>
      <c r="E202" s="280">
        <v>43468.0</v>
      </c>
      <c r="F202" s="156" t="str">
        <f>HYPERLINK("https://www.suara.com/news/2019/03/01/070000/maruf-amin-isunya-cipika-cipiki-dengan-perempuan-lain-ini-reaksi-istri ","sumber")</f>
        <v>sumber</v>
      </c>
      <c r="G202" s="156" t="str">
        <f>HYPERLINK("https://drive.google.com/open?id=1u6sKVikdVMuR_7hpk9DnVq4fuwqzX9Ff","lokasi")</f>
        <v>lokasi</v>
      </c>
      <c r="H202" s="47">
        <v>274.0</v>
      </c>
      <c r="I202" s="48"/>
      <c r="J202" s="48"/>
      <c r="K202" s="165"/>
      <c r="L202" s="48"/>
      <c r="M202" s="48"/>
      <c r="N202" s="48"/>
      <c r="O202" s="48"/>
      <c r="P202" s="48"/>
      <c r="Q202" s="48"/>
      <c r="R202" s="48"/>
      <c r="S202" s="165"/>
      <c r="T202" s="48"/>
      <c r="U202" s="48"/>
      <c r="V202" s="48"/>
      <c r="W202" s="48"/>
      <c r="X202" s="48"/>
      <c r="Y202" s="48"/>
      <c r="Z202" s="338"/>
      <c r="AA202" s="43"/>
      <c r="AB202" s="51"/>
      <c r="AC202" s="51"/>
      <c r="AD202" s="51"/>
      <c r="AE202" s="51"/>
      <c r="AF202" s="51"/>
    </row>
    <row r="203">
      <c r="A203" s="158">
        <v>1.0</v>
      </c>
      <c r="B203" s="159" t="s">
        <v>4338</v>
      </c>
      <c r="C203" s="44">
        <v>198.0</v>
      </c>
      <c r="D203" s="44">
        <v>10.0</v>
      </c>
      <c r="E203" s="268">
        <v>43680.0</v>
      </c>
      <c r="F203" s="162" t="str">
        <f>HYPERLINK("https://nasional.tempo.co/read/1183268/soal-isu-lgbt-dan-larangan-azan-jokowi-logikanya-tidak-masuk ","sumber")</f>
        <v>sumber</v>
      </c>
      <c r="G203" s="162" t="str">
        <f>HYPERLINK("https://drive.google.com/open?id=1dys1eBrKbN_YjD1-ad4EaqIYC-ZBfICq","lokasi")</f>
        <v>lokasi</v>
      </c>
      <c r="H203" s="44">
        <v>312.0</v>
      </c>
      <c r="I203" s="44">
        <v>4.0</v>
      </c>
      <c r="J203" s="44">
        <v>3.0</v>
      </c>
      <c r="K203" s="164" t="s">
        <v>4339</v>
      </c>
      <c r="L203" s="44">
        <v>0.0</v>
      </c>
      <c r="M203" s="44">
        <v>0.0</v>
      </c>
      <c r="N203" s="166">
        <v>0.0</v>
      </c>
      <c r="O203" s="44">
        <v>0.0</v>
      </c>
      <c r="P203" s="44">
        <v>0.0</v>
      </c>
      <c r="Q203" s="44">
        <v>0.0</v>
      </c>
      <c r="R203" s="44">
        <v>-1.0</v>
      </c>
      <c r="S203" s="175"/>
      <c r="T203" s="44">
        <v>0.0</v>
      </c>
      <c r="U203" s="44">
        <v>0.0</v>
      </c>
      <c r="V203" s="44">
        <v>1.0</v>
      </c>
      <c r="W203" s="45"/>
      <c r="X203" s="45"/>
      <c r="Y203" s="45"/>
      <c r="Z203" s="9"/>
      <c r="AA203" s="9"/>
      <c r="AB203" s="9"/>
      <c r="AC203" s="9"/>
      <c r="AD203" s="9"/>
      <c r="AE203" s="9"/>
      <c r="AF203" s="9"/>
    </row>
    <row r="204">
      <c r="A204" s="158">
        <v>1.0</v>
      </c>
      <c r="B204" s="159" t="s">
        <v>4340</v>
      </c>
      <c r="C204" s="44">
        <v>199.0</v>
      </c>
      <c r="D204" s="44">
        <v>6.0</v>
      </c>
      <c r="E204" s="268">
        <v>43741.0</v>
      </c>
      <c r="F204" s="162" t="str">
        <f>HYPERLINK("https://nasional.kompas.com/read/2019/03/10/13353571/tkn-sudah-keterlaluan-kampanye-hitam-yang-diskreditkan-jokowi-maruf ","sumber")</f>
        <v>sumber</v>
      </c>
      <c r="G204" s="162" t="str">
        <f>HYPERLINK("https://drive.google.com/open?id=1w1xKo2Dln5_IQuhtdpUxkalCufjLY2E6","lokasi")</f>
        <v>lokasi</v>
      </c>
      <c r="H204" s="44">
        <v>228.0</v>
      </c>
      <c r="I204" s="44">
        <v>1.0</v>
      </c>
      <c r="J204" s="44">
        <v>3.0</v>
      </c>
      <c r="K204" s="164" t="s">
        <v>4341</v>
      </c>
      <c r="L204" s="44">
        <v>0.0</v>
      </c>
      <c r="M204" s="44">
        <v>-1.0</v>
      </c>
      <c r="N204" s="166">
        <v>0.0</v>
      </c>
      <c r="O204" s="44">
        <v>0.0</v>
      </c>
      <c r="P204" s="44">
        <v>0.0</v>
      </c>
      <c r="Q204" s="44">
        <v>0.0</v>
      </c>
      <c r="R204" s="44">
        <v>-1.0</v>
      </c>
      <c r="S204" s="175"/>
      <c r="T204" s="44">
        <v>0.0</v>
      </c>
      <c r="U204" s="44">
        <v>0.0</v>
      </c>
      <c r="V204" s="44">
        <v>0.0</v>
      </c>
      <c r="W204" s="45"/>
      <c r="X204" s="45"/>
      <c r="Y204" s="45"/>
      <c r="Z204" s="9"/>
      <c r="AA204" s="9"/>
      <c r="AB204" s="9"/>
      <c r="AC204" s="9"/>
      <c r="AD204" s="9"/>
      <c r="AE204" s="9"/>
      <c r="AF204" s="9"/>
    </row>
    <row r="205">
      <c r="A205" s="158">
        <v>1.0</v>
      </c>
      <c r="B205" s="159" t="s">
        <v>4342</v>
      </c>
      <c r="C205" s="44">
        <v>200.0</v>
      </c>
      <c r="D205" s="44">
        <v>6.0</v>
      </c>
      <c r="E205" s="268">
        <v>43802.0</v>
      </c>
      <c r="F205" s="162" t="str">
        <f>HYPERLINK("https://internasional.kompas.com/read/2019/03/12/07280541/bela-minoritas-arab-israel-wonder-woman-berseteru-dengan-pm-netanyahu ","sumber")</f>
        <v>sumber</v>
      </c>
      <c r="G205" s="162" t="str">
        <f>HYPERLINK("https://drive.google.com/open?id=1lr7F_unz6wgj1jtjrAu5iB2onyDBEnh8","lokasi")</f>
        <v>lokasi</v>
      </c>
      <c r="H205" s="44">
        <v>275.0</v>
      </c>
      <c r="I205" s="44">
        <v>1.0</v>
      </c>
      <c r="J205" s="44">
        <v>3.0</v>
      </c>
      <c r="K205" s="164" t="s">
        <v>4343</v>
      </c>
      <c r="L205" s="44">
        <v>-1.0</v>
      </c>
      <c r="M205" s="44">
        <v>1.0</v>
      </c>
      <c r="N205" s="166">
        <v>0.0</v>
      </c>
      <c r="O205" s="44">
        <v>0.0</v>
      </c>
      <c r="P205" s="44">
        <v>0.0</v>
      </c>
      <c r="Q205" s="44" t="s">
        <v>53</v>
      </c>
      <c r="R205" s="44" t="s">
        <v>2230</v>
      </c>
      <c r="S205" s="175"/>
      <c r="T205" s="44">
        <v>0.0</v>
      </c>
      <c r="U205" s="44">
        <v>0.0</v>
      </c>
      <c r="V205" s="44">
        <v>1.0</v>
      </c>
      <c r="W205" s="45"/>
      <c r="X205" s="45"/>
      <c r="Y205" s="45"/>
      <c r="Z205" s="9"/>
      <c r="AA205" s="9"/>
      <c r="AB205" s="9"/>
      <c r="AC205" s="9"/>
      <c r="AD205" s="9"/>
      <c r="AE205" s="9"/>
      <c r="AF205" s="9"/>
    </row>
    <row r="206">
      <c r="A206" s="158">
        <v>1.0</v>
      </c>
      <c r="B206" s="159" t="s">
        <v>4344</v>
      </c>
      <c r="C206" s="44">
        <v>201.0</v>
      </c>
      <c r="D206" s="44">
        <v>10.0</v>
      </c>
      <c r="E206" s="44" t="s">
        <v>153</v>
      </c>
      <c r="F206" s="162" t="str">
        <f>HYPERLINK("https://dunia.tempo.co/read/1184576/aktris-gal-gadot-versus-netanyahu-soal-arab-israel-ada-apa ","sumber")</f>
        <v>sumber</v>
      </c>
      <c r="G206" s="162" t="str">
        <f>HYPERLINK("https://drive.google.com/open?id=12NWa37kVmU55SwkSHNgdtIWE4ywEzW0i","lokasi")</f>
        <v>lokasi</v>
      </c>
      <c r="H206" s="44">
        <v>586.0</v>
      </c>
      <c r="I206" s="44">
        <v>1.0</v>
      </c>
      <c r="J206" s="44">
        <v>3.0</v>
      </c>
      <c r="K206" s="164" t="s">
        <v>4345</v>
      </c>
      <c r="L206" s="44">
        <v>0.0</v>
      </c>
      <c r="M206" s="44">
        <v>1.0</v>
      </c>
      <c r="N206" s="166">
        <v>0.0</v>
      </c>
      <c r="O206" s="44">
        <v>0.0</v>
      </c>
      <c r="P206" s="44">
        <v>0.0</v>
      </c>
      <c r="Q206" s="44" t="s">
        <v>202</v>
      </c>
      <c r="R206" s="44" t="s">
        <v>4346</v>
      </c>
      <c r="S206" s="175"/>
      <c r="T206" s="44">
        <v>0.0</v>
      </c>
      <c r="U206" s="44">
        <v>0.0</v>
      </c>
      <c r="V206" s="44">
        <v>1.0</v>
      </c>
      <c r="W206" s="45"/>
      <c r="X206" s="45"/>
      <c r="Y206" s="45"/>
      <c r="Z206" s="9"/>
      <c r="AA206" s="9"/>
      <c r="AB206" s="9"/>
      <c r="AC206" s="9"/>
      <c r="AD206" s="9"/>
      <c r="AE206" s="9"/>
      <c r="AF206" s="9"/>
    </row>
    <row r="207">
      <c r="A207" s="158">
        <v>1.0</v>
      </c>
      <c r="B207" s="159" t="s">
        <v>2358</v>
      </c>
      <c r="C207" s="44">
        <v>202.0</v>
      </c>
      <c r="D207" s="44">
        <v>10.0</v>
      </c>
      <c r="E207" s="44" t="s">
        <v>506</v>
      </c>
      <c r="F207" s="162" t="str">
        <f>HYPERLINK("https://nasional.tempo.co/read/1189090/buntut-cerpen-berbau-lgbt-rektorat-bubarkan-redaksi-suara-usu ","sumber")</f>
        <v>sumber</v>
      </c>
      <c r="G207" s="162" t="str">
        <f>HYPERLINK("https://drive.google.com/open?id=1lihZNximaj4d4HsUdGPxFGTPP3FFj9Fx","lokasi")</f>
        <v>lokasi</v>
      </c>
      <c r="H207" s="44">
        <v>98.0</v>
      </c>
      <c r="I207" s="44">
        <v>1.0</v>
      </c>
      <c r="J207" s="44">
        <v>3.0</v>
      </c>
      <c r="K207" s="164" t="s">
        <v>4347</v>
      </c>
      <c r="L207" s="44">
        <v>0.0</v>
      </c>
      <c r="M207" s="44">
        <v>1.0</v>
      </c>
      <c r="N207" s="166">
        <v>0.0</v>
      </c>
      <c r="O207" s="44">
        <v>0.0</v>
      </c>
      <c r="P207" s="44">
        <v>0.0</v>
      </c>
      <c r="Q207" s="44" t="s">
        <v>61</v>
      </c>
      <c r="R207" s="44" t="s">
        <v>62</v>
      </c>
      <c r="S207" s="175"/>
      <c r="T207" s="44">
        <v>0.0</v>
      </c>
      <c r="U207" s="44">
        <v>0.0</v>
      </c>
      <c r="V207" s="44">
        <v>1.0</v>
      </c>
      <c r="W207" s="45"/>
      <c r="X207" s="45"/>
      <c r="Y207" s="45"/>
      <c r="Z207" s="9"/>
      <c r="AA207" s="9"/>
      <c r="AB207" s="9"/>
      <c r="AC207" s="9"/>
      <c r="AD207" s="9"/>
      <c r="AE207" s="9"/>
      <c r="AF207" s="9"/>
    </row>
    <row r="208">
      <c r="A208" s="158">
        <v>1.0</v>
      </c>
      <c r="B208" s="159" t="s">
        <v>4348</v>
      </c>
      <c r="C208" s="44">
        <v>203.0</v>
      </c>
      <c r="D208" s="44">
        <v>5.0</v>
      </c>
      <c r="E208" s="44" t="s">
        <v>506</v>
      </c>
      <c r="F208" s="162" t="str">
        <f>HYPERLINK("https://tirto.id/paramount-minta-adegan-gay-di-film-elton-john-rocketman-dihapus-dkdw ","sumber")</f>
        <v>sumber</v>
      </c>
      <c r="G208" s="162" t="str">
        <f>HYPERLINK("https://drive.google.com/open?id=1JiRv8cnSfE12SaCbst9hOTN2gHEKAd5y","lokasi")</f>
        <v>lokasi</v>
      </c>
      <c r="H208" s="44">
        <v>419.0</v>
      </c>
      <c r="I208" s="44">
        <v>5.0</v>
      </c>
      <c r="J208" s="44">
        <v>3.0</v>
      </c>
      <c r="K208" s="164" t="s">
        <v>4349</v>
      </c>
      <c r="L208" s="44">
        <v>-1.0</v>
      </c>
      <c r="M208" s="44">
        <v>0.0</v>
      </c>
      <c r="N208" s="166">
        <v>0.0</v>
      </c>
      <c r="O208" s="44">
        <v>0.0</v>
      </c>
      <c r="P208" s="44">
        <v>0.0</v>
      </c>
      <c r="Q208" s="228" t="s">
        <v>53</v>
      </c>
      <c r="R208" s="44" t="s">
        <v>242</v>
      </c>
      <c r="S208" s="175"/>
      <c r="T208" s="44">
        <v>0.0</v>
      </c>
      <c r="U208" s="44">
        <v>0.0</v>
      </c>
      <c r="V208" s="44">
        <v>0.0</v>
      </c>
      <c r="W208" s="45"/>
      <c r="X208" s="45"/>
      <c r="Y208" s="45"/>
      <c r="Z208" s="9"/>
      <c r="AA208" s="9"/>
      <c r="AB208" s="9"/>
      <c r="AC208" s="9"/>
      <c r="AD208" s="9"/>
      <c r="AE208" s="9"/>
      <c r="AF208" s="9"/>
    </row>
    <row r="209">
      <c r="A209" s="158">
        <v>1.0</v>
      </c>
      <c r="B209" s="159" t="s">
        <v>4350</v>
      </c>
      <c r="C209" s="44">
        <v>204.0</v>
      </c>
      <c r="D209" s="44">
        <v>4.0</v>
      </c>
      <c r="E209" s="44" t="s">
        <v>159</v>
      </c>
      <c r="F209" s="162" t="str">
        <f>HYPERLINK("https://www.liputan6.com/showbiz/read/3925811/sahabat-ungkap-kehebohan-aktivitas-mesra-lucinta-luna-dan-suami ","sumber")</f>
        <v>sumber</v>
      </c>
      <c r="G209" s="162" t="str">
        <f>HYPERLINK("https://drive.google.com/open?id=1U1SGnKAKHP6SSY23ttMDYksltVmTWt_i","lokasi")</f>
        <v>lokasi</v>
      </c>
      <c r="H209" s="44">
        <v>194.0</v>
      </c>
      <c r="I209" s="44">
        <v>2.0</v>
      </c>
      <c r="J209" s="44">
        <v>3.0</v>
      </c>
      <c r="K209" s="164" t="s">
        <v>4351</v>
      </c>
      <c r="L209" s="44">
        <v>0.0</v>
      </c>
      <c r="M209" s="44">
        <v>0.0</v>
      </c>
      <c r="N209" s="44">
        <v>-1.0</v>
      </c>
      <c r="O209" s="44">
        <v>0.0</v>
      </c>
      <c r="P209" s="44">
        <v>0.0</v>
      </c>
      <c r="Q209" s="44" t="s">
        <v>61</v>
      </c>
      <c r="R209" s="44" t="s">
        <v>61</v>
      </c>
      <c r="S209" s="164" t="s">
        <v>4352</v>
      </c>
      <c r="T209" s="44">
        <v>1.0</v>
      </c>
      <c r="U209" s="44">
        <v>-1.0</v>
      </c>
      <c r="V209" s="44">
        <v>0.0</v>
      </c>
      <c r="W209" s="45"/>
      <c r="X209" s="45"/>
      <c r="Y209" s="45"/>
      <c r="Z209" s="9"/>
      <c r="AA209" s="9"/>
      <c r="AB209" s="9"/>
      <c r="AC209" s="9"/>
      <c r="AD209" s="9"/>
      <c r="AE209" s="9"/>
      <c r="AF209" s="9"/>
    </row>
    <row r="210">
      <c r="A210" s="158">
        <v>1.0</v>
      </c>
      <c r="B210" s="159" t="s">
        <v>4353</v>
      </c>
      <c r="C210" s="44">
        <v>205.0</v>
      </c>
      <c r="D210" s="44">
        <v>7.0</v>
      </c>
      <c r="E210" s="44" t="s">
        <v>159</v>
      </c>
      <c r="F210" s="162" t="str">
        <f>HYPERLINK("http://www.tribunnews.com/seleb/2019/03/26/video-perjuangan-lucinta-luna-bentuk-body-seksi-demi-suami ","sumber")</f>
        <v>sumber</v>
      </c>
      <c r="G210" s="162" t="str">
        <f>HYPERLINK("https://drive.google.com/open?id=1n8sCDtAU2aodqSMg1jsGmco3aaVktOEb","lokasi")</f>
        <v>lokasi</v>
      </c>
      <c r="H210" s="44">
        <v>133.0</v>
      </c>
      <c r="I210" s="44">
        <v>2.0</v>
      </c>
      <c r="J210" s="44">
        <v>3.0</v>
      </c>
      <c r="K210" s="164" t="s">
        <v>4354</v>
      </c>
      <c r="L210" s="44">
        <v>-1.0</v>
      </c>
      <c r="M210" s="44">
        <v>0.0</v>
      </c>
      <c r="N210" s="44">
        <v>-1.0</v>
      </c>
      <c r="O210" s="44">
        <v>0.0</v>
      </c>
      <c r="P210" s="44">
        <v>0.0</v>
      </c>
      <c r="Q210" s="44">
        <v>0.0</v>
      </c>
      <c r="R210" s="44">
        <v>0.0</v>
      </c>
      <c r="S210" s="175"/>
      <c r="T210" s="44">
        <v>0.0</v>
      </c>
      <c r="U210" s="44">
        <v>-1.0</v>
      </c>
      <c r="V210" s="44">
        <v>0.0</v>
      </c>
      <c r="W210" s="45"/>
      <c r="X210" s="45"/>
      <c r="Y210" s="45"/>
      <c r="Z210" s="9"/>
      <c r="AA210" s="9"/>
      <c r="AB210" s="9"/>
      <c r="AC210" s="9"/>
      <c r="AD210" s="9"/>
      <c r="AE210" s="9"/>
      <c r="AF210" s="9"/>
    </row>
    <row r="211">
      <c r="A211" s="152">
        <v>2.0</v>
      </c>
      <c r="B211" s="153" t="s">
        <v>4355</v>
      </c>
      <c r="C211" s="47">
        <v>206.0</v>
      </c>
      <c r="D211" s="47">
        <v>4.0</v>
      </c>
      <c r="E211" s="47" t="s">
        <v>534</v>
      </c>
      <c r="F211" s="156" t="str">
        <f>HYPERLINK("https://www.liputan6.com/news/read/3928003/polemik-hukuman-mati-menkumham-kita-ambil-jalan-tengah ","sumber")</f>
        <v>sumber</v>
      </c>
      <c r="G211" s="156" t="str">
        <f>HYPERLINK("https://drive.google.com/open?id=1ERdeKUbuvB3hW6L4HrYZ3SpHpnMA2fzb","lokasi")</f>
        <v>lokasi</v>
      </c>
      <c r="H211" s="47">
        <v>252.0</v>
      </c>
      <c r="I211" s="47">
        <v>4.0</v>
      </c>
      <c r="J211" s="47">
        <v>3.0</v>
      </c>
      <c r="K211" s="157" t="s">
        <v>4356</v>
      </c>
      <c r="L211" s="47">
        <v>0.0</v>
      </c>
      <c r="M211" s="47">
        <v>0.0</v>
      </c>
      <c r="N211" s="192">
        <v>0.0</v>
      </c>
      <c r="O211" s="47">
        <v>0.0</v>
      </c>
      <c r="P211" s="47">
        <v>0.0</v>
      </c>
      <c r="Q211" s="47" t="s">
        <v>61</v>
      </c>
      <c r="R211" s="47" t="s">
        <v>61</v>
      </c>
      <c r="S211" s="165"/>
      <c r="T211" s="47">
        <v>0.0</v>
      </c>
      <c r="U211" s="47">
        <v>0.0</v>
      </c>
      <c r="V211" s="47">
        <v>0.0</v>
      </c>
      <c r="W211" s="48"/>
      <c r="X211" s="48"/>
      <c r="Y211" s="48"/>
      <c r="Z211" s="338"/>
      <c r="AA211" s="43"/>
      <c r="AB211" s="51"/>
      <c r="AC211" s="51"/>
      <c r="AD211" s="51"/>
      <c r="AE211" s="51"/>
      <c r="AF211" s="51"/>
    </row>
    <row r="212">
      <c r="A212" s="158">
        <v>1.0</v>
      </c>
      <c r="B212" s="159" t="s">
        <v>4357</v>
      </c>
      <c r="C212" s="44">
        <v>207.0</v>
      </c>
      <c r="D212" s="44">
        <v>3.0</v>
      </c>
      <c r="E212" s="44" t="s">
        <v>164</v>
      </c>
      <c r="F212" s="162" t="str">
        <f>HYPERLINK("https://celebrity.okezone.com/read/2019/03/29/33/2036851/curhat-dena-rachman-menjadi-transeksual ","sumber")</f>
        <v>sumber</v>
      </c>
      <c r="G212" s="162" t="str">
        <f>HYPERLINK("https://drive.google.com/open?id=1fzVoiFKSMCnxNtRKItOTNzwjJMEzlURG","lokasi")</f>
        <v>lokasi</v>
      </c>
      <c r="H212" s="44">
        <v>440.0</v>
      </c>
      <c r="I212" s="44">
        <v>2.0</v>
      </c>
      <c r="J212" s="44">
        <v>3.0</v>
      </c>
      <c r="K212" s="164" t="s">
        <v>4358</v>
      </c>
      <c r="L212" s="44">
        <v>0.0</v>
      </c>
      <c r="M212" s="44">
        <v>0.0</v>
      </c>
      <c r="N212" s="166">
        <v>0.0</v>
      </c>
      <c r="O212" s="44">
        <v>0.0</v>
      </c>
      <c r="P212" s="44">
        <v>0.0</v>
      </c>
      <c r="Q212" s="44">
        <v>2.0</v>
      </c>
      <c r="R212" s="44">
        <v>1.0</v>
      </c>
      <c r="S212" s="175"/>
      <c r="T212" s="44">
        <v>0.0</v>
      </c>
      <c r="U212" s="44">
        <v>0.0</v>
      </c>
      <c r="V212" s="44">
        <v>0.0</v>
      </c>
      <c r="W212" s="45"/>
      <c r="X212" s="45"/>
      <c r="Y212" s="45"/>
      <c r="Z212" s="9"/>
      <c r="AA212" s="9"/>
      <c r="AB212" s="9"/>
      <c r="AC212" s="9"/>
      <c r="AD212" s="9"/>
      <c r="AE212" s="9"/>
      <c r="AF212" s="9"/>
    </row>
    <row r="213">
      <c r="A213" s="158">
        <v>1.0</v>
      </c>
      <c r="B213" s="159" t="s">
        <v>4359</v>
      </c>
      <c r="C213" s="44">
        <v>208.0</v>
      </c>
      <c r="D213" s="44">
        <v>1.0</v>
      </c>
      <c r="E213" s="44" t="s">
        <v>171</v>
      </c>
      <c r="F213" s="162" t="str">
        <f>HYPERLINK("https://news.detik.com/berita-jawa-timur/d-4491309/rhoma-irama-sebut-ruu-pks-terlalu-bebas-hingga-legalkan-zina ","sumber")</f>
        <v>sumber</v>
      </c>
      <c r="G213" s="162" t="str">
        <f>HYPERLINK("https://drive.google.com/open?id=1ILjGX6T3aSqourvui_zT6rzhxCP3F2WL","lokasi")</f>
        <v>lokasi</v>
      </c>
      <c r="H213" s="44">
        <v>231.0</v>
      </c>
      <c r="I213" s="44">
        <v>4.0</v>
      </c>
      <c r="J213" s="44">
        <v>3.0</v>
      </c>
      <c r="K213" s="164" t="s">
        <v>4360</v>
      </c>
      <c r="L213" s="44">
        <v>0.0</v>
      </c>
      <c r="M213" s="44">
        <v>0.0</v>
      </c>
      <c r="N213" s="166">
        <v>0.0</v>
      </c>
      <c r="O213" s="44">
        <v>0.0</v>
      </c>
      <c r="P213" s="44">
        <v>0.0</v>
      </c>
      <c r="Q213" s="44">
        <v>0.0</v>
      </c>
      <c r="R213" s="44">
        <v>-1.0</v>
      </c>
      <c r="S213" s="175"/>
      <c r="T213" s="44">
        <v>0.0</v>
      </c>
      <c r="U213" s="44">
        <v>0.0</v>
      </c>
      <c r="V213" s="44">
        <v>1.0</v>
      </c>
      <c r="W213" s="45"/>
      <c r="X213" s="45"/>
      <c r="Y213" s="45"/>
      <c r="Z213" s="9"/>
      <c r="AA213" s="9"/>
      <c r="AB213" s="9"/>
      <c r="AC213" s="9"/>
      <c r="AD213" s="9"/>
      <c r="AE213" s="9"/>
      <c r="AF213" s="9"/>
    </row>
    <row r="214">
      <c r="A214" s="158">
        <v>1.0</v>
      </c>
      <c r="B214" s="159" t="s">
        <v>4361</v>
      </c>
      <c r="C214" s="44">
        <v>209.0</v>
      </c>
      <c r="D214" s="44">
        <v>8.0</v>
      </c>
      <c r="E214" s="268">
        <v>43559.0</v>
      </c>
      <c r="F214" s="162" t="str">
        <f>HYPERLINK("https://www.suara.com/news/2019/04/04/133528/luput-dari-sorotan-media-asing-sisi-lain-hukum-rajam-di-brunei ","sumber")</f>
        <v>sumber</v>
      </c>
      <c r="G214" s="162" t="str">
        <f>HYPERLINK("https://drive.google.com/open?id=1lIf8Ce63jk7dVKGIXhI16fb6dIeCxqwE","lokasi")</f>
        <v>lokasi</v>
      </c>
      <c r="H214" s="44">
        <v>1018.0</v>
      </c>
      <c r="I214" s="44">
        <v>1.0</v>
      </c>
      <c r="J214" s="44">
        <v>3.0</v>
      </c>
      <c r="K214" s="164" t="s">
        <v>4362</v>
      </c>
      <c r="L214" s="44">
        <v>-1.0</v>
      </c>
      <c r="M214" s="44">
        <v>1.0</v>
      </c>
      <c r="N214" s="166">
        <v>0.0</v>
      </c>
      <c r="O214" s="44">
        <v>0.0</v>
      </c>
      <c r="P214" s="44">
        <v>0.0</v>
      </c>
      <c r="Q214" s="44" t="s">
        <v>3858</v>
      </c>
      <c r="R214" s="44" t="s">
        <v>4363</v>
      </c>
      <c r="S214" s="175"/>
      <c r="T214" s="44">
        <v>0.0</v>
      </c>
      <c r="U214" s="44">
        <v>-1.0</v>
      </c>
      <c r="V214" s="44">
        <v>1.0</v>
      </c>
      <c r="W214" s="45"/>
      <c r="X214" s="45"/>
      <c r="Y214" s="45"/>
      <c r="Z214" s="9"/>
      <c r="AA214" s="9"/>
      <c r="AB214" s="9"/>
      <c r="AC214" s="9"/>
      <c r="AD214" s="9"/>
      <c r="AE214" s="9"/>
      <c r="AF214" s="9"/>
    </row>
    <row r="215">
      <c r="A215" s="158">
        <v>1.0</v>
      </c>
      <c r="B215" s="159" t="s">
        <v>4364</v>
      </c>
      <c r="C215" s="44">
        <v>210.0</v>
      </c>
      <c r="D215" s="44">
        <v>3.0</v>
      </c>
      <c r="E215" s="268">
        <v>43589.0</v>
      </c>
      <c r="F215" s="162" t="str">
        <f>HYPERLINK("https://news.okezone.com/read/2019/04/05/18/2039387/transgender-ini-rampok-bank-agar-bisa-operasi-hidung ","sumber")</f>
        <v>sumber</v>
      </c>
      <c r="G215" s="162" t="str">
        <f>HYPERLINK("https://drive.google.com/open?id=1xf5_oImeyeU3mELKlpe7IhEVRkn3Xt_3","lokasi")</f>
        <v>lokasi</v>
      </c>
      <c r="H215" s="44">
        <v>195.0</v>
      </c>
      <c r="I215" s="44">
        <v>1.0</v>
      </c>
      <c r="J215" s="44">
        <v>3.0</v>
      </c>
      <c r="K215" s="164" t="s">
        <v>4365</v>
      </c>
      <c r="L215" s="44">
        <v>-1.0</v>
      </c>
      <c r="M215" s="44">
        <v>-1.0</v>
      </c>
      <c r="N215" s="44">
        <v>-1.0</v>
      </c>
      <c r="O215" s="44">
        <v>0.0</v>
      </c>
      <c r="P215" s="44">
        <v>-1.0</v>
      </c>
      <c r="Q215" s="44">
        <v>0.0</v>
      </c>
      <c r="R215" s="44">
        <v>0.0</v>
      </c>
      <c r="S215" s="164" t="s">
        <v>4366</v>
      </c>
      <c r="T215" s="44">
        <v>1.0</v>
      </c>
      <c r="U215" s="44">
        <v>-1.0</v>
      </c>
      <c r="V215" s="44">
        <v>0.0</v>
      </c>
      <c r="W215" s="45"/>
      <c r="X215" s="45"/>
      <c r="Y215" s="45"/>
      <c r="Z215" s="9"/>
      <c r="AA215" s="9"/>
      <c r="AB215" s="9"/>
      <c r="AC215" s="9"/>
      <c r="AD215" s="9"/>
      <c r="AE215" s="9"/>
      <c r="AF215" s="9"/>
    </row>
    <row r="216">
      <c r="A216" s="158">
        <v>1.0</v>
      </c>
      <c r="B216" s="159" t="s">
        <v>4367</v>
      </c>
      <c r="C216" s="44">
        <v>211.0</v>
      </c>
      <c r="D216" s="44">
        <v>9.0</v>
      </c>
      <c r="E216" s="268">
        <v>43589.0</v>
      </c>
      <c r="F216" s="162" t="str">
        <f>HYPERLINK("https://khazanah.republika.co.id/berita/dunia-islam/islam-nusantara/pphed6458/sekjen-mui-dukung-brunei-terapkan-hukum-rajam-lgbt ","sumber")</f>
        <v>sumber</v>
      </c>
      <c r="G216" s="162" t="str">
        <f>HYPERLINK("https://drive.google.com/open?id=1m9bB57MtNBkLtANaAi3aCcoQ8aDMywSp","lokasi")</f>
        <v>lokasi</v>
      </c>
      <c r="H216" s="44">
        <v>359.0</v>
      </c>
      <c r="I216" s="44">
        <v>4.0</v>
      </c>
      <c r="J216" s="44">
        <v>3.0</v>
      </c>
      <c r="K216" s="164" t="s">
        <v>4368</v>
      </c>
      <c r="L216" s="44">
        <v>0.0</v>
      </c>
      <c r="M216" s="44">
        <v>0.0</v>
      </c>
      <c r="N216" s="166">
        <v>0.0</v>
      </c>
      <c r="O216" s="44">
        <v>0.0</v>
      </c>
      <c r="P216" s="44">
        <v>0.0</v>
      </c>
      <c r="Q216" s="44">
        <v>0.0</v>
      </c>
      <c r="R216" s="44">
        <v>-1.0</v>
      </c>
      <c r="S216" s="164" t="s">
        <v>4369</v>
      </c>
      <c r="T216" s="44">
        <v>1.0</v>
      </c>
      <c r="U216" s="44">
        <v>0.0</v>
      </c>
      <c r="V216" s="44">
        <v>1.0</v>
      </c>
      <c r="W216" s="45"/>
      <c r="X216" s="45"/>
      <c r="Y216" s="45"/>
      <c r="Z216" s="9"/>
      <c r="AA216" s="9"/>
      <c r="AB216" s="9"/>
      <c r="AC216" s="9"/>
      <c r="AD216" s="9"/>
      <c r="AE216" s="9"/>
      <c r="AF216" s="9"/>
    </row>
    <row r="217">
      <c r="A217" s="167">
        <v>1.0</v>
      </c>
      <c r="B217" s="349" t="s">
        <v>4370</v>
      </c>
      <c r="C217" s="55">
        <v>212.0</v>
      </c>
      <c r="D217" s="55">
        <v>7.0</v>
      </c>
      <c r="E217" s="344">
        <v>43620.0</v>
      </c>
      <c r="F217" s="171" t="str">
        <f>HYPERLINK("http://www.tribunnews.com/internasional/2019/04/06/diserang-gara-gara-hukum-mati-lgbt-akun-sosmed-hotel-milik-sultan-brunei-diserang ","sumber")</f>
        <v>sumber</v>
      </c>
      <c r="G217" s="171" t="str">
        <f>HYPERLINK("https://drive.google.com/open?id=1yva7Tpmgz3xv-AxlKwVqlS1uHoF2GlWt","lokasi")</f>
        <v>lokasi</v>
      </c>
      <c r="H217" s="55">
        <v>366.0</v>
      </c>
      <c r="I217" s="55">
        <v>1.0</v>
      </c>
      <c r="J217" s="55">
        <v>3.0</v>
      </c>
      <c r="K217" s="172" t="s">
        <v>4371</v>
      </c>
      <c r="L217" s="55">
        <v>0.0</v>
      </c>
      <c r="M217" s="55">
        <v>-1.0</v>
      </c>
      <c r="N217" s="173">
        <v>0.0</v>
      </c>
      <c r="O217" s="55">
        <v>0.0</v>
      </c>
      <c r="P217" s="55">
        <v>0.0</v>
      </c>
      <c r="Q217" s="55">
        <v>0.0</v>
      </c>
      <c r="R217" s="55">
        <v>1.0</v>
      </c>
      <c r="S217" s="174"/>
      <c r="T217" s="55">
        <v>0.0</v>
      </c>
      <c r="U217" s="55">
        <v>0.0</v>
      </c>
      <c r="V217" s="55">
        <v>1.0</v>
      </c>
      <c r="W217" s="46"/>
      <c r="X217" s="46"/>
      <c r="Y217" s="46"/>
      <c r="Z217" s="302"/>
      <c r="AA217" s="30"/>
      <c r="AB217" s="31"/>
      <c r="AC217" s="31"/>
      <c r="AD217" s="31"/>
      <c r="AE217" s="31"/>
      <c r="AF217" s="31"/>
    </row>
    <row r="218">
      <c r="A218" s="167">
        <v>1.0</v>
      </c>
      <c r="B218" s="349" t="s">
        <v>4372</v>
      </c>
      <c r="C218" s="55">
        <v>213.0</v>
      </c>
      <c r="D218" s="55">
        <v>2.0</v>
      </c>
      <c r="E218" s="55" t="s">
        <v>2053</v>
      </c>
      <c r="F218" s="171" t="str">
        <f>HYPERLINK("https://www.cnnindonesia.com/nasional/20190428193007-20-390330/pemkot-palembang-bakal-larang-film-kucumbu-tubuh-indahku ","sumber")</f>
        <v>sumber</v>
      </c>
      <c r="G218" s="171" t="str">
        <f>HYPERLINK("https://drive.google.com/open?id=1a80BcmvP44oREBEIJTMDzuWIs6b6LxjI","lokasi")</f>
        <v>lokasi</v>
      </c>
      <c r="H218" s="55">
        <v>417.0</v>
      </c>
      <c r="I218" s="55">
        <v>1.0</v>
      </c>
      <c r="J218" s="55">
        <v>3.0</v>
      </c>
      <c r="K218" s="172" t="s">
        <v>4373</v>
      </c>
      <c r="L218" s="55">
        <v>0.0</v>
      </c>
      <c r="M218" s="55">
        <v>1.0</v>
      </c>
      <c r="N218" s="173">
        <v>0.0</v>
      </c>
      <c r="O218" s="55">
        <v>0.0</v>
      </c>
      <c r="P218" s="55">
        <v>0.0</v>
      </c>
      <c r="Q218" s="55" t="s">
        <v>61</v>
      </c>
      <c r="R218" s="55" t="s">
        <v>173</v>
      </c>
      <c r="S218" s="174"/>
      <c r="T218" s="55">
        <v>0.0</v>
      </c>
      <c r="U218" s="55">
        <v>0.0</v>
      </c>
      <c r="V218" s="55">
        <v>1.0</v>
      </c>
      <c r="W218" s="46"/>
      <c r="X218" s="46"/>
      <c r="Y218" s="46"/>
      <c r="Z218" s="302"/>
      <c r="AA218" s="30"/>
      <c r="AB218" s="31"/>
      <c r="AC218" s="31"/>
      <c r="AD218" s="31"/>
      <c r="AE218" s="31"/>
      <c r="AF218" s="31"/>
    </row>
    <row r="219">
      <c r="A219" s="167">
        <v>1.0</v>
      </c>
      <c r="B219" s="349" t="s">
        <v>4374</v>
      </c>
      <c r="C219" s="55">
        <v>214.0</v>
      </c>
      <c r="D219" s="55">
        <v>5.0</v>
      </c>
      <c r="E219" s="344">
        <v>43500.0</v>
      </c>
      <c r="F219" s="171" t="str">
        <f>HYPERLINK("https://tirto.id/pbb-kecam-kebijakan-hukuman-mati-lgbt-di-brunei-dkVs ","sumber")</f>
        <v>sumber</v>
      </c>
      <c r="G219" s="171" t="str">
        <f>HYPERLINK("https://drive.google.com/open?id=1fNh6Z1gkHfiw1uaSPykQNPTiXvLHnN84","lokasi")</f>
        <v>lokasi</v>
      </c>
      <c r="H219" s="55">
        <v>320.0</v>
      </c>
      <c r="I219" s="55">
        <v>1.0</v>
      </c>
      <c r="J219" s="55">
        <v>3.0</v>
      </c>
      <c r="K219" s="172" t="s">
        <v>4375</v>
      </c>
      <c r="L219" s="55">
        <v>0.0</v>
      </c>
      <c r="M219" s="55">
        <v>-1.0</v>
      </c>
      <c r="N219" s="173">
        <v>0.0</v>
      </c>
      <c r="O219" s="55">
        <v>0.0</v>
      </c>
      <c r="P219" s="55">
        <v>0.0</v>
      </c>
      <c r="Q219" s="55">
        <v>1.0</v>
      </c>
      <c r="R219" s="55">
        <v>1.0</v>
      </c>
      <c r="S219" s="174"/>
      <c r="T219" s="55">
        <v>0.0</v>
      </c>
      <c r="U219" s="55">
        <v>0.0</v>
      </c>
      <c r="V219" s="55">
        <v>1.0</v>
      </c>
      <c r="W219" s="46"/>
      <c r="X219" s="46"/>
      <c r="Y219" s="46"/>
      <c r="Z219" s="302"/>
      <c r="AA219" s="30"/>
      <c r="AB219" s="31"/>
      <c r="AC219" s="31"/>
      <c r="AD219" s="31"/>
      <c r="AE219" s="31"/>
      <c r="AF219" s="31"/>
    </row>
    <row r="220">
      <c r="A220" s="152">
        <v>2.0</v>
      </c>
      <c r="B220" s="153" t="s">
        <v>4376</v>
      </c>
      <c r="C220" s="47">
        <v>215.0</v>
      </c>
      <c r="D220" s="47">
        <v>9.0</v>
      </c>
      <c r="E220" s="47" t="s">
        <v>548</v>
      </c>
      <c r="F220" s="156" t="str">
        <f>HYPERLINK("https://republika.co.id/berita/ekonomi/pertanian/ppy1an370/pedagang-harga-bawang-putih-terus-naik ","sumber")</f>
        <v>sumber</v>
      </c>
      <c r="G220" s="156" t="str">
        <f>HYPERLINK("https://drive.google.com/open?id=1Ben_wN8h-um71giSDhrN8AeNiDUQ7a1e","lokasi")</f>
        <v>lokasi</v>
      </c>
      <c r="H220" s="47">
        <v>624.0</v>
      </c>
      <c r="I220" s="48"/>
      <c r="J220" s="48"/>
      <c r="K220" s="165"/>
      <c r="L220" s="48"/>
      <c r="M220" s="48"/>
      <c r="N220" s="48"/>
      <c r="O220" s="48"/>
      <c r="P220" s="48"/>
      <c r="Q220" s="48"/>
      <c r="R220" s="48"/>
      <c r="S220" s="165"/>
      <c r="T220" s="48"/>
      <c r="U220" s="48"/>
      <c r="V220" s="48"/>
      <c r="W220" s="48"/>
      <c r="X220" s="48"/>
      <c r="Y220" s="48"/>
      <c r="Z220" s="338"/>
      <c r="AA220" s="43"/>
      <c r="AB220" s="51"/>
      <c r="AC220" s="51"/>
      <c r="AD220" s="51"/>
      <c r="AE220" s="51"/>
      <c r="AF220" s="51"/>
    </row>
    <row r="221">
      <c r="A221" s="167">
        <v>1.0</v>
      </c>
      <c r="B221" s="349" t="s">
        <v>4377</v>
      </c>
      <c r="C221" s="55">
        <v>216.0</v>
      </c>
      <c r="D221" s="55">
        <v>6.0</v>
      </c>
      <c r="E221" s="344">
        <v>43650.0</v>
      </c>
      <c r="F221" s="171" t="str">
        <f>HYPERLINK("https://internasional.kompas.com/read/2019/04/07/10225881/terapkan-hukum-syariah-ketat-sultan-brunei-dituding-meniru-isis ","sumber")</f>
        <v>sumber</v>
      </c>
      <c r="G221" s="171" t="str">
        <f>HYPERLINK("https://internasional.kompas.com/read/2019/04/07/10225881/terapkan-hukum-syariah-ketat-sultan-brunei-dituding-meniru-isis ","lokasi")</f>
        <v>lokasi</v>
      </c>
      <c r="H221" s="55">
        <v>338.0</v>
      </c>
      <c r="I221" s="55">
        <v>3.0</v>
      </c>
      <c r="J221" s="55">
        <v>3.0</v>
      </c>
      <c r="K221" s="172" t="s">
        <v>4378</v>
      </c>
      <c r="L221" s="55">
        <v>0.0</v>
      </c>
      <c r="M221" s="55">
        <v>0.0</v>
      </c>
      <c r="N221" s="173">
        <v>0.0</v>
      </c>
      <c r="O221" s="55">
        <v>0.0</v>
      </c>
      <c r="P221" s="55">
        <v>0.0</v>
      </c>
      <c r="Q221" s="55">
        <v>1.0</v>
      </c>
      <c r="R221" s="55">
        <v>1.0</v>
      </c>
      <c r="S221" s="174"/>
      <c r="T221" s="55">
        <v>0.0</v>
      </c>
      <c r="U221" s="55">
        <v>0.0</v>
      </c>
      <c r="V221" s="55">
        <v>1.0</v>
      </c>
      <c r="W221" s="46"/>
      <c r="X221" s="46"/>
      <c r="Y221" s="46"/>
      <c r="Z221" s="302"/>
      <c r="AA221" s="30"/>
      <c r="AB221" s="31"/>
      <c r="AC221" s="31"/>
      <c r="AD221" s="31"/>
      <c r="AE221" s="31"/>
      <c r="AF221" s="31"/>
    </row>
    <row r="222">
      <c r="A222" s="158">
        <v>1.0</v>
      </c>
      <c r="B222" s="159" t="s">
        <v>4379</v>
      </c>
      <c r="C222" s="44">
        <v>217.0</v>
      </c>
      <c r="D222" s="44">
        <v>8.0</v>
      </c>
      <c r="E222" s="44" t="s">
        <v>197</v>
      </c>
      <c r="F222" s="162" t="str">
        <f>HYPERLINK("https://www.suara.com/news/2019/04/24/182816/syok-tahu-pacarnya-ternyata-dulu-laki-laki-dokter-nekat-lakukan-mutilasi ","sumber")</f>
        <v>sumber</v>
      </c>
      <c r="G222" s="162" t="str">
        <f>HYPERLINK("https://drive.google.com/open?id=15SVbJY8Pcf2mvnSr75wvdNeZl2IQi7g_","lokasi")</f>
        <v>lokasi</v>
      </c>
      <c r="H222" s="44">
        <v>197.0</v>
      </c>
      <c r="I222" s="44">
        <v>1.0</v>
      </c>
      <c r="J222" s="44">
        <v>3.0</v>
      </c>
      <c r="K222" s="164"/>
      <c r="L222" s="44">
        <v>0.0</v>
      </c>
      <c r="M222" s="44">
        <v>-1.0</v>
      </c>
      <c r="N222" s="44">
        <v>-1.0</v>
      </c>
      <c r="O222" s="44">
        <v>0.0</v>
      </c>
      <c r="P222" s="44">
        <v>-1.0</v>
      </c>
      <c r="Q222" s="44"/>
      <c r="R222" s="44"/>
      <c r="S222" s="175"/>
      <c r="T222" s="44">
        <v>0.0</v>
      </c>
      <c r="U222" s="44">
        <v>0.0</v>
      </c>
      <c r="V222" s="44">
        <v>0.0</v>
      </c>
      <c r="W222" s="45"/>
      <c r="X222" s="45"/>
      <c r="Y222" s="45"/>
      <c r="Z222" s="9"/>
      <c r="AA222" s="9"/>
      <c r="AB222" s="9"/>
      <c r="AC222" s="9"/>
      <c r="AD222" s="9"/>
      <c r="AE222" s="9"/>
      <c r="AF222" s="9"/>
    </row>
    <row r="223">
      <c r="A223" s="158">
        <v>1.0</v>
      </c>
      <c r="B223" s="159" t="s">
        <v>4380</v>
      </c>
      <c r="C223" s="44">
        <v>218.0</v>
      </c>
      <c r="D223" s="44">
        <v>3.0</v>
      </c>
      <c r="E223" s="44" t="s">
        <v>2973</v>
      </c>
      <c r="F223" s="162" t="str">
        <f>HYPERLINK("https://celebrity.okezone.com/read/2019/04/26/33/2048567/unggah-video-bareng-bayi-cara-gendong-lucinta-luna-dikecam-netizen ","sumber")</f>
        <v>sumber</v>
      </c>
      <c r="G223" s="162" t="str">
        <f>HYPERLINK("https://drive.google.com/open?id=16qgjXmQRWHNC_J4PIQLOgbCWsCzFEpsN","lokasi")</f>
        <v>lokasi</v>
      </c>
      <c r="H223" s="44">
        <v>305.0</v>
      </c>
      <c r="I223" s="44">
        <v>1.0</v>
      </c>
      <c r="J223" s="44">
        <v>3.0</v>
      </c>
      <c r="K223" s="164" t="s">
        <v>4381</v>
      </c>
      <c r="L223" s="44">
        <v>-1.0</v>
      </c>
      <c r="M223" s="44">
        <v>-1.0</v>
      </c>
      <c r="N223" s="44">
        <v>-1.0</v>
      </c>
      <c r="O223" s="44">
        <v>0.0</v>
      </c>
      <c r="P223" s="44">
        <v>0.0</v>
      </c>
      <c r="Q223" s="44">
        <v>0.0</v>
      </c>
      <c r="R223" s="44">
        <v>-1.0</v>
      </c>
      <c r="S223" s="175"/>
      <c r="T223" s="44">
        <v>0.0</v>
      </c>
      <c r="U223" s="44">
        <v>0.0</v>
      </c>
      <c r="V223" s="44">
        <v>0.0</v>
      </c>
      <c r="W223" s="45"/>
      <c r="X223" s="45"/>
      <c r="Y223" s="45"/>
      <c r="Z223" s="9"/>
      <c r="AA223" s="9"/>
      <c r="AB223" s="9"/>
      <c r="AC223" s="9"/>
      <c r="AD223" s="9"/>
      <c r="AE223" s="9"/>
      <c r="AF223" s="9"/>
    </row>
    <row r="224">
      <c r="A224" s="158">
        <v>1.0</v>
      </c>
      <c r="B224" s="159" t="s">
        <v>4382</v>
      </c>
      <c r="C224" s="44">
        <v>219.0</v>
      </c>
      <c r="D224" s="44">
        <v>6.0</v>
      </c>
      <c r="E224" s="268">
        <v>43470.0</v>
      </c>
      <c r="F224" s="162" t="str">
        <f>HYPERLINK("https://regional.kompas.com/read/2019/05/01/12594781/dianggap-meresahkan-indekos-waria-di-cianjur-digerebek-warga ","sumber")</f>
        <v>sumber</v>
      </c>
      <c r="G224" s="162" t="str">
        <f>HYPERLINK("https://drive.google.com/open?id=1lyxjXbiE7spJdy8Ve778KMuEA-ITEKdI","lokasi")</f>
        <v>lokasi</v>
      </c>
      <c r="H224" s="44">
        <v>342.0</v>
      </c>
      <c r="I224" s="44">
        <v>1.0</v>
      </c>
      <c r="J224" s="44">
        <v>3.0</v>
      </c>
      <c r="K224" s="164" t="s">
        <v>4383</v>
      </c>
      <c r="L224" s="44">
        <v>0.0</v>
      </c>
      <c r="M224" s="44">
        <v>-1.0</v>
      </c>
      <c r="N224" s="166">
        <v>0.0</v>
      </c>
      <c r="O224" s="44">
        <v>0.0</v>
      </c>
      <c r="P224" s="44">
        <v>0.0</v>
      </c>
      <c r="Q224" s="44">
        <v>0.0</v>
      </c>
      <c r="R224" s="44">
        <v>-1.0</v>
      </c>
      <c r="S224" s="175"/>
      <c r="T224" s="44">
        <v>0.0</v>
      </c>
      <c r="U224" s="44">
        <v>0.0</v>
      </c>
      <c r="V224" s="44">
        <v>0.0</v>
      </c>
      <c r="W224" s="45"/>
      <c r="X224" s="45"/>
      <c r="Y224" s="45"/>
      <c r="Z224" s="9"/>
      <c r="AA224" s="9"/>
      <c r="AB224" s="9"/>
      <c r="AC224" s="9"/>
      <c r="AD224" s="9"/>
      <c r="AE224" s="9"/>
      <c r="AF224" s="9"/>
    </row>
    <row r="225">
      <c r="A225" s="152">
        <v>2.0</v>
      </c>
      <c r="B225" s="153" t="s">
        <v>782</v>
      </c>
      <c r="C225" s="47">
        <v>220.0</v>
      </c>
      <c r="D225" s="47">
        <v>9.0</v>
      </c>
      <c r="E225" s="280">
        <v>43590.0</v>
      </c>
      <c r="F225" s="156" t="str">
        <f>HYPERLINK("https://republika.co.id/berita/ekonomi/pertanian/pr0fm2383/operasi-pasar-bawang-putih-impor-dimulai-hari-ini ","sumber")</f>
        <v>sumber</v>
      </c>
      <c r="G225" s="156" t="str">
        <f>HYPERLINK("https://drive.google.com/open?id=1W5xm7UeqB4e3df3ormWqFR6vBXs1jowR","lokasi")</f>
        <v>lokasi</v>
      </c>
      <c r="H225" s="47">
        <v>677.0</v>
      </c>
      <c r="I225" s="48"/>
      <c r="J225" s="48"/>
      <c r="K225" s="165"/>
      <c r="L225" s="48"/>
      <c r="M225" s="48"/>
      <c r="N225" s="48"/>
      <c r="O225" s="48"/>
      <c r="P225" s="48"/>
      <c r="Q225" s="48"/>
      <c r="R225" s="48"/>
      <c r="S225" s="165"/>
      <c r="T225" s="48"/>
      <c r="U225" s="48"/>
      <c r="V225" s="48"/>
      <c r="W225" s="48"/>
      <c r="X225" s="48"/>
      <c r="Y225" s="48"/>
      <c r="Z225" s="338"/>
      <c r="AA225" s="43"/>
      <c r="AB225" s="51"/>
      <c r="AC225" s="51"/>
      <c r="AD225" s="51"/>
      <c r="AE225" s="51"/>
      <c r="AF225" s="51"/>
    </row>
    <row r="226">
      <c r="A226" s="158">
        <v>1.0</v>
      </c>
      <c r="B226" s="159" t="s">
        <v>4384</v>
      </c>
      <c r="C226" s="44">
        <v>221.0</v>
      </c>
      <c r="D226" s="44">
        <v>6.0</v>
      </c>
      <c r="E226" s="268">
        <v>43621.0</v>
      </c>
      <c r="F226" s="162" t="str">
        <f>HYPERLINK("https://celebrity.okezone.com/read/2019/05/06/33/2052276/unggah-video-berhijab-lucinta-luna-diingatkan-untuk-bertobat ","sumber")</f>
        <v>sumber</v>
      </c>
      <c r="G226" s="162" t="str">
        <f>HYPERLINK("https://drive.google.com/open?id=1Zrv-5uSs2W1ENMHhPDk9rz8fk1nUdxfH","lokasi")</f>
        <v>lokasi</v>
      </c>
      <c r="H226" s="44">
        <v>302.0</v>
      </c>
      <c r="I226" s="44">
        <v>5.0</v>
      </c>
      <c r="J226" s="44">
        <v>3.0</v>
      </c>
      <c r="K226" s="164" t="s">
        <v>4385</v>
      </c>
      <c r="L226" s="44">
        <v>-1.0</v>
      </c>
      <c r="M226" s="44">
        <v>0.0</v>
      </c>
      <c r="N226" s="44">
        <v>-1.0</v>
      </c>
      <c r="O226" s="44">
        <v>0.0</v>
      </c>
      <c r="P226" s="44">
        <v>0.0</v>
      </c>
      <c r="Q226" s="44" t="s">
        <v>53</v>
      </c>
      <c r="R226" s="44" t="s">
        <v>738</v>
      </c>
      <c r="S226" s="175"/>
      <c r="T226" s="44">
        <v>0.0</v>
      </c>
      <c r="U226" s="44">
        <v>-1.0</v>
      </c>
      <c r="V226" s="44">
        <v>1.0</v>
      </c>
      <c r="W226" s="45"/>
      <c r="X226" s="45"/>
      <c r="Y226" s="45"/>
      <c r="Z226" s="9"/>
      <c r="AA226" s="9"/>
      <c r="AB226" s="9"/>
      <c r="AC226" s="9"/>
      <c r="AD226" s="9"/>
      <c r="AE226" s="9"/>
      <c r="AF226" s="9"/>
    </row>
    <row r="227">
      <c r="A227" s="158">
        <v>1.0</v>
      </c>
      <c r="B227" s="159" t="s">
        <v>1533</v>
      </c>
      <c r="C227" s="44">
        <v>222.0</v>
      </c>
      <c r="D227" s="44">
        <v>7.0</v>
      </c>
      <c r="E227" s="44" t="s">
        <v>2208</v>
      </c>
      <c r="F227" s="162" t="str">
        <f>HYPERLINK("http://www.tribunnews.com/regional/2019/05/18/pelajar-sma-bunuh-wiwik-wulandari-motifnya-dendam-karena-kerap-diejek-banci ","sumber")</f>
        <v>sumber</v>
      </c>
      <c r="G227" s="162" t="str">
        <f>HYPERLINK("https://drive.google.com/open?id=1JeKLJr2brAJw0YJH0fdNl7JG8PiPw1Eb","lokasi")</f>
        <v>lokasi</v>
      </c>
      <c r="H227" s="44">
        <v>6.0</v>
      </c>
      <c r="I227" s="44">
        <v>1.0</v>
      </c>
      <c r="J227" s="44">
        <v>3.0</v>
      </c>
      <c r="K227" s="164" t="s">
        <v>4386</v>
      </c>
      <c r="L227" s="44">
        <v>0.0</v>
      </c>
      <c r="M227" s="44">
        <v>-1.0</v>
      </c>
      <c r="N227" s="166">
        <v>0.0</v>
      </c>
      <c r="O227" s="44">
        <v>0.0</v>
      </c>
      <c r="P227" s="44">
        <v>0.0</v>
      </c>
      <c r="Q227" s="44" t="s">
        <v>53</v>
      </c>
      <c r="R227" s="44" t="s">
        <v>53</v>
      </c>
      <c r="S227" s="175"/>
      <c r="T227" s="44">
        <v>0.0</v>
      </c>
      <c r="U227" s="44">
        <v>0.0</v>
      </c>
      <c r="V227" s="44">
        <v>0.0</v>
      </c>
      <c r="W227" s="45"/>
      <c r="X227" s="45"/>
      <c r="Y227" s="45"/>
      <c r="Z227" s="9"/>
      <c r="AA227" s="9"/>
      <c r="AB227" s="9"/>
      <c r="AC227" s="9"/>
      <c r="AD227" s="9"/>
      <c r="AE227" s="9"/>
      <c r="AF227" s="9"/>
    </row>
    <row r="228">
      <c r="A228" s="158">
        <v>1.0</v>
      </c>
      <c r="B228" s="159" t="s">
        <v>4387</v>
      </c>
      <c r="C228" s="44">
        <v>223.0</v>
      </c>
      <c r="D228" s="44">
        <v>8.0</v>
      </c>
      <c r="E228" s="44" t="s">
        <v>390</v>
      </c>
      <c r="F228" s="162" t="str">
        <f>HYPERLINK("https://www.suara.com/health/2019/05/19/132000/cemas-donornya-gay-artis-ini-tolak-transplantasi-hati-dan-tuai-kontroversi ","sumber")</f>
        <v>sumber</v>
      </c>
      <c r="G228" s="162" t="str">
        <f>HYPERLINK("https://drive.google.com/open?id=1_m_mP-rj9FhSM9wmk08onPyaMuGAVlk1","lokasi")</f>
        <v>lokasi</v>
      </c>
      <c r="H228" s="44">
        <v>248.0</v>
      </c>
      <c r="I228" s="44">
        <v>1.0</v>
      </c>
      <c r="J228" s="44">
        <v>3.0</v>
      </c>
      <c r="K228" s="164" t="s">
        <v>4388</v>
      </c>
      <c r="L228" s="44">
        <v>-1.0</v>
      </c>
      <c r="M228" s="44">
        <v>1.0</v>
      </c>
      <c r="N228" s="166">
        <v>0.0</v>
      </c>
      <c r="O228" s="44">
        <v>0.0</v>
      </c>
      <c r="P228" s="44">
        <v>0.0</v>
      </c>
      <c r="Q228" s="44" t="s">
        <v>61</v>
      </c>
      <c r="R228" s="44" t="s">
        <v>62</v>
      </c>
      <c r="S228" s="175"/>
      <c r="T228" s="44">
        <v>0.0</v>
      </c>
      <c r="U228" s="44">
        <v>0.0</v>
      </c>
      <c r="V228" s="44">
        <v>0.0</v>
      </c>
      <c r="W228" s="45"/>
      <c r="X228" s="45"/>
      <c r="Y228" s="45"/>
      <c r="Z228" s="9"/>
      <c r="AA228" s="9"/>
      <c r="AB228" s="9"/>
      <c r="AC228" s="9"/>
      <c r="AD228" s="9"/>
      <c r="AE228" s="9"/>
      <c r="AF228" s="9"/>
    </row>
    <row r="229">
      <c r="A229" s="167">
        <v>1.0</v>
      </c>
      <c r="B229" s="349" t="s">
        <v>4389</v>
      </c>
      <c r="C229" s="55">
        <v>224.0</v>
      </c>
      <c r="D229" s="55">
        <v>2.0</v>
      </c>
      <c r="E229" s="55" t="s">
        <v>793</v>
      </c>
      <c r="F229" s="171" t="str">
        <f>HYPERLINK("https://www.cnnindonesia.com/hiburan/20190523202501-234-397929/ariana-grande-kenang-2-tahun-bom-manchester ","sumber")</f>
        <v>sumber</v>
      </c>
      <c r="G229" s="171" t="str">
        <f>HYPERLINK("https://drive.google.com/open?id=13ChgIrL43SiLm7dAU1V3QWFFOZTZvjYZ","lokasi")</f>
        <v>lokasi</v>
      </c>
      <c r="H229" s="55">
        <v>224.0</v>
      </c>
      <c r="I229" s="55">
        <v>3.0</v>
      </c>
      <c r="J229" s="55">
        <v>3.0</v>
      </c>
      <c r="K229" s="172" t="s">
        <v>4390</v>
      </c>
      <c r="L229" s="55">
        <v>0.0</v>
      </c>
      <c r="M229" s="55">
        <v>0.0</v>
      </c>
      <c r="N229" s="173">
        <v>0.0</v>
      </c>
      <c r="O229" s="55">
        <v>0.0</v>
      </c>
      <c r="P229" s="55">
        <v>0.0</v>
      </c>
      <c r="Q229" s="55">
        <v>0.0</v>
      </c>
      <c r="R229" s="55">
        <v>0.0</v>
      </c>
      <c r="S229" s="174"/>
      <c r="T229" s="55">
        <v>0.0</v>
      </c>
      <c r="U229" s="55">
        <v>0.0</v>
      </c>
      <c r="V229" s="55">
        <v>0.0</v>
      </c>
      <c r="W229" s="46"/>
      <c r="X229" s="46"/>
      <c r="Y229" s="46"/>
      <c r="Z229" s="302"/>
      <c r="AA229" s="30"/>
      <c r="AB229" s="31"/>
      <c r="AC229" s="31"/>
      <c r="AD229" s="31"/>
      <c r="AE229" s="31"/>
      <c r="AF229" s="31"/>
    </row>
    <row r="230">
      <c r="A230" s="158">
        <v>1.0</v>
      </c>
      <c r="B230" s="159" t="s">
        <v>4391</v>
      </c>
      <c r="C230" s="44">
        <v>225.0</v>
      </c>
      <c r="D230" s="44">
        <v>6.0</v>
      </c>
      <c r="E230" s="44" t="s">
        <v>240</v>
      </c>
      <c r="F230" s="162" t="str">
        <f>HYPERLINK("https://internasional.kompas.com/read/2019/05/24/22335051/sehari-setelah-disahkan-ratusan-pasangan-sejenis-menikah-di-taiwan ","sumber")</f>
        <v>sumber</v>
      </c>
      <c r="G230" s="162" t="str">
        <f>HYPERLINK("https://drive.google.com/open?id=1V9iVk-9mcyGiOdhGvgHWZHlY2M6eV-Xl","lokasi")</f>
        <v>lokasi</v>
      </c>
      <c r="H230" s="44">
        <v>286.0</v>
      </c>
      <c r="I230" s="44">
        <v>4.0</v>
      </c>
      <c r="J230" s="44">
        <v>3.0</v>
      </c>
      <c r="K230" s="164" t="s">
        <v>4392</v>
      </c>
      <c r="L230" s="44">
        <v>-1.0</v>
      </c>
      <c r="M230" s="44">
        <v>0.0</v>
      </c>
      <c r="N230" s="166">
        <v>0.0</v>
      </c>
      <c r="O230" s="44">
        <v>0.0</v>
      </c>
      <c r="P230" s="44">
        <v>0.0</v>
      </c>
      <c r="Q230" s="44" t="s">
        <v>61</v>
      </c>
      <c r="R230" s="44" t="s">
        <v>192</v>
      </c>
      <c r="S230" s="175"/>
      <c r="T230" s="44">
        <v>0.0</v>
      </c>
      <c r="U230" s="44">
        <v>0.0</v>
      </c>
      <c r="V230" s="44">
        <v>1.0</v>
      </c>
      <c r="W230" s="45"/>
      <c r="X230" s="45"/>
      <c r="Y230" s="45"/>
      <c r="Z230" s="9"/>
      <c r="AA230" s="9"/>
      <c r="AB230" s="9"/>
      <c r="AC230" s="9"/>
      <c r="AD230" s="9"/>
      <c r="AE230" s="9"/>
      <c r="AF230" s="9"/>
    </row>
    <row r="231">
      <c r="A231" s="158">
        <v>1.0</v>
      </c>
      <c r="B231" s="159" t="s">
        <v>4393</v>
      </c>
      <c r="C231" s="44">
        <v>226.0</v>
      </c>
      <c r="D231" s="44">
        <v>10.0</v>
      </c>
      <c r="E231" s="44" t="s">
        <v>240</v>
      </c>
      <c r="F231" s="162" t="str">
        <f>HYPERLINK("https://dunia.tempo.co/read/1208825/uu-rajam-lgbt-dikritik-sultan-brunei-kembalikan-gelar-oxford ","sumber")</f>
        <v>sumber</v>
      </c>
      <c r="G231" s="162" t="str">
        <f>HYPERLINK("https://drive.google.com/open?id=1cy5rt0irz51qmm5uZKn0X3Zr5hJGvw9H","lokasi")</f>
        <v>lokasi</v>
      </c>
      <c r="H231" s="44">
        <v>271.0</v>
      </c>
      <c r="I231" s="44">
        <v>4.0</v>
      </c>
      <c r="J231" s="44">
        <v>3.0</v>
      </c>
      <c r="K231" s="164" t="s">
        <v>4394</v>
      </c>
      <c r="L231" s="44">
        <v>0.0</v>
      </c>
      <c r="M231" s="44">
        <v>0.0</v>
      </c>
      <c r="N231" s="166">
        <v>0.0</v>
      </c>
      <c r="O231" s="44">
        <v>0.0</v>
      </c>
      <c r="P231" s="44">
        <v>0.0</v>
      </c>
      <c r="Q231" s="44">
        <v>0.0</v>
      </c>
      <c r="R231" s="44">
        <v>1.0</v>
      </c>
      <c r="S231" s="175"/>
      <c r="T231" s="44">
        <v>0.0</v>
      </c>
      <c r="U231" s="44">
        <v>0.0</v>
      </c>
      <c r="V231" s="44">
        <v>1.0</v>
      </c>
      <c r="W231" s="45"/>
      <c r="X231" s="45"/>
      <c r="Y231" s="45"/>
      <c r="Z231" s="9"/>
      <c r="AA231" s="9"/>
      <c r="AB231" s="9"/>
      <c r="AC231" s="9"/>
      <c r="AD231" s="9"/>
      <c r="AE231" s="9"/>
      <c r="AF231" s="9"/>
    </row>
    <row r="232">
      <c r="A232" s="152">
        <v>2.0</v>
      </c>
      <c r="B232" s="153" t="s">
        <v>4395</v>
      </c>
      <c r="C232" s="47">
        <v>227.0</v>
      </c>
      <c r="D232" s="47">
        <v>5.0</v>
      </c>
      <c r="E232" s="47" t="s">
        <v>2062</v>
      </c>
      <c r="F232" s="156" t="str">
        <f>HYPERLINK("https://tirto.id/bagaimana-capres-di-negara-lain-menerima-kekalahan-d1J4 ","sumber")</f>
        <v>sumber</v>
      </c>
      <c r="G232" s="156" t="str">
        <f>HYPERLINK("https://drive.google.com/open?id=1ggkp2kRs-k1_7uLlEUqCqxgnHk8W1DRR","lokasi")</f>
        <v>lokasi</v>
      </c>
      <c r="H232" s="47">
        <v>953.0</v>
      </c>
      <c r="I232" s="48"/>
      <c r="J232" s="48"/>
      <c r="K232" s="165"/>
      <c r="L232" s="48"/>
      <c r="M232" s="48"/>
      <c r="N232" s="48"/>
      <c r="O232" s="48"/>
      <c r="P232" s="48"/>
      <c r="Q232" s="48"/>
      <c r="R232" s="48"/>
      <c r="S232" s="165"/>
      <c r="T232" s="48"/>
      <c r="U232" s="48"/>
      <c r="V232" s="48"/>
      <c r="W232" s="48"/>
      <c r="X232" s="48"/>
      <c r="Y232" s="48"/>
      <c r="Z232" s="338"/>
      <c r="AA232" s="43"/>
      <c r="AB232" s="51"/>
      <c r="AC232" s="51"/>
      <c r="AD232" s="51"/>
      <c r="AE232" s="51"/>
      <c r="AF232" s="51"/>
    </row>
    <row r="233">
      <c r="A233" s="167">
        <v>1.0</v>
      </c>
      <c r="B233" s="349" t="s">
        <v>4396</v>
      </c>
      <c r="C233" s="55">
        <v>228.0</v>
      </c>
      <c r="D233" s="55">
        <v>2.0</v>
      </c>
      <c r="E233" s="55" t="s">
        <v>390</v>
      </c>
      <c r="F233" s="171" t="str">
        <f>HYPERLINK("https://www.cnnindonesia.com/hiburan/20190519143707-220-396204/rocketman-dibicarakan-karena-adegan-lgbtq ","sumber")</f>
        <v>sumber</v>
      </c>
      <c r="G233" s="171" t="str">
        <f>HYPERLINK("https://drive.google.com/open?id=1r44j7a-zVlXRQw-XpIgpiasyxOJK5a3-","lokasi")</f>
        <v>lokasi</v>
      </c>
      <c r="H233" s="55">
        <v>283.0</v>
      </c>
      <c r="I233" s="55">
        <v>1.0</v>
      </c>
      <c r="J233" s="55">
        <v>3.0</v>
      </c>
      <c r="K233" s="172" t="s">
        <v>4397</v>
      </c>
      <c r="L233" s="55">
        <v>-1.0</v>
      </c>
      <c r="M233" s="188">
        <v>0.0</v>
      </c>
      <c r="N233" s="173">
        <v>0.0</v>
      </c>
      <c r="O233" s="55">
        <v>0.0</v>
      </c>
      <c r="P233" s="55">
        <v>0.0</v>
      </c>
      <c r="Q233" s="55" t="s">
        <v>61</v>
      </c>
      <c r="R233" s="55" t="s">
        <v>214</v>
      </c>
      <c r="S233" s="174"/>
      <c r="T233" s="55">
        <v>0.0</v>
      </c>
      <c r="U233" s="55">
        <v>0.0</v>
      </c>
      <c r="V233" s="55">
        <v>1.0</v>
      </c>
      <c r="W233" s="46"/>
      <c r="X233" s="46"/>
      <c r="Y233" s="46"/>
      <c r="Z233" s="302"/>
      <c r="AA233" s="30"/>
      <c r="AB233" s="31"/>
      <c r="AC233" s="31"/>
      <c r="AD233" s="31"/>
      <c r="AE233" s="31"/>
      <c r="AF233" s="31"/>
    </row>
    <row r="234">
      <c r="A234" s="152">
        <v>2.0</v>
      </c>
      <c r="B234" s="153" t="s">
        <v>4398</v>
      </c>
      <c r="C234" s="47">
        <v>229.0</v>
      </c>
      <c r="D234" s="47">
        <v>5.0</v>
      </c>
      <c r="E234" s="47" t="s">
        <v>2599</v>
      </c>
      <c r="F234" s="156" t="str">
        <f>HYPERLINK("https://tirto.id/alasan-orang-orang-aceh-tak-lagi-memilih-jokowi-dUZu ","sumber")</f>
        <v>sumber</v>
      </c>
      <c r="G234" s="156" t="str">
        <f>HYPERLINK("https://drive.google.com/open?id=1B1PIfjQkk6hqh9Cw59_KUVBLo0DQs4Qo","lokasi")</f>
        <v>lokasi</v>
      </c>
      <c r="H234" s="47">
        <v>1341.0</v>
      </c>
      <c r="I234" s="48"/>
      <c r="J234" s="48"/>
      <c r="K234" s="165"/>
      <c r="L234" s="48"/>
      <c r="M234" s="48"/>
      <c r="N234" s="48"/>
      <c r="O234" s="48"/>
      <c r="P234" s="48"/>
      <c r="Q234" s="48"/>
      <c r="R234" s="48"/>
      <c r="S234" s="165"/>
      <c r="T234" s="48"/>
      <c r="U234" s="48"/>
      <c r="V234" s="48"/>
      <c r="W234" s="48"/>
      <c r="X234" s="48"/>
      <c r="Y234" s="48"/>
      <c r="Z234" s="338"/>
      <c r="AA234" s="43"/>
      <c r="AB234" s="51"/>
      <c r="AC234" s="51"/>
      <c r="AD234" s="51"/>
      <c r="AE234" s="51"/>
      <c r="AF234" s="51"/>
    </row>
    <row r="235">
      <c r="A235" s="158">
        <v>1.0</v>
      </c>
      <c r="B235" s="159" t="s">
        <v>4399</v>
      </c>
      <c r="C235" s="44">
        <v>230.0</v>
      </c>
      <c r="D235" s="44">
        <v>7.0</v>
      </c>
      <c r="E235" s="44" t="s">
        <v>2599</v>
      </c>
      <c r="F235" s="162" t="str">
        <f>HYPERLINK("http://www.tribunnews.com/regional/2019/05/26/gara-gara-cintanya-ditolak-pria-di-palembang-tega-bunuh-kekasih-warianya ","sumber")</f>
        <v>sumber</v>
      </c>
      <c r="G235" s="162" t="str">
        <f>HYPERLINK("https://drive.google.com/open?id=1xKpA9moyRe2RQXYK_HXOJZeX9zmXhoRy","lokasi")</f>
        <v>lokasi</v>
      </c>
      <c r="H235" s="44">
        <v>157.0</v>
      </c>
      <c r="I235" s="44">
        <v>1.0</v>
      </c>
      <c r="J235" s="44">
        <v>3.0</v>
      </c>
      <c r="K235" s="164" t="s">
        <v>4400</v>
      </c>
      <c r="L235" s="44">
        <v>0.0</v>
      </c>
      <c r="M235" s="44">
        <v>1.0</v>
      </c>
      <c r="N235" s="44">
        <v>-1.0</v>
      </c>
      <c r="O235" s="44">
        <v>0.0</v>
      </c>
      <c r="P235" s="44">
        <v>-1.0</v>
      </c>
      <c r="Q235" s="44" t="s">
        <v>119</v>
      </c>
      <c r="R235" s="44" t="s">
        <v>61</v>
      </c>
      <c r="S235" s="175"/>
      <c r="T235" s="44">
        <v>0.0</v>
      </c>
      <c r="U235" s="44">
        <v>-1.0</v>
      </c>
      <c r="V235" s="44">
        <v>0.0</v>
      </c>
      <c r="W235" s="45"/>
      <c r="X235" s="45"/>
      <c r="Y235" s="45"/>
      <c r="Z235" s="9"/>
      <c r="AA235" s="9"/>
      <c r="AB235" s="9"/>
      <c r="AC235" s="9"/>
      <c r="AD235" s="9"/>
      <c r="AE235" s="9"/>
      <c r="AF235" s="9"/>
    </row>
    <row r="236">
      <c r="A236" s="158">
        <v>1.0</v>
      </c>
      <c r="B236" s="159" t="s">
        <v>4401</v>
      </c>
      <c r="C236" s="44">
        <v>231.0</v>
      </c>
      <c r="D236" s="44">
        <v>8.0</v>
      </c>
      <c r="E236" s="44" t="s">
        <v>2212</v>
      </c>
      <c r="F236" s="162" t="str">
        <f>HYPERLINK("https://www.suara.com/news/2019/05/27/162822/dilarang-negara-cucu-pendiri-singapura-nikahi-kekasih-gay-di-afsel ","sumber")</f>
        <v>sumber</v>
      </c>
      <c r="G236" s="162" t="str">
        <f>HYPERLINK("https://drive.google.com/open?id=1angvpGgMbQo2Xb3TRZQwnz6WLMjscVwN","lokasi")</f>
        <v>lokasi</v>
      </c>
      <c r="H236" s="44">
        <v>270.0</v>
      </c>
      <c r="I236" s="44">
        <v>2.0</v>
      </c>
      <c r="J236" s="44">
        <v>3.0</v>
      </c>
      <c r="K236" s="164" t="s">
        <v>4402</v>
      </c>
      <c r="L236" s="44">
        <v>0.0</v>
      </c>
      <c r="M236" s="44">
        <v>0.0</v>
      </c>
      <c r="N236" s="166">
        <v>0.0</v>
      </c>
      <c r="O236" s="44">
        <v>0.0</v>
      </c>
      <c r="P236" s="44">
        <v>0.0</v>
      </c>
      <c r="Q236" s="44" t="s">
        <v>80</v>
      </c>
      <c r="R236" s="44" t="s">
        <v>1450</v>
      </c>
      <c r="S236" s="175"/>
      <c r="T236" s="44">
        <v>0.0</v>
      </c>
      <c r="U236" s="44">
        <v>0.0</v>
      </c>
      <c r="V236" s="44">
        <v>0.0</v>
      </c>
      <c r="W236" s="45"/>
      <c r="X236" s="45"/>
      <c r="Y236" s="45"/>
      <c r="Z236" s="9"/>
      <c r="AA236" s="9"/>
      <c r="AB236" s="9"/>
      <c r="AC236" s="9"/>
      <c r="AD236" s="9"/>
      <c r="AE236" s="9"/>
      <c r="AF236" s="9"/>
    </row>
    <row r="237">
      <c r="A237" s="158">
        <v>1.0</v>
      </c>
      <c r="B237" s="159" t="s">
        <v>4403</v>
      </c>
      <c r="C237" s="44">
        <v>232.0</v>
      </c>
      <c r="D237" s="44">
        <v>10.0</v>
      </c>
      <c r="E237" s="44" t="s">
        <v>2212</v>
      </c>
      <c r="F237" s="162" t="str">
        <f>HYPERLINK("https://seleb.tempo.co/read/1209731/baru-kenal-ashanty-beberkan-perilaku-lucinta-luna ","sumber")</f>
        <v>sumber</v>
      </c>
      <c r="G237" s="44" t="s">
        <v>33</v>
      </c>
      <c r="H237" s="44">
        <v>168.0</v>
      </c>
      <c r="I237" s="44">
        <v>2.0</v>
      </c>
      <c r="J237" s="44">
        <v>3.0</v>
      </c>
      <c r="K237" s="164" t="s">
        <v>4404</v>
      </c>
      <c r="L237" s="44">
        <v>0.0</v>
      </c>
      <c r="M237" s="44">
        <v>0.0</v>
      </c>
      <c r="N237" s="166">
        <v>0.0</v>
      </c>
      <c r="O237" s="44">
        <v>0.0</v>
      </c>
      <c r="P237" s="44">
        <v>0.0</v>
      </c>
      <c r="Q237" s="44">
        <v>0.0</v>
      </c>
      <c r="R237" s="44">
        <v>1.0</v>
      </c>
      <c r="S237" s="175"/>
      <c r="T237" s="44">
        <v>0.0</v>
      </c>
      <c r="U237" s="44">
        <v>-1.0</v>
      </c>
      <c r="V237" s="44">
        <v>1.0</v>
      </c>
      <c r="W237" s="45"/>
      <c r="X237" s="45"/>
      <c r="Y237" s="45"/>
      <c r="Z237" s="9"/>
      <c r="AA237" s="9"/>
      <c r="AB237" s="9"/>
      <c r="AC237" s="9"/>
      <c r="AD237" s="9"/>
      <c r="AE237" s="9"/>
      <c r="AF237" s="9"/>
    </row>
    <row r="238">
      <c r="A238" s="158">
        <v>1.0</v>
      </c>
      <c r="B238" s="159" t="s">
        <v>4405</v>
      </c>
      <c r="C238" s="44">
        <v>233.0</v>
      </c>
      <c r="D238" s="44">
        <v>7.0</v>
      </c>
      <c r="E238" s="44" t="s">
        <v>2212</v>
      </c>
      <c r="F238" s="162" t="str">
        <f>HYPERLINK("http://www.tribunnews.com/internasional/2019/05/27/kontroversi-pernikahan-sesama-jenis-cucu-pendiri-singapura-lee-kuan-yew-jadi-sorotan-internasional ","sumber")</f>
        <v>sumber</v>
      </c>
      <c r="G238" s="44" t="s">
        <v>33</v>
      </c>
      <c r="H238" s="44">
        <v>248.0</v>
      </c>
      <c r="I238" s="44">
        <v>2.0</v>
      </c>
      <c r="J238" s="44">
        <v>3.0</v>
      </c>
      <c r="K238" s="164" t="s">
        <v>4406</v>
      </c>
      <c r="L238" s="44">
        <v>-1.0</v>
      </c>
      <c r="M238" s="44">
        <v>0.0</v>
      </c>
      <c r="N238" s="166">
        <v>0.0</v>
      </c>
      <c r="O238" s="44">
        <v>0.0</v>
      </c>
      <c r="P238" s="44">
        <v>0.0</v>
      </c>
      <c r="Q238" s="44">
        <v>2.0</v>
      </c>
      <c r="R238" s="44">
        <v>1.0</v>
      </c>
      <c r="S238" s="175"/>
      <c r="T238" s="44">
        <v>0.0</v>
      </c>
      <c r="U238" s="44">
        <v>-1.0</v>
      </c>
      <c r="V238" s="44">
        <v>0.0</v>
      </c>
      <c r="W238" s="45"/>
      <c r="X238" s="45"/>
      <c r="Y238" s="45"/>
      <c r="Z238" s="9"/>
      <c r="AA238" s="9"/>
      <c r="AB238" s="9"/>
      <c r="AC238" s="9"/>
      <c r="AD238" s="9"/>
      <c r="AE238" s="9"/>
      <c r="AF238" s="9"/>
    </row>
    <row r="239">
      <c r="A239" s="43">
        <v>2.0</v>
      </c>
      <c r="B239" s="47" t="s">
        <v>4407</v>
      </c>
      <c r="C239" s="47">
        <v>234.0</v>
      </c>
      <c r="D239" s="47">
        <v>5.0</v>
      </c>
      <c r="E239" s="47" t="s">
        <v>4408</v>
      </c>
      <c r="F239" s="156" t="str">
        <f>HYPERLINK("https://tirto.id/kemenangan-parasites-dalam-cannes-unjuk-wajah-baru-sinema-asia-d7f7 ","sumber")</f>
        <v>sumber</v>
      </c>
      <c r="G239" s="47" t="s">
        <v>33</v>
      </c>
      <c r="H239" s="47">
        <v>1614.0</v>
      </c>
      <c r="I239" s="319"/>
      <c r="J239" s="350"/>
      <c r="K239" s="319"/>
      <c r="L239" s="48"/>
      <c r="M239" s="48"/>
      <c r="N239" s="48"/>
      <c r="O239" s="48"/>
      <c r="P239" s="48"/>
      <c r="Q239" s="48"/>
      <c r="R239" s="48"/>
      <c r="S239" s="165"/>
      <c r="T239" s="48"/>
      <c r="U239" s="319"/>
      <c r="V239" s="319"/>
      <c r="W239" s="48"/>
      <c r="X239" s="48"/>
      <c r="Y239" s="48"/>
      <c r="Z239" s="338"/>
      <c r="AA239" s="43"/>
      <c r="AB239" s="51"/>
      <c r="AC239" s="51"/>
      <c r="AD239" s="51"/>
      <c r="AE239" s="51"/>
      <c r="AF239" s="51"/>
    </row>
    <row r="240">
      <c r="A240" s="231">
        <v>1.0</v>
      </c>
      <c r="B240" s="44" t="s">
        <v>4409</v>
      </c>
      <c r="C240" s="44">
        <v>235.0</v>
      </c>
      <c r="D240" s="44">
        <v>8.0</v>
      </c>
      <c r="E240" s="44" t="s">
        <v>404</v>
      </c>
      <c r="F240" s="162" t="str">
        <f>HYPERLINK("https://www.suara.com/entertainment/2019/05/30/192252/captain-vincent-raditya-bantah-ajak-lucinta-luna-kolaborasi ","sumber")</f>
        <v>sumber</v>
      </c>
      <c r="G240" s="44" t="s">
        <v>33</v>
      </c>
      <c r="H240" s="44">
        <v>255.0</v>
      </c>
      <c r="I240" s="44">
        <v>1.0</v>
      </c>
      <c r="J240" s="44">
        <v>3.0</v>
      </c>
      <c r="K240" s="164" t="s">
        <v>4410</v>
      </c>
      <c r="L240" s="44">
        <v>0.0</v>
      </c>
      <c r="M240" s="44">
        <v>-1.0</v>
      </c>
      <c r="N240" s="166">
        <v>0.0</v>
      </c>
      <c r="O240" s="44">
        <v>0.0</v>
      </c>
      <c r="P240" s="44">
        <v>0.0</v>
      </c>
      <c r="Q240" s="44" t="s">
        <v>61</v>
      </c>
      <c r="R240" s="44" t="s">
        <v>61</v>
      </c>
      <c r="S240" s="175"/>
      <c r="T240" s="44">
        <v>0.0</v>
      </c>
      <c r="U240" s="44">
        <v>-1.0</v>
      </c>
      <c r="V240" s="44">
        <v>0.0</v>
      </c>
      <c r="W240" s="45"/>
      <c r="X240" s="45"/>
      <c r="Y240" s="45"/>
      <c r="Z240" s="52"/>
      <c r="AA240" s="9"/>
      <c r="AB240" s="9"/>
      <c r="AC240" s="9"/>
      <c r="AD240" s="9"/>
      <c r="AE240" s="9"/>
      <c r="AF240" s="9"/>
    </row>
    <row r="241">
      <c r="A241" s="252">
        <v>1.0</v>
      </c>
      <c r="B241" s="173" t="s">
        <v>4411</v>
      </c>
      <c r="C241" s="55">
        <v>236.0</v>
      </c>
      <c r="D241" s="55">
        <v>2.0</v>
      </c>
      <c r="E241" s="344">
        <v>43714.0</v>
      </c>
      <c r="F241" s="171" t="str">
        <f>HYPERLINK("https://www.cnnindonesia.com/internasional/20190609072258-134-401835/polisi-inggris-usut-lima-remaja-penganiaya-pasangan-lesbian ","sumber")</f>
        <v>sumber</v>
      </c>
      <c r="G241" s="55" t="s">
        <v>33</v>
      </c>
      <c r="H241" s="55">
        <v>400.0</v>
      </c>
      <c r="I241" s="55">
        <v>1.0</v>
      </c>
      <c r="J241" s="55">
        <v>3.0</v>
      </c>
      <c r="K241" s="172" t="s">
        <v>4412</v>
      </c>
      <c r="L241" s="55">
        <v>0.0</v>
      </c>
      <c r="M241" s="55">
        <v>-1.0</v>
      </c>
      <c r="N241" s="173">
        <v>0.0</v>
      </c>
      <c r="O241" s="55">
        <v>0.0</v>
      </c>
      <c r="P241" s="55">
        <v>0.0</v>
      </c>
      <c r="Q241" s="55" t="s">
        <v>80</v>
      </c>
      <c r="R241" s="55" t="s">
        <v>392</v>
      </c>
      <c r="S241" s="174"/>
      <c r="T241" s="55">
        <v>0.0</v>
      </c>
      <c r="U241" s="55">
        <v>0.0</v>
      </c>
      <c r="V241" s="55">
        <v>0.0</v>
      </c>
      <c r="W241" s="46"/>
      <c r="X241" s="46"/>
      <c r="Y241" s="46"/>
      <c r="Z241" s="302"/>
      <c r="AA241" s="30"/>
      <c r="AB241" s="31"/>
      <c r="AC241" s="31"/>
      <c r="AD241" s="31"/>
      <c r="AE241" s="31"/>
      <c r="AF241" s="31"/>
    </row>
    <row r="242">
      <c r="A242" s="43">
        <v>2.0</v>
      </c>
      <c r="B242" s="47" t="s">
        <v>4413</v>
      </c>
      <c r="C242" s="47">
        <v>237.0</v>
      </c>
      <c r="D242" s="47">
        <v>4.0</v>
      </c>
      <c r="E242" s="280">
        <v>43502.0</v>
      </c>
      <c r="F242" s="156" t="str">
        <f>HYPERLINK("https://www.liputan6.com/global/read/3981980/1200-perempuan-penduduk-asli-kanada-diduga-jadi-korban-genosida ","sumber")</f>
        <v>sumber</v>
      </c>
      <c r="G242" s="47" t="s">
        <v>33</v>
      </c>
      <c r="H242" s="47">
        <v>457.0</v>
      </c>
      <c r="I242" s="48"/>
      <c r="J242" s="48"/>
      <c r="K242" s="165"/>
      <c r="L242" s="48"/>
      <c r="M242" s="48"/>
      <c r="N242" s="48"/>
      <c r="O242" s="48"/>
      <c r="P242" s="48"/>
      <c r="Q242" s="48"/>
      <c r="R242" s="48"/>
      <c r="S242" s="165"/>
      <c r="T242" s="48"/>
      <c r="U242" s="48"/>
      <c r="V242" s="48"/>
      <c r="W242" s="48"/>
      <c r="X242" s="48"/>
      <c r="Y242" s="48"/>
      <c r="Z242" s="338"/>
      <c r="AA242" s="43"/>
      <c r="AB242" s="51"/>
      <c r="AC242" s="51"/>
      <c r="AD242" s="51"/>
      <c r="AE242" s="51"/>
      <c r="AF242" s="51"/>
    </row>
    <row r="243">
      <c r="A243" s="231">
        <v>1.0</v>
      </c>
      <c r="B243" s="44" t="s">
        <v>4414</v>
      </c>
      <c r="C243" s="44">
        <v>238.0</v>
      </c>
      <c r="D243" s="44">
        <v>2.0</v>
      </c>
      <c r="E243" s="268">
        <v>43530.0</v>
      </c>
      <c r="F243" s="162" t="str">
        <f>HYPERLINK("https://www.cnnindonesia.com/nasional/20190603202457-20-400777/bkkbn-sebut-lgbt-musuh-pembangunan ","sumber")</f>
        <v>sumber</v>
      </c>
      <c r="G243" s="44" t="s">
        <v>33</v>
      </c>
      <c r="H243" s="44">
        <v>241.0</v>
      </c>
      <c r="I243" s="44">
        <v>1.0</v>
      </c>
      <c r="J243" s="44">
        <v>3.0</v>
      </c>
      <c r="K243" s="164" t="s">
        <v>4415</v>
      </c>
      <c r="L243" s="44">
        <v>0.0</v>
      </c>
      <c r="M243" s="44">
        <v>-1.0</v>
      </c>
      <c r="N243" s="166">
        <v>0.0</v>
      </c>
      <c r="O243" s="44">
        <v>0.0</v>
      </c>
      <c r="P243" s="44">
        <v>0.0</v>
      </c>
      <c r="Q243" s="44">
        <v>0.0</v>
      </c>
      <c r="R243" s="44">
        <v>-1.0</v>
      </c>
      <c r="S243" s="164" t="s">
        <v>4416</v>
      </c>
      <c r="T243" s="44">
        <v>2.0</v>
      </c>
      <c r="U243" s="44">
        <v>0.0</v>
      </c>
      <c r="V243" s="44">
        <v>0.0</v>
      </c>
      <c r="W243" s="45"/>
      <c r="X243" s="45"/>
      <c r="Y243" s="45"/>
      <c r="Z243" s="9"/>
      <c r="AA243" s="9"/>
      <c r="AB243" s="9"/>
      <c r="AC243" s="9"/>
      <c r="AD243" s="9"/>
      <c r="AE243" s="9"/>
      <c r="AF243" s="9"/>
    </row>
    <row r="244">
      <c r="A244" s="43">
        <v>2.0</v>
      </c>
      <c r="B244" s="47" t="s">
        <v>4417</v>
      </c>
      <c r="C244" s="47">
        <v>239.0</v>
      </c>
      <c r="D244" s="47">
        <v>7.0</v>
      </c>
      <c r="E244" s="280">
        <v>43530.0</v>
      </c>
      <c r="F244" s="156" t="str">
        <f>HYPERLINK("http://www.tribunnews.com/nasional/2019/06/03/senin-sore-besok-prabowo-subianto-akan-sambangi-puri-cikeas-sampaikan-belasungkawa-ke-sby ","sumber")</f>
        <v>sumber</v>
      </c>
      <c r="G244" s="47" t="s">
        <v>33</v>
      </c>
      <c r="H244" s="47">
        <v>226.0</v>
      </c>
      <c r="I244" s="48"/>
      <c r="J244" s="48"/>
      <c r="K244" s="165"/>
      <c r="L244" s="48"/>
      <c r="M244" s="48"/>
      <c r="N244" s="48"/>
      <c r="O244" s="48"/>
      <c r="P244" s="48"/>
      <c r="Q244" s="48"/>
      <c r="R244" s="48"/>
      <c r="S244" s="165"/>
      <c r="T244" s="48"/>
      <c r="U244" s="48"/>
      <c r="V244" s="48"/>
      <c r="W244" s="48"/>
      <c r="X244" s="48"/>
      <c r="Y244" s="48"/>
      <c r="Z244" s="338"/>
      <c r="AA244" s="43"/>
      <c r="AB244" s="51"/>
      <c r="AC244" s="51"/>
      <c r="AD244" s="51"/>
      <c r="AE244" s="51"/>
      <c r="AF244" s="51"/>
    </row>
    <row r="245">
      <c r="A245" s="231">
        <v>1.0</v>
      </c>
      <c r="B245" s="44" t="s">
        <v>4418</v>
      </c>
      <c r="C245" s="44">
        <v>240.0</v>
      </c>
      <c r="D245" s="44">
        <v>8.0</v>
      </c>
      <c r="E245" s="268">
        <v>43714.0</v>
      </c>
      <c r="F245" s="162" t="str">
        <f>HYPERLINK("https://www.suara.com/entertainment/2019/06/09/095001/lucinta-luna-ngaku-minum-pil-kb-buat-apa ","sumber")</f>
        <v>sumber</v>
      </c>
      <c r="G245" s="269" t="s">
        <v>33</v>
      </c>
      <c r="H245" s="44">
        <v>221.0</v>
      </c>
      <c r="I245" s="44">
        <v>1.0</v>
      </c>
      <c r="J245" s="44">
        <v>3.0</v>
      </c>
      <c r="K245" s="164" t="s">
        <v>4419</v>
      </c>
      <c r="L245" s="44">
        <v>-1.0</v>
      </c>
      <c r="M245" s="44">
        <v>-1.0</v>
      </c>
      <c r="N245" s="44">
        <v>-1.0</v>
      </c>
      <c r="O245" s="44">
        <v>0.0</v>
      </c>
      <c r="P245" s="44">
        <v>0.0</v>
      </c>
      <c r="Q245" s="44" t="s">
        <v>53</v>
      </c>
      <c r="R245" s="44" t="s">
        <v>546</v>
      </c>
      <c r="S245" s="175"/>
      <c r="T245" s="44">
        <v>0.0</v>
      </c>
      <c r="U245" s="44">
        <v>-1.0</v>
      </c>
      <c r="V245" s="44">
        <v>0.0</v>
      </c>
      <c r="W245" s="45"/>
      <c r="X245" s="45"/>
      <c r="Y245" s="45"/>
      <c r="Z245" s="9"/>
      <c r="AA245" s="9"/>
      <c r="AB245" s="9"/>
      <c r="AC245" s="9"/>
      <c r="AD245" s="9"/>
      <c r="AE245" s="9"/>
      <c r="AF245" s="9"/>
    </row>
    <row r="246">
      <c r="A246" s="231">
        <v>1.0</v>
      </c>
      <c r="B246" s="44" t="s">
        <v>4420</v>
      </c>
      <c r="C246" s="44">
        <v>241.0</v>
      </c>
      <c r="D246" s="44">
        <v>8.0</v>
      </c>
      <c r="E246" s="268">
        <v>43775.0</v>
      </c>
      <c r="F246" s="162" t="str">
        <f>HYPERLINK("https://www.suara.com/entertainment/2019/06/11/081054/lucinta-luna-hina-wajah-seseorang-warganet-nggak-ngaca ","sumber")</f>
        <v>sumber</v>
      </c>
      <c r="G246" s="44" t="s">
        <v>33</v>
      </c>
      <c r="H246" s="44">
        <v>212.0</v>
      </c>
      <c r="I246" s="44">
        <v>1.0</v>
      </c>
      <c r="J246" s="44">
        <v>3.0</v>
      </c>
      <c r="K246" s="164" t="s">
        <v>4421</v>
      </c>
      <c r="L246" s="44">
        <v>-1.0</v>
      </c>
      <c r="M246" s="44">
        <v>-1.0</v>
      </c>
      <c r="N246" s="44">
        <v>-1.0</v>
      </c>
      <c r="O246" s="44">
        <v>0.0</v>
      </c>
      <c r="P246" s="44">
        <v>0.0</v>
      </c>
      <c r="Q246" s="44" t="s">
        <v>61</v>
      </c>
      <c r="R246" s="44" t="s">
        <v>85</v>
      </c>
      <c r="S246" s="175"/>
      <c r="T246" s="44">
        <v>0.0</v>
      </c>
      <c r="U246" s="44">
        <v>-1.0</v>
      </c>
      <c r="V246" s="44">
        <v>0.0</v>
      </c>
      <c r="W246" s="45"/>
      <c r="X246" s="45"/>
      <c r="Y246" s="45"/>
      <c r="Z246" s="9"/>
      <c r="AA246" s="9"/>
      <c r="AB246" s="9"/>
      <c r="AC246" s="9"/>
      <c r="AD246" s="9"/>
      <c r="AE246" s="9"/>
      <c r="AF246" s="9"/>
    </row>
    <row r="247">
      <c r="A247" s="231">
        <v>1.0</v>
      </c>
      <c r="B247" s="44" t="s">
        <v>4422</v>
      </c>
      <c r="C247" s="44">
        <v>242.0</v>
      </c>
      <c r="D247" s="44">
        <v>7.0</v>
      </c>
      <c r="E247" s="268">
        <v>43805.0</v>
      </c>
      <c r="F247" s="162" t="str">
        <f>HYPERLINK("http://www.tribunnews.com/regional/2019/06/12/plt-kepala-satpol-pp-kota-bandung-sebut-waria-pintar-cari-kelengahan-anggotanya ","sumber")</f>
        <v>sumber</v>
      </c>
      <c r="G247" s="44" t="s">
        <v>33</v>
      </c>
      <c r="H247" s="44">
        <v>203.0</v>
      </c>
      <c r="I247" s="44">
        <v>1.0</v>
      </c>
      <c r="J247" s="44">
        <v>3.0</v>
      </c>
      <c r="K247" s="164" t="s">
        <v>4423</v>
      </c>
      <c r="L247" s="44">
        <v>0.0</v>
      </c>
      <c r="M247" s="44">
        <v>-1.0</v>
      </c>
      <c r="N247" s="166">
        <v>0.0</v>
      </c>
      <c r="O247" s="44">
        <v>0.0</v>
      </c>
      <c r="P247" s="44">
        <v>0.0</v>
      </c>
      <c r="Q247" s="44">
        <v>0.0</v>
      </c>
      <c r="R247" s="44">
        <v>-1.0</v>
      </c>
      <c r="S247" s="175"/>
      <c r="T247" s="44">
        <v>0.0</v>
      </c>
      <c r="U247" s="44">
        <v>0.0</v>
      </c>
      <c r="V247" s="44">
        <v>0.0</v>
      </c>
      <c r="W247" s="45"/>
      <c r="X247" s="45"/>
      <c r="Y247" s="45"/>
      <c r="Z247" s="9"/>
      <c r="AA247" s="9"/>
      <c r="AB247" s="9"/>
      <c r="AC247" s="9"/>
      <c r="AD247" s="9"/>
      <c r="AE247" s="9"/>
      <c r="AF247" s="9"/>
    </row>
    <row r="248">
      <c r="A248" s="43">
        <v>2.0</v>
      </c>
      <c r="B248" s="47" t="s">
        <v>4424</v>
      </c>
      <c r="C248" s="47">
        <v>243.0</v>
      </c>
      <c r="D248" s="47">
        <v>8.0</v>
      </c>
      <c r="E248" s="47" t="s">
        <v>4425</v>
      </c>
      <c r="F248" s="156" t="str">
        <f>HYPERLINK("https://www.suara.com/news/2019/06/13/144005/ujaran-jokowi-banci-habib-bahar-bin-smith-dituntut-6-tahun-penjara ","sumber")</f>
        <v>sumber</v>
      </c>
      <c r="G248" s="47" t="s">
        <v>33</v>
      </c>
      <c r="H248" s="47">
        <v>286.0</v>
      </c>
      <c r="I248" s="48"/>
      <c r="J248" s="48"/>
      <c r="K248" s="165"/>
      <c r="L248" s="48"/>
      <c r="M248" s="48"/>
      <c r="N248" s="48"/>
      <c r="O248" s="48"/>
      <c r="P248" s="48"/>
      <c r="Q248" s="48"/>
      <c r="R248" s="48"/>
      <c r="S248" s="165"/>
      <c r="T248" s="48"/>
      <c r="U248" s="48"/>
      <c r="V248" s="48"/>
      <c r="W248" s="48"/>
      <c r="X248" s="48"/>
      <c r="Y248" s="48"/>
      <c r="Z248" s="338"/>
      <c r="AA248" s="43"/>
      <c r="AB248" s="51"/>
      <c r="AC248" s="51"/>
      <c r="AD248" s="51"/>
      <c r="AE248" s="51"/>
      <c r="AF248" s="51"/>
    </row>
    <row r="249">
      <c r="A249" s="231">
        <v>1.0</v>
      </c>
      <c r="B249" s="44" t="s">
        <v>4426</v>
      </c>
      <c r="C249" s="44">
        <v>244.0</v>
      </c>
      <c r="D249" s="44">
        <v>7.0</v>
      </c>
      <c r="E249" s="44" t="s">
        <v>259</v>
      </c>
      <c r="F249" s="162" t="str">
        <f>HYPERLINK("http://www.tribunnews.com/seleb/2019/06/15/rilis-lagu-di-hari-ulang-tahun-donald-trump-taylor-swift-disebut-buat-sindiran-untuk-presiden-as ","sumber")</f>
        <v>sumber</v>
      </c>
      <c r="G249" s="44" t="s">
        <v>33</v>
      </c>
      <c r="H249" s="44">
        <v>116.0</v>
      </c>
      <c r="I249" s="44">
        <v>3.0</v>
      </c>
      <c r="J249" s="44">
        <v>3.0</v>
      </c>
      <c r="K249" s="164" t="s">
        <v>4427</v>
      </c>
      <c r="L249" s="44">
        <v>0.0</v>
      </c>
      <c r="M249" s="44">
        <v>0.0</v>
      </c>
      <c r="N249" s="166">
        <v>0.0</v>
      </c>
      <c r="O249" s="44">
        <v>0.0</v>
      </c>
      <c r="P249" s="44">
        <v>0.0</v>
      </c>
      <c r="Q249" s="44" t="s">
        <v>61</v>
      </c>
      <c r="R249" s="44" t="s">
        <v>100</v>
      </c>
      <c r="S249" s="175"/>
      <c r="T249" s="44">
        <v>0.0</v>
      </c>
      <c r="U249" s="44">
        <v>0.0</v>
      </c>
      <c r="V249" s="44">
        <v>1.0</v>
      </c>
      <c r="W249" s="45"/>
      <c r="X249" s="45"/>
      <c r="Y249" s="45"/>
      <c r="Z249" s="9"/>
      <c r="AA249" s="9"/>
      <c r="AB249" s="9"/>
      <c r="AC249" s="9"/>
      <c r="AD249" s="9"/>
      <c r="AE249" s="9"/>
      <c r="AF249" s="9"/>
    </row>
    <row r="250">
      <c r="A250" s="252">
        <v>1.0</v>
      </c>
      <c r="B250" s="173" t="s">
        <v>4428</v>
      </c>
      <c r="C250" s="55">
        <v>245.0</v>
      </c>
      <c r="D250" s="55">
        <v>9.0</v>
      </c>
      <c r="E250" s="344">
        <v>43472.0</v>
      </c>
      <c r="F250" s="171" t="str">
        <f>HYPERLINK("https://republika.co.id/berita/pty6l5349/alarm-bagi-orang-tua-dari-tampilan-lgbt-dalam-serial-kartun ","sumber")</f>
        <v>sumber</v>
      </c>
      <c r="G250" s="55" t="s">
        <v>33</v>
      </c>
      <c r="H250" s="55">
        <v>508.0</v>
      </c>
      <c r="I250" s="55">
        <v>1.0</v>
      </c>
      <c r="J250" s="55">
        <v>3.0</v>
      </c>
      <c r="K250" s="172" t="s">
        <v>4429</v>
      </c>
      <c r="L250" s="55">
        <v>0.0</v>
      </c>
      <c r="M250" s="188">
        <v>0.0</v>
      </c>
      <c r="N250" s="173">
        <v>0.0</v>
      </c>
      <c r="O250" s="55">
        <v>0.0</v>
      </c>
      <c r="P250" s="55">
        <v>0.0</v>
      </c>
      <c r="Q250" s="55" t="s">
        <v>61</v>
      </c>
      <c r="R250" s="55" t="s">
        <v>100</v>
      </c>
      <c r="S250" s="172" t="s">
        <v>4430</v>
      </c>
      <c r="T250" s="55">
        <v>2.0</v>
      </c>
      <c r="U250" s="55">
        <v>0.0</v>
      </c>
      <c r="V250" s="55">
        <v>0.0</v>
      </c>
      <c r="W250" s="46"/>
      <c r="X250" s="46"/>
      <c r="Y250" s="46"/>
      <c r="Z250" s="302"/>
      <c r="AA250" s="30"/>
      <c r="AB250" s="31"/>
      <c r="AC250" s="31"/>
      <c r="AD250" s="31"/>
      <c r="AE250" s="31"/>
      <c r="AF250" s="31"/>
    </row>
    <row r="251">
      <c r="A251" s="231">
        <v>1.0</v>
      </c>
      <c r="B251" s="44" t="s">
        <v>4431</v>
      </c>
      <c r="C251" s="44">
        <v>246.0</v>
      </c>
      <c r="D251" s="44">
        <v>5.0</v>
      </c>
      <c r="E251" s="44" t="s">
        <v>414</v>
      </c>
      <c r="F251" s="162" t="str">
        <f>HYPERLINK("https://tirto.id/preview-drama-strong-girl-bong-soon-episode-7-di-trans-tv-sore-ini-ecAa ","sumber")</f>
        <v>sumber</v>
      </c>
      <c r="G251" s="44" t="s">
        <v>33</v>
      </c>
      <c r="H251" s="44">
        <v>647.0</v>
      </c>
      <c r="I251" s="44">
        <v>5.0</v>
      </c>
      <c r="J251" s="44">
        <v>3.0</v>
      </c>
      <c r="K251" s="164"/>
      <c r="L251" s="44">
        <v>0.0</v>
      </c>
      <c r="M251" s="44">
        <v>0.0</v>
      </c>
      <c r="N251" s="166">
        <v>0.0</v>
      </c>
      <c r="O251" s="44">
        <v>0.0</v>
      </c>
      <c r="P251" s="44">
        <v>0.0</v>
      </c>
      <c r="Q251" s="44"/>
      <c r="R251" s="44"/>
      <c r="S251" s="175"/>
      <c r="T251" s="44">
        <v>0.0</v>
      </c>
      <c r="U251" s="44">
        <v>0.0</v>
      </c>
      <c r="V251" s="44">
        <v>0.0</v>
      </c>
      <c r="W251" s="45"/>
      <c r="X251" s="45"/>
      <c r="Y251" s="45"/>
      <c r="Z251" s="9"/>
      <c r="AA251" s="9"/>
      <c r="AB251" s="9"/>
      <c r="AC251" s="9"/>
      <c r="AD251" s="9"/>
      <c r="AE251" s="9"/>
      <c r="AF251" s="9"/>
    </row>
    <row r="252">
      <c r="A252" s="231">
        <v>1.0</v>
      </c>
      <c r="B252" s="44" t="s">
        <v>1546</v>
      </c>
      <c r="C252" s="44">
        <v>247.0</v>
      </c>
      <c r="D252" s="44">
        <v>2.0</v>
      </c>
      <c r="E252" s="44" t="s">
        <v>607</v>
      </c>
      <c r="F252" s="162" t="str">
        <f>HYPERLINK("https://www.cnnindonesia.com/hiburan/20190618201106-234-404409/elton-john-akan-terima-penghargaan-dari-presiden-prancis ","sumber")</f>
        <v>sumber</v>
      </c>
      <c r="G252" s="44" t="s">
        <v>33</v>
      </c>
      <c r="H252" s="44">
        <v>285.0</v>
      </c>
      <c r="I252" s="44">
        <v>2.0</v>
      </c>
      <c r="J252" s="44">
        <v>3.0</v>
      </c>
      <c r="K252" s="164"/>
      <c r="L252" s="44">
        <v>0.0</v>
      </c>
      <c r="M252" s="44">
        <v>0.0</v>
      </c>
      <c r="N252" s="166">
        <v>0.0</v>
      </c>
      <c r="O252" s="44">
        <v>0.0</v>
      </c>
      <c r="P252" s="44">
        <v>0.0</v>
      </c>
      <c r="Q252" s="44"/>
      <c r="R252" s="44"/>
      <c r="S252" s="175"/>
      <c r="T252" s="44">
        <v>0.0</v>
      </c>
      <c r="U252" s="44">
        <v>0.0</v>
      </c>
      <c r="V252" s="44">
        <v>0.0</v>
      </c>
      <c r="W252" s="45"/>
      <c r="X252" s="45"/>
      <c r="Y252" s="45"/>
      <c r="Z252" s="9"/>
      <c r="AA252" s="9"/>
      <c r="AB252" s="9"/>
      <c r="AC252" s="9"/>
      <c r="AD252" s="9"/>
      <c r="AE252" s="9"/>
      <c r="AF252" s="9"/>
    </row>
    <row r="253">
      <c r="A253" s="252">
        <v>1.0</v>
      </c>
      <c r="B253" s="173" t="s">
        <v>4432</v>
      </c>
      <c r="C253" s="55">
        <v>248.0</v>
      </c>
      <c r="D253" s="55">
        <v>6.0</v>
      </c>
      <c r="E253" s="344">
        <v>43683.0</v>
      </c>
      <c r="F253" s="171" t="str">
        <f>HYPERLINK("https://internasional.kompas.com/read/2019/06/08/15463171/menolak-berciuman-di-depan-umum-pasangan-gay-ini-dihajar ","sumber")</f>
        <v>sumber</v>
      </c>
      <c r="G253" s="55" t="s">
        <v>33</v>
      </c>
      <c r="H253" s="55">
        <v>399.0</v>
      </c>
      <c r="I253" s="55">
        <v>1.0</v>
      </c>
      <c r="J253" s="55">
        <v>2.0</v>
      </c>
      <c r="K253" s="172" t="s">
        <v>4433</v>
      </c>
      <c r="L253" s="55">
        <v>-1.0</v>
      </c>
      <c r="M253" s="55">
        <v>-1.0</v>
      </c>
      <c r="N253" s="173">
        <v>0.0</v>
      </c>
      <c r="O253" s="55">
        <v>0.0</v>
      </c>
      <c r="P253" s="55">
        <v>0.0</v>
      </c>
      <c r="Q253" s="55" t="s">
        <v>80</v>
      </c>
      <c r="R253" s="55" t="s">
        <v>392</v>
      </c>
      <c r="S253" s="174"/>
      <c r="T253" s="55">
        <v>0.0</v>
      </c>
      <c r="U253" s="55">
        <v>0.0</v>
      </c>
      <c r="V253" s="55">
        <v>0.0</v>
      </c>
      <c r="W253" s="46"/>
      <c r="X253" s="46"/>
      <c r="Y253" s="46"/>
      <c r="Z253" s="302"/>
      <c r="AA253" s="30"/>
      <c r="AB253" s="31"/>
      <c r="AC253" s="31"/>
      <c r="AD253" s="31"/>
      <c r="AE253" s="31"/>
      <c r="AF253" s="31"/>
    </row>
    <row r="254">
      <c r="A254" s="43">
        <v>2.0</v>
      </c>
      <c r="B254" s="47" t="s">
        <v>4434</v>
      </c>
      <c r="C254" s="47">
        <v>249.0</v>
      </c>
      <c r="D254" s="47">
        <v>4.0</v>
      </c>
      <c r="E254" s="47" t="s">
        <v>267</v>
      </c>
      <c r="F254" s="156" t="str">
        <f>HYPERLINK("https://hot.liputan6.com/read/3995801/deddy-corbuzier-ditanya-soal-sunat-ini-risikonya-jika-dilakukan-saat-dewasa ","sumber")</f>
        <v>sumber</v>
      </c>
      <c r="G254" s="47" t="s">
        <v>33</v>
      </c>
      <c r="H254" s="47">
        <v>699.0</v>
      </c>
      <c r="I254" s="48"/>
      <c r="J254" s="48"/>
      <c r="K254" s="165"/>
      <c r="L254" s="48"/>
      <c r="M254" s="48"/>
      <c r="N254" s="48"/>
      <c r="O254" s="48"/>
      <c r="P254" s="48"/>
      <c r="Q254" s="48"/>
      <c r="R254" s="48"/>
      <c r="S254" s="165"/>
      <c r="T254" s="48"/>
      <c r="U254" s="48"/>
      <c r="V254" s="48"/>
      <c r="W254" s="48"/>
      <c r="X254" s="48"/>
      <c r="Y254" s="48"/>
      <c r="Z254" s="338"/>
      <c r="AA254" s="43"/>
      <c r="AB254" s="51"/>
      <c r="AC254" s="51"/>
      <c r="AD254" s="51"/>
      <c r="AE254" s="51"/>
      <c r="AF254" s="51"/>
    </row>
    <row r="255">
      <c r="A255" s="252">
        <v>1.0</v>
      </c>
      <c r="B255" s="173" t="s">
        <v>4435</v>
      </c>
      <c r="C255" s="55">
        <v>250.0</v>
      </c>
      <c r="D255" s="55">
        <v>1.0</v>
      </c>
      <c r="E255" s="55" t="s">
        <v>607</v>
      </c>
      <c r="F255" s="171" t="str">
        <f>HYPERLINK("https://hot.detik.com/book/d-4591930/tuai-kontroversi-singgung-lgbt-penulis-the-notebook-minta-maaf ","sumber")</f>
        <v>sumber</v>
      </c>
      <c r="G255" s="55" t="s">
        <v>33</v>
      </c>
      <c r="H255" s="55">
        <v>406.0</v>
      </c>
      <c r="I255" s="55">
        <v>1.0</v>
      </c>
      <c r="J255" s="55">
        <v>2.0</v>
      </c>
      <c r="K255" s="172" t="s">
        <v>4436</v>
      </c>
      <c r="L255" s="55">
        <v>-1.0</v>
      </c>
      <c r="M255" s="55">
        <v>-1.0</v>
      </c>
      <c r="N255" s="173">
        <v>0.0</v>
      </c>
      <c r="O255" s="55">
        <v>0.0</v>
      </c>
      <c r="P255" s="55">
        <v>0.0</v>
      </c>
      <c r="Q255" s="55">
        <v>0.0</v>
      </c>
      <c r="R255" s="55">
        <v>1.0</v>
      </c>
      <c r="S255" s="174"/>
      <c r="T255" s="55">
        <v>0.0</v>
      </c>
      <c r="U255" s="55">
        <v>0.0</v>
      </c>
      <c r="V255" s="55">
        <v>0.0</v>
      </c>
      <c r="W255" s="46"/>
      <c r="X255" s="46"/>
      <c r="Y255" s="46"/>
      <c r="Z255" s="302"/>
      <c r="AA255" s="30"/>
      <c r="AB255" s="31"/>
      <c r="AC255" s="31"/>
      <c r="AD255" s="31"/>
      <c r="AE255" s="31"/>
      <c r="AF255" s="31"/>
    </row>
    <row r="256">
      <c r="A256" s="43">
        <v>2.0</v>
      </c>
      <c r="B256" s="192" t="s">
        <v>4437</v>
      </c>
      <c r="C256" s="47">
        <v>251.0</v>
      </c>
      <c r="D256" s="47">
        <v>10.0</v>
      </c>
      <c r="E256" s="47" t="s">
        <v>4438</v>
      </c>
      <c r="F256" s="156" t="str">
        <f>HYPERLINK("https://kolom.tempo.co/read/1212760/kisah-diskriminasi-seorang-polisi-lgbt ","sumber")</f>
        <v>sumber</v>
      </c>
      <c r="G256" s="47" t="s">
        <v>33</v>
      </c>
      <c r="H256" s="47">
        <v>268.0</v>
      </c>
      <c r="I256" s="48"/>
      <c r="J256" s="48"/>
      <c r="K256" s="165"/>
      <c r="L256" s="48"/>
      <c r="M256" s="48"/>
      <c r="N256" s="48"/>
      <c r="O256" s="48"/>
      <c r="P256" s="48"/>
      <c r="Q256" s="48"/>
      <c r="R256" s="48"/>
      <c r="S256" s="165"/>
      <c r="T256" s="48"/>
      <c r="U256" s="48"/>
      <c r="V256" s="48"/>
      <c r="W256" s="48"/>
      <c r="X256" s="48"/>
      <c r="Y256" s="48"/>
      <c r="Z256" s="338"/>
      <c r="AA256" s="43"/>
      <c r="AB256" s="51"/>
      <c r="AC256" s="51"/>
      <c r="AD256" s="51"/>
      <c r="AE256" s="51"/>
      <c r="AF256" s="51"/>
    </row>
    <row r="257">
      <c r="A257" s="231">
        <v>1.0</v>
      </c>
      <c r="B257" s="44" t="s">
        <v>4439</v>
      </c>
      <c r="C257" s="44">
        <v>252.0</v>
      </c>
      <c r="D257" s="44">
        <v>5.0</v>
      </c>
      <c r="E257" s="44" t="s">
        <v>273</v>
      </c>
      <c r="F257" s="162" t="str">
        <f>HYPERLINK("https://tirto.id/asa-timnas-wanita-italia-menghantam-balik-seksisme-di-italia-edaU ","sumber")</f>
        <v>sumber</v>
      </c>
      <c r="G257" s="44" t="s">
        <v>33</v>
      </c>
      <c r="H257" s="44">
        <v>1020.0</v>
      </c>
      <c r="I257" s="44">
        <v>1.0</v>
      </c>
      <c r="J257" s="44">
        <v>1.0</v>
      </c>
      <c r="K257" s="164" t="s">
        <v>4440</v>
      </c>
      <c r="L257" s="44">
        <v>0.0</v>
      </c>
      <c r="M257" s="44">
        <v>1.0</v>
      </c>
      <c r="N257" s="166">
        <v>0.0</v>
      </c>
      <c r="O257" s="44">
        <v>1.0</v>
      </c>
      <c r="P257" s="44">
        <v>0.0</v>
      </c>
      <c r="Q257" s="44" t="s">
        <v>2978</v>
      </c>
      <c r="R257" s="44" t="s">
        <v>753</v>
      </c>
      <c r="S257" s="175"/>
      <c r="T257" s="44">
        <v>0.0</v>
      </c>
      <c r="U257" s="44">
        <v>0.0</v>
      </c>
      <c r="V257" s="44">
        <v>1.0</v>
      </c>
      <c r="W257" s="45"/>
      <c r="X257" s="45"/>
      <c r="Y257" s="45"/>
      <c r="Z257" s="9"/>
      <c r="AA257" s="9"/>
      <c r="AB257" s="9"/>
      <c r="AC257" s="9"/>
      <c r="AD257" s="9"/>
      <c r="AE257" s="9"/>
      <c r="AF257" s="9"/>
    </row>
    <row r="258">
      <c r="A258" s="231">
        <v>1.0</v>
      </c>
      <c r="B258" s="44" t="s">
        <v>4441</v>
      </c>
      <c r="C258" s="44">
        <v>253.0</v>
      </c>
      <c r="D258" s="44">
        <v>5.0</v>
      </c>
      <c r="E258" s="44" t="s">
        <v>841</v>
      </c>
      <c r="F258" s="162" t="str">
        <f>HYPERLINK("https://tirto.id/megan-rapinoe-timnas-wanita-as-adalah-mimpi-buruk-donald-trump-edjq ","sumber")</f>
        <v>sumber</v>
      </c>
      <c r="G258" s="44" t="s">
        <v>33</v>
      </c>
      <c r="H258" s="44">
        <v>1114.0</v>
      </c>
      <c r="I258" s="44">
        <v>3.0</v>
      </c>
      <c r="J258" s="44">
        <v>1.0</v>
      </c>
      <c r="K258" s="164" t="s">
        <v>4442</v>
      </c>
      <c r="L258" s="44">
        <v>0.0</v>
      </c>
      <c r="M258" s="44">
        <v>0.0</v>
      </c>
      <c r="N258" s="166">
        <v>0.0</v>
      </c>
      <c r="O258" s="44">
        <v>0.0</v>
      </c>
      <c r="P258" s="44">
        <v>0.0</v>
      </c>
      <c r="Q258" s="44" t="s">
        <v>4443</v>
      </c>
      <c r="R258" s="44" t="s">
        <v>4444</v>
      </c>
      <c r="S258" s="175"/>
      <c r="T258" s="44">
        <v>0.0</v>
      </c>
      <c r="U258" s="44">
        <v>0.0</v>
      </c>
      <c r="V258" s="44">
        <v>1.0</v>
      </c>
      <c r="W258" s="45"/>
      <c r="X258" s="45"/>
      <c r="Y258" s="45"/>
      <c r="Z258" s="9"/>
      <c r="AA258" s="9"/>
      <c r="AB258" s="9"/>
      <c r="AC258" s="9"/>
      <c r="AD258" s="9"/>
      <c r="AE258" s="9"/>
      <c r="AF258" s="9"/>
    </row>
    <row r="259">
      <c r="A259" s="231">
        <v>1.0</v>
      </c>
      <c r="B259" s="44" t="s">
        <v>4445</v>
      </c>
      <c r="C259" s="44">
        <v>254.0</v>
      </c>
      <c r="D259" s="44">
        <v>3.0</v>
      </c>
      <c r="E259" s="268">
        <v>43503.0</v>
      </c>
      <c r="F259" s="162" t="str">
        <f>HYPERLINK("https://celebrity.okezone.com/read/2019/07/02/33/2073570/sesuatu-bergerak-di-perut-lucinta-luna-netizen-mungkin-cacing ","sumber")</f>
        <v>sumber</v>
      </c>
      <c r="G259" s="44" t="s">
        <v>33</v>
      </c>
      <c r="H259" s="44">
        <v>435.0</v>
      </c>
      <c r="I259" s="44">
        <v>2.0</v>
      </c>
      <c r="J259" s="44">
        <v>3.0</v>
      </c>
      <c r="K259" s="164" t="s">
        <v>4446</v>
      </c>
      <c r="L259" s="44">
        <v>-1.0</v>
      </c>
      <c r="M259" s="44">
        <v>0.0</v>
      </c>
      <c r="N259" s="166">
        <v>0.0</v>
      </c>
      <c r="O259" s="44">
        <v>0.0</v>
      </c>
      <c r="P259" s="44">
        <v>-1.0</v>
      </c>
      <c r="Q259" s="44" t="s">
        <v>53</v>
      </c>
      <c r="R259" s="44" t="s">
        <v>546</v>
      </c>
      <c r="S259" s="164" t="s">
        <v>4447</v>
      </c>
      <c r="T259" s="44">
        <v>2.0</v>
      </c>
      <c r="U259" s="44">
        <v>-1.0</v>
      </c>
      <c r="V259" s="44">
        <v>0.0</v>
      </c>
      <c r="W259" s="45"/>
      <c r="X259" s="45"/>
      <c r="Y259" s="45"/>
      <c r="Z259" s="9"/>
      <c r="AA259" s="9"/>
      <c r="AB259" s="9"/>
      <c r="AC259" s="9"/>
      <c r="AD259" s="9"/>
      <c r="AE259" s="9"/>
      <c r="AF259" s="9"/>
    </row>
    <row r="260">
      <c r="A260" s="252">
        <v>1.0</v>
      </c>
      <c r="B260" s="173" t="s">
        <v>2428</v>
      </c>
      <c r="C260" s="55">
        <v>255.0</v>
      </c>
      <c r="D260" s="55">
        <v>1.0</v>
      </c>
      <c r="E260" s="55" t="s">
        <v>2429</v>
      </c>
      <c r="F260" s="171" t="str">
        <f>HYPERLINK("https://news.detik.com/bbc-world/d-4627771/di-irak-pelecehan-seksual-lebih-banyak-dialami-pria-daripada-wanita ","sumber")</f>
        <v>sumber</v>
      </c>
      <c r="G260" s="55" t="s">
        <v>33</v>
      </c>
      <c r="H260" s="55">
        <v>768.0</v>
      </c>
      <c r="I260" s="55">
        <v>2.0</v>
      </c>
      <c r="J260" s="55">
        <v>3.0</v>
      </c>
      <c r="K260" s="172" t="s">
        <v>4448</v>
      </c>
      <c r="L260" s="55">
        <v>0.0</v>
      </c>
      <c r="M260" s="55">
        <v>0.0</v>
      </c>
      <c r="N260" s="173">
        <v>0.0</v>
      </c>
      <c r="O260" s="55">
        <v>0.0</v>
      </c>
      <c r="P260" s="55">
        <v>0.0</v>
      </c>
      <c r="Q260" s="55" t="s">
        <v>214</v>
      </c>
      <c r="R260" s="55" t="s">
        <v>192</v>
      </c>
      <c r="S260" s="174"/>
      <c r="T260" s="55">
        <v>0.0</v>
      </c>
      <c r="U260" s="55">
        <v>0.0</v>
      </c>
      <c r="V260" s="55">
        <v>1.0</v>
      </c>
      <c r="W260" s="46"/>
      <c r="X260" s="46"/>
      <c r="Y260" s="46"/>
      <c r="Z260" s="302"/>
      <c r="AA260" s="30"/>
      <c r="AB260" s="31"/>
      <c r="AC260" s="31"/>
      <c r="AD260" s="31"/>
      <c r="AE260" s="31"/>
      <c r="AF260" s="31"/>
    </row>
    <row r="261">
      <c r="A261" s="252">
        <v>1.0</v>
      </c>
      <c r="B261" s="173" t="s">
        <v>1570</v>
      </c>
      <c r="C261" s="55">
        <v>256.0</v>
      </c>
      <c r="D261" s="55">
        <v>10.0</v>
      </c>
      <c r="E261" s="55" t="s">
        <v>871</v>
      </c>
      <c r="F261" s="171" t="str">
        <f>HYPERLINK("https://metro.tempo.co/read/1228494/perda-anti-lgbt-di-depok-anggota-dprd-pertanyakan-banyak-hal ","sumber")</f>
        <v>sumber</v>
      </c>
      <c r="G261" s="55" t="s">
        <v>33</v>
      </c>
      <c r="H261" s="55">
        <v>30.0</v>
      </c>
      <c r="I261" s="55">
        <v>1.0</v>
      </c>
      <c r="J261" s="55">
        <v>3.0</v>
      </c>
      <c r="K261" s="172" t="s">
        <v>4449</v>
      </c>
      <c r="L261" s="55">
        <v>0.0</v>
      </c>
      <c r="M261" s="55">
        <v>1.0</v>
      </c>
      <c r="N261" s="173">
        <v>0.0</v>
      </c>
      <c r="O261" s="55">
        <v>0.0</v>
      </c>
      <c r="P261" s="55">
        <v>0.0</v>
      </c>
      <c r="Q261" s="55" t="s">
        <v>53</v>
      </c>
      <c r="R261" s="55" t="s">
        <v>1450</v>
      </c>
      <c r="S261" s="174"/>
      <c r="T261" s="55">
        <v>0.0</v>
      </c>
      <c r="U261" s="55">
        <v>0.0</v>
      </c>
      <c r="V261" s="55">
        <v>1.0</v>
      </c>
      <c r="W261" s="46"/>
      <c r="X261" s="46"/>
      <c r="Y261" s="46"/>
      <c r="Z261" s="302"/>
      <c r="AA261" s="30"/>
      <c r="AB261" s="31"/>
      <c r="AC261" s="31"/>
      <c r="AD261" s="31"/>
      <c r="AE261" s="31"/>
      <c r="AF261" s="31"/>
    </row>
    <row r="262">
      <c r="A262" s="43">
        <v>2.0</v>
      </c>
      <c r="B262" s="47" t="s">
        <v>4450</v>
      </c>
      <c r="C262" s="47">
        <v>257.0</v>
      </c>
      <c r="D262" s="47">
        <v>3.0</v>
      </c>
      <c r="E262" s="280">
        <v>43592.0</v>
      </c>
      <c r="F262" s="156" t="str">
        <f>HYPERLINK("https://celebrity.okezone.com/read/2019/07/05/205/2075263/comeback-aida-saskia-gabungkan-dangdut-dan-edm ","sumber")</f>
        <v>sumber</v>
      </c>
      <c r="G262" s="47" t="s">
        <v>33</v>
      </c>
      <c r="H262" s="47">
        <v>291.0</v>
      </c>
      <c r="I262" s="48"/>
      <c r="J262" s="48"/>
      <c r="K262" s="165"/>
      <c r="L262" s="48"/>
      <c r="M262" s="48"/>
      <c r="N262" s="48"/>
      <c r="O262" s="48"/>
      <c r="P262" s="48"/>
      <c r="Q262" s="48"/>
      <c r="R262" s="48"/>
      <c r="S262" s="165"/>
      <c r="T262" s="48"/>
      <c r="U262" s="48"/>
      <c r="V262" s="48"/>
      <c r="W262" s="48"/>
      <c r="X262" s="48"/>
      <c r="Y262" s="48"/>
      <c r="Z262" s="338"/>
      <c r="AA262" s="43"/>
      <c r="AB262" s="51"/>
      <c r="AC262" s="51"/>
      <c r="AD262" s="51"/>
      <c r="AE262" s="51"/>
      <c r="AF262" s="51"/>
    </row>
    <row r="263">
      <c r="A263" s="43">
        <v>2.0</v>
      </c>
      <c r="B263" s="47" t="s">
        <v>4451</v>
      </c>
      <c r="C263" s="47">
        <v>258.0</v>
      </c>
      <c r="D263" s="47">
        <v>4.0</v>
      </c>
      <c r="E263" s="280">
        <v>43623.0</v>
      </c>
      <c r="F263" s="156" t="str">
        <f>HYPERLINK("https://www.liputan6.com/tekno/read/4006168/sempat-hilang-seorang-wanita-temukan-suaminya-muncul-di-aplikasi-tiktok ","sumber")</f>
        <v>sumber</v>
      </c>
      <c r="G263" s="47" t="s">
        <v>33</v>
      </c>
      <c r="H263" s="47">
        <v>497.0</v>
      </c>
      <c r="I263" s="48"/>
      <c r="J263" s="48"/>
      <c r="K263" s="165"/>
      <c r="L263" s="48"/>
      <c r="M263" s="48"/>
      <c r="N263" s="48"/>
      <c r="O263" s="48"/>
      <c r="P263" s="48"/>
      <c r="Q263" s="48"/>
      <c r="R263" s="48"/>
      <c r="S263" s="165"/>
      <c r="T263" s="48"/>
      <c r="U263" s="48"/>
      <c r="V263" s="48"/>
      <c r="W263" s="48"/>
      <c r="X263" s="48"/>
      <c r="Y263" s="48"/>
      <c r="Z263" s="338"/>
      <c r="AA263" s="43"/>
      <c r="AB263" s="51"/>
      <c r="AC263" s="51"/>
      <c r="AD263" s="51"/>
      <c r="AE263" s="51"/>
      <c r="AF263" s="51"/>
    </row>
    <row r="264">
      <c r="A264" s="231">
        <v>1.0</v>
      </c>
      <c r="B264" s="44" t="s">
        <v>4452</v>
      </c>
      <c r="C264" s="44">
        <v>259.0</v>
      </c>
      <c r="D264" s="44">
        <v>7.0</v>
      </c>
      <c r="E264" s="268">
        <v>43745.0</v>
      </c>
      <c r="F264" s="162" t="str">
        <f>HYPERLINK("https://www.tribunnews.com/regional/2019/07/10/blak-blakan-kalapas-perempuan-bandung-urusi-narapidana-cenderung-lesbian ","sumber")</f>
        <v>sumber</v>
      </c>
      <c r="G264" s="44" t="s">
        <v>33</v>
      </c>
      <c r="H264" s="44">
        <v>287.0</v>
      </c>
      <c r="I264" s="44">
        <v>1.0</v>
      </c>
      <c r="J264" s="44">
        <v>3.0</v>
      </c>
      <c r="K264" s="164" t="s">
        <v>4453</v>
      </c>
      <c r="L264" s="44">
        <v>0.0</v>
      </c>
      <c r="M264" s="44">
        <v>-1.0</v>
      </c>
      <c r="N264" s="166">
        <v>0.0</v>
      </c>
      <c r="O264" s="44">
        <v>0.0</v>
      </c>
      <c r="P264" s="44">
        <v>-1.0</v>
      </c>
      <c r="Q264" s="44" t="s">
        <v>61</v>
      </c>
      <c r="R264" s="44" t="s">
        <v>685</v>
      </c>
      <c r="S264" s="164" t="s">
        <v>4454</v>
      </c>
      <c r="T264" s="44">
        <v>1.0</v>
      </c>
      <c r="U264" s="44">
        <v>0.0</v>
      </c>
      <c r="V264" s="44">
        <v>0.0</v>
      </c>
      <c r="W264" s="45"/>
      <c r="X264" s="45"/>
      <c r="Y264" s="45"/>
      <c r="Z264" s="9"/>
      <c r="AA264" s="9"/>
      <c r="AB264" s="9"/>
      <c r="AC264" s="9"/>
      <c r="AD264" s="9"/>
      <c r="AE264" s="9"/>
      <c r="AF264" s="9"/>
    </row>
    <row r="265">
      <c r="A265" s="231">
        <v>1.0</v>
      </c>
      <c r="B265" s="44" t="s">
        <v>4455</v>
      </c>
      <c r="C265" s="44">
        <v>260.0</v>
      </c>
      <c r="D265" s="44">
        <v>4.0</v>
      </c>
      <c r="E265" s="268">
        <v>43806.0</v>
      </c>
      <c r="F265" s="162" t="str">
        <f>HYPERLINK("https://www.liputan6.com/news/read/4010573/12-juli-2008-terungkapnya-pembunuhan-berantai-ryan-jombang ","sumber")</f>
        <v>sumber</v>
      </c>
      <c r="G265" s="44" t="s">
        <v>33</v>
      </c>
      <c r="H265" s="44">
        <v>1060.0</v>
      </c>
      <c r="I265" s="44">
        <v>1.0</v>
      </c>
      <c r="J265" s="44">
        <v>2.0</v>
      </c>
      <c r="K265" s="164" t="s">
        <v>4456</v>
      </c>
      <c r="L265" s="44">
        <v>0.0</v>
      </c>
      <c r="M265" s="44">
        <v>1.0</v>
      </c>
      <c r="N265" s="166">
        <v>0.0</v>
      </c>
      <c r="O265" s="44">
        <v>0.0</v>
      </c>
      <c r="P265" s="44">
        <v>0.0</v>
      </c>
      <c r="Q265" s="44" t="s">
        <v>53</v>
      </c>
      <c r="R265" s="44" t="s">
        <v>131</v>
      </c>
      <c r="S265" s="175"/>
      <c r="T265" s="44">
        <v>0.0</v>
      </c>
      <c r="U265" s="44">
        <v>0.0</v>
      </c>
      <c r="V265" s="44">
        <v>1.0</v>
      </c>
      <c r="W265" s="45"/>
      <c r="X265" s="45"/>
      <c r="Y265" s="45"/>
      <c r="Z265" s="9"/>
      <c r="AA265" s="9"/>
      <c r="AB265" s="9"/>
      <c r="AC265" s="9"/>
      <c r="AD265" s="9"/>
      <c r="AE265" s="9"/>
      <c r="AF265" s="9"/>
    </row>
    <row r="266">
      <c r="A266" s="158">
        <v>1.0</v>
      </c>
      <c r="B266" s="351" t="s">
        <v>853</v>
      </c>
      <c r="C266" s="44">
        <v>261.0</v>
      </c>
      <c r="D266" s="44">
        <v>9.0</v>
      </c>
      <c r="E266" s="268">
        <v>43806.0</v>
      </c>
      <c r="F266" s="162" t="str">
        <f>HYPERLINK("https://www.suara.com/news/2019/07/12/164539/soal-disorientasi-seksual-di-lapas-kemenkumham-pertimbangkan-bilik-asmara ","sumber")</f>
        <v>sumber</v>
      </c>
      <c r="G266" s="44" t="s">
        <v>33</v>
      </c>
      <c r="H266" s="44">
        <v>341.0</v>
      </c>
      <c r="I266" s="44">
        <v>4.0</v>
      </c>
      <c r="J266" s="44">
        <v>3.0</v>
      </c>
      <c r="K266" s="164" t="s">
        <v>4457</v>
      </c>
      <c r="L266" s="44">
        <v>0.0</v>
      </c>
      <c r="M266" s="44">
        <v>0.0</v>
      </c>
      <c r="N266" s="166">
        <v>0.0</v>
      </c>
      <c r="O266" s="44">
        <v>0.0</v>
      </c>
      <c r="P266" s="44">
        <v>0.0</v>
      </c>
      <c r="Q266" s="44" t="s">
        <v>214</v>
      </c>
      <c r="R266" s="44" t="s">
        <v>62</v>
      </c>
      <c r="S266" s="164" t="s">
        <v>4458</v>
      </c>
      <c r="T266" s="44">
        <v>3.0</v>
      </c>
      <c r="U266" s="44">
        <v>0.0</v>
      </c>
      <c r="V266" s="44">
        <v>1.0</v>
      </c>
      <c r="W266" s="45"/>
      <c r="X266" s="45"/>
      <c r="Y266" s="45"/>
      <c r="Z266" s="9"/>
      <c r="AA266" s="9"/>
      <c r="AB266" s="9"/>
      <c r="AC266" s="9"/>
      <c r="AD266" s="9"/>
      <c r="AE266" s="9"/>
      <c r="AF266" s="9"/>
    </row>
    <row r="267">
      <c r="A267" s="231">
        <v>1.0</v>
      </c>
      <c r="B267" s="44" t="s">
        <v>856</v>
      </c>
      <c r="C267" s="44">
        <v>262.0</v>
      </c>
      <c r="D267" s="44">
        <v>5.0</v>
      </c>
      <c r="E267" s="268">
        <v>43806.0</v>
      </c>
      <c r="F267" s="162" t="str">
        <f>HYPERLINK("https://tirto.id/memisahkan-napi-lgbt-itu-diskriminatif-dan-tak-masuk-akal-ed6i ","sumber")</f>
        <v>sumber</v>
      </c>
      <c r="G267" s="44" t="s">
        <v>33</v>
      </c>
      <c r="H267" s="44">
        <v>507.0</v>
      </c>
      <c r="I267" s="44">
        <v>4.0</v>
      </c>
      <c r="J267" s="44">
        <v>3.0</v>
      </c>
      <c r="K267" s="164" t="s">
        <v>4459</v>
      </c>
      <c r="L267" s="44">
        <v>0.0</v>
      </c>
      <c r="M267" s="44">
        <v>0.0</v>
      </c>
      <c r="N267" s="166">
        <v>0.0</v>
      </c>
      <c r="O267" s="44">
        <v>0.0</v>
      </c>
      <c r="P267" s="44">
        <v>0.0</v>
      </c>
      <c r="Q267" s="44" t="s">
        <v>53</v>
      </c>
      <c r="R267" s="44" t="s">
        <v>771</v>
      </c>
      <c r="S267" s="175"/>
      <c r="T267" s="44">
        <v>0.0</v>
      </c>
      <c r="U267" s="44">
        <v>0.0</v>
      </c>
      <c r="V267" s="44">
        <v>1.0</v>
      </c>
      <c r="W267" s="45"/>
      <c r="X267" s="45"/>
      <c r="Y267" s="45"/>
      <c r="Z267" s="9"/>
      <c r="AA267" s="9"/>
      <c r="AB267" s="9"/>
      <c r="AC267" s="9"/>
      <c r="AD267" s="9"/>
      <c r="AE267" s="9"/>
      <c r="AF267" s="9"/>
    </row>
    <row r="268">
      <c r="A268" s="231">
        <v>1.0</v>
      </c>
      <c r="B268" s="44" t="s">
        <v>4460</v>
      </c>
      <c r="C268" s="44">
        <v>263.0</v>
      </c>
      <c r="D268" s="44">
        <v>10.0</v>
      </c>
      <c r="E268" s="44" t="s">
        <v>865</v>
      </c>
      <c r="F268" s="162" t="str">
        <f>HYPERLINK("https://metro.tempo.co/read/1226832/tolak-raperda-anti-lgbt-dkr-depok-usulkan-perda-hivaids ","sumber")</f>
        <v>sumber</v>
      </c>
      <c r="G268" s="44" t="s">
        <v>33</v>
      </c>
      <c r="H268" s="44">
        <v>6.0</v>
      </c>
      <c r="I268" s="44">
        <v>4.0</v>
      </c>
      <c r="J268" s="44">
        <v>3.0</v>
      </c>
      <c r="K268" s="164" t="s">
        <v>4461</v>
      </c>
      <c r="L268" s="44">
        <v>0.0</v>
      </c>
      <c r="M268" s="44">
        <v>0.0</v>
      </c>
      <c r="N268" s="166">
        <v>0.0</v>
      </c>
      <c r="O268" s="44">
        <v>0.0</v>
      </c>
      <c r="P268" s="44">
        <v>0.0</v>
      </c>
      <c r="Q268" s="44">
        <v>0.0</v>
      </c>
      <c r="R268" s="44">
        <v>1.0</v>
      </c>
      <c r="S268" s="175"/>
      <c r="T268" s="44">
        <v>0.0</v>
      </c>
      <c r="U268" s="44">
        <v>0.0</v>
      </c>
      <c r="V268" s="44">
        <v>1.0</v>
      </c>
      <c r="W268" s="45"/>
      <c r="X268" s="45"/>
      <c r="Y268" s="45"/>
      <c r="Z268" s="9"/>
      <c r="AA268" s="9"/>
      <c r="AB268" s="9"/>
      <c r="AC268" s="9"/>
      <c r="AD268" s="9"/>
      <c r="AE268" s="9"/>
      <c r="AF268" s="9"/>
    </row>
    <row r="269">
      <c r="A269" s="231">
        <v>1.0</v>
      </c>
      <c r="B269" s="44" t="s">
        <v>4462</v>
      </c>
      <c r="C269" s="44">
        <v>264.0</v>
      </c>
      <c r="D269" s="44">
        <v>5.0</v>
      </c>
      <c r="E269" s="44" t="s">
        <v>642</v>
      </c>
      <c r="F269" s="162" t="str">
        <f>HYPERLINK("https://tirto.id/pemimpin-pesantren-waria-raih-penghargaan-sebagai-pejuang-ham-eeN7 ","sumber")</f>
        <v>sumber</v>
      </c>
      <c r="G269" s="44" t="s">
        <v>33</v>
      </c>
      <c r="H269" s="44">
        <v>439.0</v>
      </c>
      <c r="I269" s="44">
        <v>2.0</v>
      </c>
      <c r="J269" s="44">
        <v>3.0</v>
      </c>
      <c r="K269" s="164" t="s">
        <v>4463</v>
      </c>
      <c r="L269" s="44">
        <v>0.0</v>
      </c>
      <c r="M269" s="44">
        <v>0.0</v>
      </c>
      <c r="N269" s="166">
        <v>0.0</v>
      </c>
      <c r="O269" s="44">
        <v>0.0</v>
      </c>
      <c r="P269" s="44">
        <v>0.0</v>
      </c>
      <c r="Q269" s="44" t="s">
        <v>100</v>
      </c>
      <c r="R269" s="44" t="s">
        <v>192</v>
      </c>
      <c r="S269" s="175"/>
      <c r="T269" s="44">
        <v>0.0</v>
      </c>
      <c r="U269" s="44">
        <v>0.0</v>
      </c>
      <c r="V269" s="44">
        <v>1.0</v>
      </c>
      <c r="W269" s="45"/>
      <c r="X269" s="45"/>
      <c r="Y269" s="45"/>
      <c r="Z269" s="9"/>
      <c r="AA269" s="9"/>
      <c r="AB269" s="9"/>
      <c r="AC269" s="9"/>
      <c r="AD269" s="9"/>
      <c r="AE269" s="9"/>
      <c r="AF269" s="9"/>
    </row>
    <row r="270">
      <c r="A270" s="43">
        <v>2.0</v>
      </c>
      <c r="B270" s="47" t="s">
        <v>3496</v>
      </c>
      <c r="C270" s="47">
        <v>265.0</v>
      </c>
      <c r="D270" s="47">
        <v>9.0</v>
      </c>
      <c r="E270" s="47" t="s">
        <v>431</v>
      </c>
      <c r="F270" s="156" t="str">
        <f>HYPERLINK("https://internasional.republika.co.id/berita/pv1qut15000/raih-dukungan-politik-kaum-muda-saudi-gunakan-musik-pop ","sumber")</f>
        <v>sumber</v>
      </c>
      <c r="G270" s="47" t="s">
        <v>33</v>
      </c>
      <c r="H270" s="47">
        <v>768.0</v>
      </c>
      <c r="I270" s="48"/>
      <c r="J270" s="48"/>
      <c r="K270" s="165"/>
      <c r="L270" s="48"/>
      <c r="M270" s="48"/>
      <c r="N270" s="48"/>
      <c r="O270" s="48"/>
      <c r="P270" s="48"/>
      <c r="Q270" s="48"/>
      <c r="R270" s="48"/>
      <c r="S270" s="165"/>
      <c r="T270" s="48"/>
      <c r="U270" s="48"/>
      <c r="V270" s="48"/>
      <c r="W270" s="48"/>
      <c r="X270" s="48"/>
      <c r="Y270" s="48"/>
      <c r="Z270" s="338"/>
      <c r="AA270" s="43"/>
      <c r="AB270" s="51"/>
      <c r="AC270" s="51"/>
      <c r="AD270" s="51"/>
      <c r="AE270" s="51"/>
      <c r="AF270" s="51"/>
    </row>
    <row r="271">
      <c r="A271" s="231">
        <v>1.0</v>
      </c>
      <c r="B271" s="44" t="s">
        <v>4464</v>
      </c>
      <c r="C271" s="44">
        <v>266.0</v>
      </c>
      <c r="D271" s="44">
        <v>6.0</v>
      </c>
      <c r="E271" s="44" t="s">
        <v>2082</v>
      </c>
      <c r="F271" s="162" t="str">
        <f>HYPERLINK("https://entertainment.kompas.com/read/2019/07/26/143547610/program-brownis-transtv-terancam-dihentikan-kpi ","sumber")</f>
        <v>sumber</v>
      </c>
      <c r="G271" s="44" t="s">
        <v>33</v>
      </c>
      <c r="H271" s="44">
        <v>410.0</v>
      </c>
      <c r="I271" s="44">
        <v>1.0</v>
      </c>
      <c r="J271" s="44">
        <v>3.0</v>
      </c>
      <c r="K271" s="164" t="s">
        <v>4465</v>
      </c>
      <c r="L271" s="44">
        <v>0.0</v>
      </c>
      <c r="M271" s="44">
        <v>-1.0</v>
      </c>
      <c r="N271" s="166">
        <v>0.0</v>
      </c>
      <c r="O271" s="44">
        <v>0.0</v>
      </c>
      <c r="P271" s="44">
        <v>0.0</v>
      </c>
      <c r="Q271" s="44">
        <v>0.0</v>
      </c>
      <c r="R271" s="44">
        <v>-1.0</v>
      </c>
      <c r="S271" s="164" t="s">
        <v>4466</v>
      </c>
      <c r="T271" s="44">
        <v>1.0</v>
      </c>
      <c r="U271" s="44">
        <v>0.0</v>
      </c>
      <c r="V271" s="44">
        <v>0.0</v>
      </c>
      <c r="W271" s="45"/>
      <c r="X271" s="45"/>
      <c r="Y271" s="45"/>
      <c r="Z271" s="9"/>
      <c r="AA271" s="9"/>
      <c r="AB271" s="9"/>
      <c r="AC271" s="9"/>
      <c r="AD271" s="9"/>
      <c r="AE271" s="9"/>
      <c r="AF271" s="9"/>
    </row>
    <row r="272">
      <c r="A272" s="252">
        <v>1.0</v>
      </c>
      <c r="B272" s="173" t="s">
        <v>4467</v>
      </c>
      <c r="C272" s="55">
        <v>267.0</v>
      </c>
      <c r="D272" s="55">
        <v>2.0</v>
      </c>
      <c r="E272" s="344">
        <v>43504.0</v>
      </c>
      <c r="F272" s="171" t="str">
        <f>HYPERLINK("https://www.cnnindonesia.com/nasional/20190802162919-20-417870/akun-twitter-tni-unggah-komik-soal-bahaya-lgbt ","sumber")</f>
        <v>sumber</v>
      </c>
      <c r="G272" s="55" t="s">
        <v>33</v>
      </c>
      <c r="H272" s="55">
        <v>263.0</v>
      </c>
      <c r="I272" s="55">
        <v>2.0</v>
      </c>
      <c r="J272" s="55">
        <v>3.0</v>
      </c>
      <c r="K272" s="172" t="s">
        <v>4468</v>
      </c>
      <c r="L272" s="55">
        <v>-1.0</v>
      </c>
      <c r="M272" s="55">
        <v>0.0</v>
      </c>
      <c r="N272" s="173">
        <v>0.0</v>
      </c>
      <c r="O272" s="55">
        <v>0.0</v>
      </c>
      <c r="P272" s="55">
        <v>0.0</v>
      </c>
      <c r="Q272" s="55" t="s">
        <v>61</v>
      </c>
      <c r="R272" s="55" t="s">
        <v>685</v>
      </c>
      <c r="S272" s="174"/>
      <c r="T272" s="55">
        <v>0.0</v>
      </c>
      <c r="U272" s="55">
        <v>0.0</v>
      </c>
      <c r="V272" s="55">
        <v>1.0</v>
      </c>
      <c r="W272" s="46"/>
      <c r="X272" s="46"/>
      <c r="Y272" s="46"/>
      <c r="Z272" s="302"/>
      <c r="AA272" s="30"/>
      <c r="AB272" s="31"/>
      <c r="AC272" s="31"/>
      <c r="AD272" s="31"/>
      <c r="AE272" s="31"/>
      <c r="AF272" s="31"/>
    </row>
    <row r="273">
      <c r="A273" s="252">
        <v>1.0</v>
      </c>
      <c r="B273" s="173" t="s">
        <v>4469</v>
      </c>
      <c r="C273" s="55">
        <v>268.0</v>
      </c>
      <c r="D273" s="55">
        <v>2.0</v>
      </c>
      <c r="E273" s="344">
        <v>43624.0</v>
      </c>
      <c r="F273" s="171" t="str">
        <f>HYPERLINK("https://www.cnnindonesia.com/gaya-hidup/20190806114435-277-418803/valentina-sampaiomodel-transgender-pertama-victorias-secret ","sumber")</f>
        <v>sumber</v>
      </c>
      <c r="G273" s="55" t="s">
        <v>33</v>
      </c>
      <c r="H273" s="55">
        <v>230.0</v>
      </c>
      <c r="I273" s="55">
        <v>3.0</v>
      </c>
      <c r="J273" s="55">
        <v>3.0</v>
      </c>
      <c r="K273" s="172" t="s">
        <v>4470</v>
      </c>
      <c r="L273" s="55">
        <v>0.0</v>
      </c>
      <c r="M273" s="55">
        <v>0.0</v>
      </c>
      <c r="N273" s="173">
        <v>0.0</v>
      </c>
      <c r="O273" s="55">
        <v>0.0</v>
      </c>
      <c r="P273" s="55">
        <v>0.0</v>
      </c>
      <c r="Q273" s="55" t="s">
        <v>824</v>
      </c>
      <c r="R273" s="55" t="s">
        <v>392</v>
      </c>
      <c r="S273" s="172"/>
      <c r="T273" s="55">
        <v>0.0</v>
      </c>
      <c r="U273" s="55">
        <v>0.0</v>
      </c>
      <c r="V273" s="55">
        <v>1.0</v>
      </c>
      <c r="W273" s="46"/>
      <c r="X273" s="46"/>
      <c r="Y273" s="46"/>
      <c r="Z273" s="302"/>
      <c r="AA273" s="30"/>
      <c r="AB273" s="31"/>
      <c r="AC273" s="31"/>
      <c r="AD273" s="31"/>
      <c r="AE273" s="31"/>
      <c r="AF273" s="31"/>
    </row>
    <row r="274">
      <c r="A274" s="231">
        <v>1.0</v>
      </c>
      <c r="B274" s="44" t="s">
        <v>4471</v>
      </c>
      <c r="C274" s="44">
        <v>269.0</v>
      </c>
      <c r="D274" s="44">
        <v>10.0</v>
      </c>
      <c r="E274" s="268">
        <v>43716.0</v>
      </c>
      <c r="F274" s="162" t="str">
        <f>HYPERLINK("https://nasional.tempo.co/read/1234040/human-rights-watch-desak-jokowi-promosikan-ham-di-periode-kedua ","sumber")</f>
        <v>sumber</v>
      </c>
      <c r="G274" s="44" t="s">
        <v>33</v>
      </c>
      <c r="H274" s="44">
        <v>560.0</v>
      </c>
      <c r="I274" s="44">
        <v>4.0</v>
      </c>
      <c r="J274" s="44">
        <v>3.0</v>
      </c>
      <c r="K274" s="164" t="s">
        <v>4472</v>
      </c>
      <c r="L274" s="44">
        <v>0.0</v>
      </c>
      <c r="M274" s="44">
        <v>0.0</v>
      </c>
      <c r="N274" s="166">
        <v>0.0</v>
      </c>
      <c r="O274" s="44">
        <v>0.0</v>
      </c>
      <c r="P274" s="44">
        <v>0.0</v>
      </c>
      <c r="Q274" s="44" t="s">
        <v>61</v>
      </c>
      <c r="R274" s="44" t="s">
        <v>192</v>
      </c>
      <c r="S274" s="164"/>
      <c r="T274" s="44">
        <v>0.0</v>
      </c>
      <c r="U274" s="44">
        <v>0.0</v>
      </c>
      <c r="V274" s="44">
        <v>1.0</v>
      </c>
      <c r="W274" s="45"/>
      <c r="X274" s="45"/>
      <c r="Y274" s="45"/>
      <c r="Z274" s="9"/>
      <c r="AA274" s="9"/>
      <c r="AB274" s="9"/>
      <c r="AC274" s="9"/>
      <c r="AD274" s="9"/>
      <c r="AE274" s="9"/>
      <c r="AF274" s="9"/>
    </row>
    <row r="275">
      <c r="A275" s="227">
        <v>1.0</v>
      </c>
      <c r="B275" s="228" t="s">
        <v>3516</v>
      </c>
      <c r="C275" s="44">
        <v>270.0</v>
      </c>
      <c r="D275" s="352">
        <v>6.0</v>
      </c>
      <c r="E275" s="268">
        <v>43777.0</v>
      </c>
      <c r="F275" s="162" t="str">
        <f>HYPERLINK("https://regional.kompas.com/read/2019/08/11/11140041/fakta-guru-ikat-dan-lecehkan-siswanya-mental-korban-terguncang-hingga ","sumber")</f>
        <v>sumber</v>
      </c>
      <c r="G275" s="44" t="s">
        <v>33</v>
      </c>
      <c r="H275" s="44">
        <v>118.0</v>
      </c>
      <c r="I275" s="44">
        <v>1.0</v>
      </c>
      <c r="J275" s="44">
        <v>3.0</v>
      </c>
      <c r="K275" s="164" t="s">
        <v>4473</v>
      </c>
      <c r="L275" s="44">
        <v>0.0</v>
      </c>
      <c r="M275" s="44">
        <v>-1.0</v>
      </c>
      <c r="N275" s="166">
        <v>0.0</v>
      </c>
      <c r="O275" s="44">
        <v>0.0</v>
      </c>
      <c r="P275" s="44">
        <v>0.0</v>
      </c>
      <c r="Q275" s="44" t="s">
        <v>53</v>
      </c>
      <c r="R275" s="44" t="s">
        <v>242</v>
      </c>
      <c r="S275" s="164" t="s">
        <v>4474</v>
      </c>
      <c r="T275" s="44">
        <v>1.0</v>
      </c>
      <c r="U275" s="44">
        <v>0.0</v>
      </c>
      <c r="V275" s="44">
        <v>0.0</v>
      </c>
      <c r="W275" s="45"/>
      <c r="X275" s="45"/>
      <c r="Y275" s="45"/>
      <c r="Z275" s="9"/>
      <c r="AA275" s="9"/>
      <c r="AB275" s="9"/>
      <c r="AC275" s="9"/>
      <c r="AD275" s="9"/>
      <c r="AE275" s="9"/>
      <c r="AF275" s="9"/>
    </row>
    <row r="276">
      <c r="A276" s="43">
        <v>2.0</v>
      </c>
      <c r="B276" s="47" t="s">
        <v>4475</v>
      </c>
      <c r="C276" s="47">
        <v>271.0</v>
      </c>
      <c r="D276" s="47">
        <v>1.0</v>
      </c>
      <c r="E276" s="47" t="s">
        <v>2090</v>
      </c>
      <c r="F276" s="156" t="str">
        <f>HYPERLINK("https://hot.detik.com/celeb/d-4663339/ketika-anak-donald-trump-lirik-cincin-berlian-hotman-paris ","sumber")</f>
        <v>sumber</v>
      </c>
      <c r="G276" s="47" t="s">
        <v>33</v>
      </c>
      <c r="H276" s="47">
        <v>1540.0</v>
      </c>
      <c r="I276" s="48"/>
      <c r="J276" s="48"/>
      <c r="K276" s="165"/>
      <c r="L276" s="48"/>
      <c r="M276" s="48"/>
      <c r="N276" s="48"/>
      <c r="O276" s="48"/>
      <c r="P276" s="48"/>
      <c r="Q276" s="48"/>
      <c r="R276" s="48"/>
      <c r="S276" s="165"/>
      <c r="T276" s="48"/>
      <c r="U276" s="48"/>
      <c r="V276" s="48"/>
      <c r="W276" s="48"/>
      <c r="X276" s="48"/>
      <c r="Y276" s="48"/>
      <c r="Z276" s="338"/>
      <c r="AA276" s="51"/>
      <c r="AB276" s="51"/>
      <c r="AC276" s="51"/>
      <c r="AD276" s="51"/>
      <c r="AE276" s="51"/>
      <c r="AF276" s="51"/>
    </row>
    <row r="277">
      <c r="A277" s="43">
        <v>2.0</v>
      </c>
      <c r="B277" s="47" t="s">
        <v>4476</v>
      </c>
      <c r="C277" s="47">
        <v>272.0</v>
      </c>
      <c r="D277" s="47">
        <v>10.0</v>
      </c>
      <c r="E277" s="47" t="s">
        <v>2472</v>
      </c>
      <c r="F277" s="156" t="str">
        <f>HYPERLINK("https://tekno.tempo.co/read/1237570/penelitian-baru-homo-sapiens-ke-mongolia-lebih-awal-10-000-tahun ","sumber")</f>
        <v>sumber</v>
      </c>
      <c r="G277" s="47" t="s">
        <v>33</v>
      </c>
      <c r="H277" s="47">
        <v>413.0</v>
      </c>
      <c r="I277" s="48"/>
      <c r="J277" s="48"/>
      <c r="K277" s="165"/>
      <c r="L277" s="48"/>
      <c r="M277" s="48"/>
      <c r="N277" s="48"/>
      <c r="O277" s="48"/>
      <c r="P277" s="48"/>
      <c r="Q277" s="48"/>
      <c r="R277" s="48"/>
      <c r="S277" s="157"/>
      <c r="T277" s="48"/>
      <c r="U277" s="48"/>
      <c r="V277" s="48"/>
      <c r="W277" s="48"/>
      <c r="X277" s="48"/>
      <c r="Y277" s="48"/>
      <c r="Z277" s="338"/>
      <c r="AA277" s="51"/>
      <c r="AB277" s="51"/>
      <c r="AC277" s="51"/>
      <c r="AD277" s="51"/>
      <c r="AE277" s="51"/>
      <c r="AF277" s="51"/>
    </row>
    <row r="278">
      <c r="A278" s="231">
        <v>1.0</v>
      </c>
      <c r="B278" s="44" t="s">
        <v>3527</v>
      </c>
      <c r="C278" s="44">
        <v>273.0</v>
      </c>
      <c r="D278" s="44">
        <v>7.0</v>
      </c>
      <c r="E278" s="44" t="s">
        <v>2472</v>
      </c>
      <c r="F278" s="162" t="str">
        <f>HYPERLINK("https://www.tribunnews.com/seleb/2019/08/19/nama-asli-lucinta-luna-yang-tertera-di-ktpnya-akhirnya-terungkap ","sumber")</f>
        <v>sumber</v>
      </c>
      <c r="G278" s="44" t="s">
        <v>33</v>
      </c>
      <c r="H278" s="44">
        <v>168.0</v>
      </c>
      <c r="I278" s="44">
        <v>2.0</v>
      </c>
      <c r="J278" s="44">
        <v>3.0</v>
      </c>
      <c r="K278" s="164" t="s">
        <v>4477</v>
      </c>
      <c r="L278" s="44">
        <v>-1.0</v>
      </c>
      <c r="M278" s="44">
        <v>0.0</v>
      </c>
      <c r="N278" s="44">
        <v>-1.0</v>
      </c>
      <c r="O278" s="44">
        <v>0.0</v>
      </c>
      <c r="P278" s="44">
        <v>-1.0</v>
      </c>
      <c r="Q278" s="44" t="s">
        <v>61</v>
      </c>
      <c r="R278" s="44" t="s">
        <v>61</v>
      </c>
      <c r="S278" s="164" t="s">
        <v>4478</v>
      </c>
      <c r="T278" s="44">
        <v>1.0</v>
      </c>
      <c r="U278" s="44">
        <v>0.0</v>
      </c>
      <c r="V278" s="44">
        <v>0.0</v>
      </c>
      <c r="W278" s="45"/>
      <c r="X278" s="45"/>
      <c r="Y278" s="45"/>
      <c r="Z278" s="9"/>
      <c r="AA278" s="9"/>
      <c r="AB278" s="9"/>
      <c r="AC278" s="9"/>
      <c r="AD278" s="9"/>
      <c r="AE278" s="9"/>
      <c r="AF278" s="9"/>
    </row>
    <row r="279">
      <c r="A279" s="43">
        <v>2.0</v>
      </c>
      <c r="B279" s="47" t="s">
        <v>4479</v>
      </c>
      <c r="C279" s="47">
        <v>274.0</v>
      </c>
      <c r="D279" s="47">
        <v>2.0</v>
      </c>
      <c r="E279" s="47" t="s">
        <v>306</v>
      </c>
      <c r="F279" s="156" t="str">
        <f>HYPERLINK("https://www.cnnindonesia.com/internasional/20190825132125-134-424431/bubarkan-massa-anti-g7-polisi-prancis-gunakan-gas-air-mata ","sumber")</f>
        <v>sumber</v>
      </c>
      <c r="G279" s="47" t="s">
        <v>33</v>
      </c>
      <c r="H279" s="47">
        <v>381.0</v>
      </c>
      <c r="I279" s="48"/>
      <c r="J279" s="48"/>
      <c r="K279" s="165"/>
      <c r="L279" s="48"/>
      <c r="M279" s="48"/>
      <c r="N279" s="48"/>
      <c r="O279" s="48"/>
      <c r="P279" s="48"/>
      <c r="Q279" s="48"/>
      <c r="R279" s="48"/>
      <c r="S279" s="157"/>
      <c r="T279" s="48"/>
      <c r="U279" s="48"/>
      <c r="V279" s="48"/>
      <c r="W279" s="48"/>
      <c r="X279" s="48"/>
      <c r="Y279" s="48"/>
      <c r="Z279" s="338"/>
      <c r="AA279" s="51"/>
      <c r="AB279" s="51"/>
      <c r="AC279" s="51"/>
      <c r="AD279" s="51"/>
      <c r="AE279" s="51"/>
      <c r="AF279" s="51"/>
    </row>
    <row r="280">
      <c r="A280" s="43">
        <v>2.0</v>
      </c>
      <c r="B280" s="47" t="s">
        <v>4480</v>
      </c>
      <c r="C280" s="47">
        <v>275.0</v>
      </c>
      <c r="D280" s="47">
        <v>3.0</v>
      </c>
      <c r="E280" s="47" t="s">
        <v>310</v>
      </c>
      <c r="F280" s="156" t="str">
        <f>HYPERLINK("https://celebrity.okezone.com/read/2019/08/26/33/2096793/tessa-mariska-enggan-ikut-campur-dan-sebut-nama-nikita-mirzani ","sumber")</f>
        <v>sumber</v>
      </c>
      <c r="G280" s="47" t="s">
        <v>33</v>
      </c>
      <c r="H280" s="47">
        <v>345.0</v>
      </c>
      <c r="I280" s="48"/>
      <c r="J280" s="48"/>
      <c r="K280" s="165"/>
      <c r="L280" s="48"/>
      <c r="M280" s="48"/>
      <c r="N280" s="48"/>
      <c r="O280" s="48"/>
      <c r="P280" s="48"/>
      <c r="Q280" s="48"/>
      <c r="R280" s="48"/>
      <c r="S280" s="165"/>
      <c r="T280" s="48"/>
      <c r="U280" s="48"/>
      <c r="V280" s="48"/>
      <c r="W280" s="48"/>
      <c r="X280" s="48"/>
      <c r="Y280" s="48"/>
      <c r="Z280" s="338"/>
      <c r="AA280" s="51"/>
      <c r="AB280" s="51"/>
      <c r="AC280" s="51"/>
      <c r="AD280" s="51"/>
      <c r="AE280" s="51"/>
      <c r="AF280" s="51"/>
    </row>
    <row r="281">
      <c r="A281" s="231">
        <v>1.0</v>
      </c>
      <c r="B281" s="44" t="s">
        <v>4481</v>
      </c>
      <c r="C281" s="44">
        <v>276.0</v>
      </c>
      <c r="D281" s="44">
        <v>3.0</v>
      </c>
      <c r="E281" s="268">
        <v>43505.0</v>
      </c>
      <c r="F281" s="162" t="str">
        <f>HYPERLINK("https://news.okezone.com/read/2019/09/02/340/2099544/mahasiswa-dan-dosen-diduga-gay-digerebek-warga-berduaan-di-kamar ","sumber")</f>
        <v>sumber</v>
      </c>
      <c r="G281" s="44" t="s">
        <v>33</v>
      </c>
      <c r="H281" s="44">
        <v>222.0</v>
      </c>
      <c r="I281" s="44">
        <v>1.0</v>
      </c>
      <c r="J281" s="44">
        <v>3.0</v>
      </c>
      <c r="K281" s="164" t="s">
        <v>4482</v>
      </c>
      <c r="L281" s="44">
        <v>0.0</v>
      </c>
      <c r="M281" s="44">
        <v>-1.0</v>
      </c>
      <c r="N281" s="44">
        <v>-1.0</v>
      </c>
      <c r="O281" s="44">
        <v>0.0</v>
      </c>
      <c r="P281" s="44">
        <v>0.0</v>
      </c>
      <c r="Q281" s="44">
        <v>0.0</v>
      </c>
      <c r="R281" s="44">
        <v>-1.0</v>
      </c>
      <c r="S281" s="164"/>
      <c r="T281" s="44">
        <v>0.0</v>
      </c>
      <c r="U281" s="44">
        <v>0.0</v>
      </c>
      <c r="V281" s="44">
        <v>0.0</v>
      </c>
      <c r="W281" s="45"/>
      <c r="X281" s="45"/>
      <c r="Y281" s="45"/>
      <c r="Z281" s="9"/>
      <c r="AA281" s="9"/>
      <c r="AB281" s="9"/>
      <c r="AC281" s="9"/>
      <c r="AD281" s="9"/>
      <c r="AE281" s="9"/>
      <c r="AF281" s="9"/>
    </row>
    <row r="282">
      <c r="A282" s="231">
        <v>1.0</v>
      </c>
      <c r="B282" s="44" t="s">
        <v>4483</v>
      </c>
      <c r="C282" s="44">
        <v>277.0</v>
      </c>
      <c r="D282" s="44">
        <v>2.0</v>
      </c>
      <c r="E282" s="268">
        <v>43533.0</v>
      </c>
      <c r="F282" s="162" t="str">
        <f>HYPERLINK("https://www.cnnindonesia.com/gaya-hidup/20190902150712-284-426832/studi-bantah-ada-gen-penyebab-gay ","sumber")</f>
        <v>sumber</v>
      </c>
      <c r="G282" s="44" t="s">
        <v>33</v>
      </c>
      <c r="H282" s="44">
        <v>310.0</v>
      </c>
      <c r="I282" s="44">
        <v>2.0</v>
      </c>
      <c r="J282" s="44">
        <v>3.0</v>
      </c>
      <c r="K282" s="164" t="s">
        <v>4484</v>
      </c>
      <c r="L282" s="44">
        <v>0.0</v>
      </c>
      <c r="M282" s="44">
        <v>0.0</v>
      </c>
      <c r="N282" s="166">
        <v>0.0</v>
      </c>
      <c r="O282" s="44">
        <v>0.0</v>
      </c>
      <c r="P282" s="44">
        <v>0.0</v>
      </c>
      <c r="Q282" s="44" t="s">
        <v>61</v>
      </c>
      <c r="R282" s="44" t="s">
        <v>214</v>
      </c>
      <c r="S282" s="164"/>
      <c r="T282" s="44">
        <v>0.0</v>
      </c>
      <c r="U282" s="44">
        <v>0.0</v>
      </c>
      <c r="V282" s="44">
        <v>1.0</v>
      </c>
      <c r="W282" s="45"/>
      <c r="X282" s="45"/>
      <c r="Y282" s="45"/>
      <c r="Z282" s="9"/>
      <c r="AA282" s="9"/>
      <c r="AB282" s="9"/>
      <c r="AC282" s="9"/>
      <c r="AD282" s="9"/>
      <c r="AE282" s="9"/>
      <c r="AF282" s="9"/>
    </row>
    <row r="283">
      <c r="A283" s="231">
        <v>1.0</v>
      </c>
      <c r="B283" s="44" t="s">
        <v>4485</v>
      </c>
      <c r="C283" s="44">
        <v>278.0</v>
      </c>
      <c r="D283" s="44">
        <v>7.0</v>
      </c>
      <c r="E283" s="44" t="s">
        <v>337</v>
      </c>
      <c r="F283" s="162" t="str">
        <f>HYPERLINK("https://www.tribunnews.com/seleb/2019/09/26/cerita-gebby-vesta-pilih-jadi-transgender-sempat-dikira-wanita-tulen-hingga-didukung-keluarga ","sumber")</f>
        <v>sumber</v>
      </c>
      <c r="G283" s="44" t="s">
        <v>33</v>
      </c>
      <c r="H283" s="44">
        <v>205.0</v>
      </c>
      <c r="I283" s="44">
        <v>2.0</v>
      </c>
      <c r="J283" s="44">
        <v>3.0</v>
      </c>
      <c r="K283" s="164" t="s">
        <v>4486</v>
      </c>
      <c r="L283" s="44">
        <v>0.0</v>
      </c>
      <c r="M283" s="44">
        <v>0.0</v>
      </c>
      <c r="N283" s="166">
        <v>0.0</v>
      </c>
      <c r="O283" s="44">
        <v>0.0</v>
      </c>
      <c r="P283" s="44">
        <v>0.0</v>
      </c>
      <c r="Q283" s="44">
        <v>2.0</v>
      </c>
      <c r="R283" s="44">
        <v>1.0</v>
      </c>
      <c r="S283" s="175"/>
      <c r="T283" s="44">
        <v>0.0</v>
      </c>
      <c r="U283" s="44">
        <v>0.0</v>
      </c>
      <c r="V283" s="44">
        <v>0.0</v>
      </c>
      <c r="W283" s="45"/>
      <c r="X283" s="45"/>
      <c r="Y283" s="45"/>
      <c r="Z283" s="9"/>
      <c r="AA283" s="9"/>
      <c r="AB283" s="9"/>
      <c r="AC283" s="9"/>
      <c r="AD283" s="9"/>
      <c r="AE283" s="9"/>
      <c r="AF283" s="9"/>
    </row>
    <row r="284">
      <c r="A284" s="231">
        <v>1.0</v>
      </c>
      <c r="B284" s="44" t="s">
        <v>4487</v>
      </c>
      <c r="C284" s="44">
        <v>279.0</v>
      </c>
      <c r="D284" s="44">
        <v>3.0</v>
      </c>
      <c r="E284" s="44" t="s">
        <v>2691</v>
      </c>
      <c r="F284" s="162" t="str">
        <f>HYPERLINK("https://celebrity.okezone.com/read/2019/09/28/33/2110523/pengakuan-terbaru-lucinta-luna-soal-sosok-muhammad-fatah ","sumber")</f>
        <v>sumber</v>
      </c>
      <c r="G284" s="44" t="s">
        <v>33</v>
      </c>
      <c r="H284" s="44">
        <v>346.0</v>
      </c>
      <c r="I284" s="44">
        <v>2.0</v>
      </c>
      <c r="J284" s="44">
        <v>3.0</v>
      </c>
      <c r="K284" s="164" t="s">
        <v>4354</v>
      </c>
      <c r="L284" s="44">
        <v>-1.0</v>
      </c>
      <c r="M284" s="44">
        <v>0.0</v>
      </c>
      <c r="N284" s="44">
        <v>-1.0</v>
      </c>
      <c r="O284" s="44">
        <v>0.0</v>
      </c>
      <c r="P284" s="44">
        <v>0.0</v>
      </c>
      <c r="Q284" s="44">
        <v>0.0</v>
      </c>
      <c r="R284" s="44">
        <v>0.0</v>
      </c>
      <c r="S284" s="175"/>
      <c r="T284" s="44">
        <v>0.0</v>
      </c>
      <c r="U284" s="44">
        <v>0.0</v>
      </c>
      <c r="V284" s="44">
        <v>0.0</v>
      </c>
      <c r="W284" s="45"/>
      <c r="X284" s="45"/>
      <c r="Y284" s="45"/>
      <c r="Z284" s="9"/>
      <c r="AA284" s="9"/>
      <c r="AB284" s="9"/>
      <c r="AC284" s="9"/>
      <c r="AD284" s="9"/>
      <c r="AE284" s="9"/>
      <c r="AF284" s="9"/>
    </row>
    <row r="285">
      <c r="A285" s="43">
        <v>2.0</v>
      </c>
      <c r="B285" s="47" t="s">
        <v>4488</v>
      </c>
      <c r="C285" s="47">
        <v>280.0</v>
      </c>
      <c r="D285" s="47">
        <v>2.0</v>
      </c>
      <c r="E285" s="280">
        <v>43617.0</v>
      </c>
      <c r="F285" s="156" t="str">
        <f>HYPERLINK("https://www.cnnindonesia.com/nasional/20190106203829-12-358830/pengusaha-berinisial-r-yang-pesan-vanessa-angel-dibebaskan ","sumber")</f>
        <v>sumber</v>
      </c>
      <c r="G285" s="47" t="s">
        <v>33</v>
      </c>
      <c r="H285" s="47">
        <v>443.0</v>
      </c>
      <c r="I285" s="48"/>
      <c r="J285" s="48"/>
      <c r="K285" s="165"/>
      <c r="L285" s="48"/>
      <c r="M285" s="48"/>
      <c r="N285" s="48"/>
      <c r="O285" s="48"/>
      <c r="P285" s="48"/>
      <c r="Q285" s="48"/>
      <c r="R285" s="48"/>
      <c r="S285" s="165"/>
      <c r="T285" s="48"/>
      <c r="U285" s="48"/>
      <c r="V285" s="48"/>
      <c r="W285" s="48"/>
      <c r="X285" s="48"/>
      <c r="Y285" s="48"/>
      <c r="Z285" s="338"/>
      <c r="AA285" s="51"/>
      <c r="AB285" s="51"/>
      <c r="AC285" s="51"/>
      <c r="AD285" s="51"/>
      <c r="AE285" s="51"/>
      <c r="AF285" s="51"/>
    </row>
    <row r="286">
      <c r="A286" s="43">
        <v>2.0</v>
      </c>
      <c r="B286" s="47" t="s">
        <v>4489</v>
      </c>
      <c r="C286" s="47">
        <v>281.0</v>
      </c>
      <c r="D286" s="47">
        <v>7.0</v>
      </c>
      <c r="E286" s="280">
        <v>43617.0</v>
      </c>
      <c r="F286" s="156" t="str">
        <f>HYPERLINK("http://www.tribunnews.com/seleb/2019/01/06/sebelum-berangkat-ke-surabaya-vanessa-angel-titip-pesan-untuk-sang-kekasih-lewat-manajer ","sumber")</f>
        <v>sumber</v>
      </c>
      <c r="G286" s="47" t="s">
        <v>33</v>
      </c>
      <c r="H286" s="47">
        <v>217.0</v>
      </c>
      <c r="I286" s="48"/>
      <c r="J286" s="48"/>
      <c r="K286" s="165"/>
      <c r="L286" s="48"/>
      <c r="M286" s="48"/>
      <c r="N286" s="48"/>
      <c r="O286" s="48"/>
      <c r="P286" s="48"/>
      <c r="Q286" s="48"/>
      <c r="R286" s="48"/>
      <c r="S286" s="165"/>
      <c r="T286" s="48"/>
      <c r="U286" s="48"/>
      <c r="V286" s="48"/>
      <c r="W286" s="48"/>
      <c r="X286" s="48"/>
      <c r="Y286" s="48"/>
      <c r="Z286" s="338"/>
      <c r="AA286" s="51"/>
      <c r="AB286" s="51"/>
      <c r="AC286" s="51"/>
      <c r="AD286" s="51"/>
      <c r="AE286" s="51"/>
      <c r="AF286" s="51"/>
    </row>
    <row r="287">
      <c r="A287" s="43">
        <v>2.0</v>
      </c>
      <c r="B287" s="47" t="s">
        <v>4490</v>
      </c>
      <c r="C287" s="47">
        <v>282.0</v>
      </c>
      <c r="D287" s="47">
        <v>6.0</v>
      </c>
      <c r="E287" s="280">
        <v>43647.0</v>
      </c>
      <c r="F287" s="156" t="str">
        <f>HYPERLINK("https://regional.kompas.com/read/2019/01/07/09341361/dilepas-polisi-artis-va-masih-dikenai-wajib-lapor ","sumber")</f>
        <v>sumber</v>
      </c>
      <c r="G287" s="47" t="s">
        <v>33</v>
      </c>
      <c r="H287" s="47">
        <v>245.0</v>
      </c>
      <c r="I287" s="48"/>
      <c r="J287" s="48"/>
      <c r="K287" s="165"/>
      <c r="L287" s="48"/>
      <c r="M287" s="48"/>
      <c r="N287" s="48"/>
      <c r="O287" s="48"/>
      <c r="P287" s="48"/>
      <c r="Q287" s="48"/>
      <c r="R287" s="48"/>
      <c r="S287" s="165"/>
      <c r="T287" s="48"/>
      <c r="U287" s="48"/>
      <c r="V287" s="48"/>
      <c r="W287" s="48"/>
      <c r="X287" s="48"/>
      <c r="Y287" s="48"/>
      <c r="Z287" s="338"/>
      <c r="AA287" s="51"/>
      <c r="AB287" s="51"/>
      <c r="AC287" s="51"/>
      <c r="AD287" s="51"/>
      <c r="AE287" s="51"/>
      <c r="AF287" s="51"/>
    </row>
    <row r="288">
      <c r="A288" s="43">
        <v>2.0</v>
      </c>
      <c r="B288" s="47" t="s">
        <v>3554</v>
      </c>
      <c r="C288" s="47">
        <v>283.0</v>
      </c>
      <c r="D288" s="47">
        <v>3.0</v>
      </c>
      <c r="E288" s="280">
        <v>43647.0</v>
      </c>
      <c r="F288" s="156" t="str">
        <f>HYPERLINK("https://news.okezone.com/read/2019/01/07/519/2001006/ditanya-ada-pejabat-pelanggan-psk-artis-kapolda-jatim-tersenyum ","sumber")</f>
        <v>sumber</v>
      </c>
      <c r="G288" s="47" t="s">
        <v>33</v>
      </c>
      <c r="H288" s="47">
        <v>315.0</v>
      </c>
      <c r="I288" s="48"/>
      <c r="J288" s="48"/>
      <c r="K288" s="165"/>
      <c r="L288" s="48"/>
      <c r="M288" s="48"/>
      <c r="N288" s="48"/>
      <c r="O288" s="48"/>
      <c r="P288" s="48"/>
      <c r="Q288" s="48"/>
      <c r="R288" s="48"/>
      <c r="S288" s="165"/>
      <c r="T288" s="48"/>
      <c r="U288" s="48"/>
      <c r="V288" s="48"/>
      <c r="W288" s="48"/>
      <c r="X288" s="48"/>
      <c r="Y288" s="48"/>
      <c r="Z288" s="338"/>
      <c r="AA288" s="51"/>
      <c r="AB288" s="51"/>
      <c r="AC288" s="51"/>
      <c r="AD288" s="51"/>
      <c r="AE288" s="51"/>
      <c r="AF288" s="51"/>
    </row>
    <row r="289">
      <c r="A289" s="252">
        <v>1.0</v>
      </c>
      <c r="B289" s="173" t="s">
        <v>4491</v>
      </c>
      <c r="C289" s="55">
        <v>284.0</v>
      </c>
      <c r="D289" s="55">
        <v>1.0</v>
      </c>
      <c r="E289" s="344">
        <v>43678.0</v>
      </c>
      <c r="F289" s="171" t="str">
        <f>HYPERLINK("https://news.detik.com/berita-jawa-tengah/d-4375370/rektor-ugm-dapat-7-pertanyaan-terkait-dugaan-maladministrasi-apa-saja ","sumber")</f>
        <v>sumber</v>
      </c>
      <c r="G289" s="55" t="s">
        <v>33</v>
      </c>
      <c r="H289" s="55">
        <v>312.0</v>
      </c>
      <c r="I289" s="55">
        <v>1.0</v>
      </c>
      <c r="J289" s="55">
        <v>1.0</v>
      </c>
      <c r="K289" s="172" t="s">
        <v>4492</v>
      </c>
      <c r="L289" s="55">
        <v>0.0</v>
      </c>
      <c r="M289" s="55">
        <v>-1.0</v>
      </c>
      <c r="N289" s="55">
        <v>0.0</v>
      </c>
      <c r="O289" s="55">
        <v>1.0</v>
      </c>
      <c r="P289" s="55">
        <v>0.0</v>
      </c>
      <c r="Q289" s="55">
        <v>0.0</v>
      </c>
      <c r="R289" s="55">
        <v>0.0</v>
      </c>
      <c r="S289" s="174"/>
      <c r="T289" s="55">
        <v>0.0</v>
      </c>
      <c r="U289" s="55">
        <v>0.0</v>
      </c>
      <c r="V289" s="55">
        <v>0.0</v>
      </c>
      <c r="W289" s="46"/>
      <c r="X289" s="46"/>
      <c r="Y289" s="46"/>
      <c r="Z289" s="31"/>
      <c r="AA289" s="31"/>
      <c r="AB289" s="31"/>
      <c r="AC289" s="31"/>
      <c r="AD289" s="31"/>
      <c r="AE289" s="31"/>
      <c r="AF289" s="31"/>
    </row>
    <row r="290">
      <c r="A290" s="252">
        <v>1.0</v>
      </c>
      <c r="B290" s="173" t="s">
        <v>4493</v>
      </c>
      <c r="C290" s="55">
        <v>285.0</v>
      </c>
      <c r="D290" s="55">
        <v>4.0</v>
      </c>
      <c r="E290" s="344">
        <v>43497.0</v>
      </c>
      <c r="F290" s="171" t="str">
        <f>HYPERLINK("https://www.liputan6.com/news/read/3861636/mengaku-diperkosa-atasan-eks-staf-dewan-pengawas-bpjs-tk-datangi-bareskrim ","sumber")</f>
        <v>sumber</v>
      </c>
      <c r="G290" s="55" t="s">
        <v>33</v>
      </c>
      <c r="H290" s="55">
        <v>341.0</v>
      </c>
      <c r="I290" s="55">
        <v>1.0</v>
      </c>
      <c r="J290" s="55">
        <v>1.0</v>
      </c>
      <c r="K290" s="172" t="s">
        <v>4494</v>
      </c>
      <c r="L290" s="55">
        <v>0.0</v>
      </c>
      <c r="M290" s="55">
        <v>-1.0</v>
      </c>
      <c r="N290" s="173">
        <v>0.0</v>
      </c>
      <c r="O290" s="55">
        <v>1.0</v>
      </c>
      <c r="P290" s="55">
        <v>0.0</v>
      </c>
      <c r="Q290" s="55">
        <v>0.0</v>
      </c>
      <c r="R290" s="55">
        <v>1.0</v>
      </c>
      <c r="S290" s="174"/>
      <c r="T290" s="55">
        <v>0.0</v>
      </c>
      <c r="U290" s="55">
        <v>0.0</v>
      </c>
      <c r="V290" s="55">
        <v>0.0</v>
      </c>
      <c r="W290" s="46"/>
      <c r="X290" s="46"/>
      <c r="Y290" s="46"/>
      <c r="Z290" s="31"/>
      <c r="AA290" s="31"/>
      <c r="AB290" s="31"/>
      <c r="AC290" s="31"/>
      <c r="AD290" s="31"/>
      <c r="AE290" s="31"/>
      <c r="AF290" s="31"/>
    </row>
    <row r="291">
      <c r="A291" s="43">
        <v>2.0</v>
      </c>
      <c r="B291" s="47" t="s">
        <v>4495</v>
      </c>
      <c r="C291" s="47">
        <v>286.0</v>
      </c>
      <c r="D291" s="47">
        <v>4.0</v>
      </c>
      <c r="E291" s="280">
        <v>43739.0</v>
      </c>
      <c r="F291" s="156" t="str">
        <f>HYPERLINK("https://www.liputan6.com/showbiz/read/3867382/beredar-foto-saipul-jamil-video-call-dengan-pria-tanpa-baju ","sumber")</f>
        <v>sumber</v>
      </c>
      <c r="G291" s="47" t="s">
        <v>33</v>
      </c>
      <c r="H291" s="47">
        <v>245.0</v>
      </c>
      <c r="I291" s="48"/>
      <c r="J291" s="48"/>
      <c r="K291" s="165"/>
      <c r="L291" s="48"/>
      <c r="M291" s="48"/>
      <c r="N291" s="48"/>
      <c r="O291" s="48"/>
      <c r="P291" s="48"/>
      <c r="Q291" s="48"/>
      <c r="R291" s="48"/>
      <c r="S291" s="165"/>
      <c r="T291" s="48"/>
      <c r="U291" s="48"/>
      <c r="V291" s="48"/>
      <c r="W291" s="48"/>
      <c r="X291" s="48"/>
      <c r="Y291" s="48"/>
      <c r="Z291" s="338"/>
      <c r="AA291" s="51"/>
      <c r="AB291" s="51"/>
      <c r="AC291" s="51"/>
      <c r="AD291" s="51"/>
      <c r="AE291" s="51"/>
      <c r="AF291" s="51"/>
    </row>
    <row r="292">
      <c r="A292" s="231">
        <v>1.0</v>
      </c>
      <c r="B292" s="44" t="s">
        <v>4496</v>
      </c>
      <c r="C292" s="44">
        <v>287.0</v>
      </c>
      <c r="D292" s="44">
        <v>5.0</v>
      </c>
      <c r="E292" s="268">
        <v>43770.0</v>
      </c>
      <c r="F292" s="162" t="str">
        <f>HYPERLINK("https://tirto.id/rahaf-alqunun-simbol-perjuangan-hak-perempuan-di-arab-saudi-dd7f ","sumber")</f>
        <v>sumber</v>
      </c>
      <c r="G292" s="44" t="s">
        <v>33</v>
      </c>
      <c r="H292" s="44">
        <v>436.0</v>
      </c>
      <c r="I292" s="44">
        <v>1.0</v>
      </c>
      <c r="J292" s="44">
        <v>1.0</v>
      </c>
      <c r="K292" s="164" t="s">
        <v>4497</v>
      </c>
      <c r="L292" s="44">
        <v>0.0</v>
      </c>
      <c r="M292" s="44">
        <v>1.0</v>
      </c>
      <c r="N292" s="166">
        <v>0.0</v>
      </c>
      <c r="O292" s="44">
        <v>1.0</v>
      </c>
      <c r="P292" s="44">
        <v>0.0</v>
      </c>
      <c r="Q292" s="44" t="s">
        <v>119</v>
      </c>
      <c r="R292" s="44" t="s">
        <v>192</v>
      </c>
      <c r="S292" s="175"/>
      <c r="T292" s="44">
        <v>0.0</v>
      </c>
      <c r="U292" s="44">
        <v>0.0</v>
      </c>
      <c r="V292" s="44">
        <v>1.0</v>
      </c>
      <c r="W292" s="45"/>
      <c r="X292" s="45"/>
      <c r="Y292" s="45"/>
      <c r="Z292" s="9"/>
      <c r="AA292" s="9"/>
      <c r="AB292" s="9"/>
      <c r="AC292" s="9"/>
      <c r="AD292" s="9"/>
      <c r="AE292" s="9"/>
      <c r="AF292" s="9"/>
    </row>
    <row r="293">
      <c r="A293" s="231">
        <v>1.0</v>
      </c>
      <c r="B293" s="44" t="s">
        <v>4498</v>
      </c>
      <c r="C293" s="44">
        <v>288.0</v>
      </c>
      <c r="D293" s="44">
        <v>5.0</v>
      </c>
      <c r="E293" s="268">
        <v>43800.0</v>
      </c>
      <c r="F293" s="162" t="str">
        <f>HYPERLINK("https://tirto.id/diminta-datangkan-artis-va-tersangka-muncikari-mengaku-jadi-korban-debG ","sumber")</f>
        <v>sumber</v>
      </c>
      <c r="G293" s="44" t="s">
        <v>33</v>
      </c>
      <c r="H293" s="44">
        <v>352.0</v>
      </c>
      <c r="I293" s="44">
        <v>1.0</v>
      </c>
      <c r="J293" s="44">
        <v>1.0</v>
      </c>
      <c r="K293" s="164" t="s">
        <v>4499</v>
      </c>
      <c r="L293" s="44">
        <v>0.0</v>
      </c>
      <c r="M293" s="44">
        <v>-1.0</v>
      </c>
      <c r="N293" s="166">
        <v>0.0</v>
      </c>
      <c r="O293" s="44">
        <v>1.0</v>
      </c>
      <c r="P293" s="44">
        <v>0.0</v>
      </c>
      <c r="Q293" s="44" t="s">
        <v>61</v>
      </c>
      <c r="R293" s="44" t="s">
        <v>173</v>
      </c>
      <c r="S293" s="175"/>
      <c r="T293" s="44">
        <v>0.0</v>
      </c>
      <c r="U293" s="44">
        <v>0.0</v>
      </c>
      <c r="V293" s="44">
        <v>1.0</v>
      </c>
      <c r="W293" s="45"/>
      <c r="X293" s="45"/>
      <c r="Y293" s="45"/>
      <c r="Z293" s="9"/>
      <c r="AA293" s="9"/>
      <c r="AB293" s="9"/>
      <c r="AC293" s="9"/>
      <c r="AD293" s="9"/>
      <c r="AE293" s="9"/>
      <c r="AF293" s="9"/>
    </row>
    <row r="294">
      <c r="A294" s="231">
        <v>1.0</v>
      </c>
      <c r="B294" s="44" t="s">
        <v>4500</v>
      </c>
      <c r="C294" s="44">
        <v>289.0</v>
      </c>
      <c r="D294" s="44">
        <v>7.0</v>
      </c>
      <c r="E294" s="44" t="s">
        <v>698</v>
      </c>
      <c r="F294" s="162" t="str">
        <f>HYPERLINK("http://www.tribunnews.com/section/2019/01/18/geram-vanessa-angel-terlibat-prostitusi-anwar-fuady-hukum-seberat-beratnya-bikin-malu ","sumber")</f>
        <v>sumber</v>
      </c>
      <c r="G294" s="44" t="s">
        <v>33</v>
      </c>
      <c r="H294" s="44">
        <v>187.0</v>
      </c>
      <c r="I294" s="44">
        <v>1.0</v>
      </c>
      <c r="J294" s="44">
        <v>1.0</v>
      </c>
      <c r="K294" s="164" t="s">
        <v>4501</v>
      </c>
      <c r="L294" s="44">
        <v>0.0</v>
      </c>
      <c r="M294" s="44">
        <v>-1.0</v>
      </c>
      <c r="N294" s="166">
        <v>0.0</v>
      </c>
      <c r="O294" s="44">
        <v>1.0</v>
      </c>
      <c r="P294" s="44">
        <v>0.0</v>
      </c>
      <c r="Q294" s="44" t="s">
        <v>61</v>
      </c>
      <c r="R294" s="44" t="s">
        <v>85</v>
      </c>
      <c r="S294" s="175"/>
      <c r="T294" s="44">
        <v>0.0</v>
      </c>
      <c r="U294" s="44">
        <v>0.0</v>
      </c>
      <c r="V294" s="44">
        <v>1.0</v>
      </c>
      <c r="W294" s="45"/>
      <c r="X294" s="45"/>
      <c r="Y294" s="45"/>
      <c r="Z294" s="9"/>
      <c r="AA294" s="9"/>
      <c r="AB294" s="9"/>
      <c r="AC294" s="9"/>
      <c r="AD294" s="9"/>
      <c r="AE294" s="9"/>
      <c r="AF294" s="9"/>
    </row>
    <row r="295">
      <c r="A295" s="43">
        <v>2.0</v>
      </c>
      <c r="B295" s="47" t="s">
        <v>4502</v>
      </c>
      <c r="C295" s="47">
        <v>290.0</v>
      </c>
      <c r="D295" s="47">
        <v>7.0</v>
      </c>
      <c r="E295" s="47" t="s">
        <v>702</v>
      </c>
      <c r="F295" s="156" t="str">
        <f>HYPERLINK("http://www.tribunnews.com/seleb/2019/01/19/artis-lain-terlibat-prostitusi-versi-robby-abbas-bintang-iklan-sabun-baru-keluar-dari-penjara ","sumber")</f>
        <v>sumber</v>
      </c>
      <c r="G295" s="47" t="s">
        <v>33</v>
      </c>
      <c r="H295" s="47">
        <v>151.0</v>
      </c>
      <c r="I295" s="48"/>
      <c r="J295" s="48"/>
      <c r="K295" s="157" t="s">
        <v>4503</v>
      </c>
      <c r="L295" s="48"/>
      <c r="M295" s="48"/>
      <c r="N295" s="48"/>
      <c r="O295" s="48"/>
      <c r="P295" s="48"/>
      <c r="Q295" s="48"/>
      <c r="R295" s="48"/>
      <c r="S295" s="165"/>
      <c r="T295" s="48"/>
      <c r="U295" s="48"/>
      <c r="V295" s="48"/>
      <c r="W295" s="48"/>
      <c r="X295" s="48"/>
      <c r="Y295" s="48"/>
      <c r="Z295" s="338"/>
      <c r="AA295" s="51"/>
      <c r="AB295" s="51"/>
      <c r="AC295" s="51"/>
      <c r="AD295" s="51"/>
      <c r="AE295" s="51"/>
      <c r="AF295" s="51"/>
    </row>
    <row r="296">
      <c r="A296" s="43">
        <v>2.0</v>
      </c>
      <c r="B296" s="47" t="s">
        <v>4504</v>
      </c>
      <c r="C296" s="47">
        <v>291.0</v>
      </c>
      <c r="D296" s="47">
        <v>2.0</v>
      </c>
      <c r="E296" s="47" t="s">
        <v>683</v>
      </c>
      <c r="F296" s="156" t="str">
        <f>HYPERLINK("https://www.cnnindonesia.com/hiburan/20190124112640-234-363428/sutradara-bohemian-rhapsody-dituduh-lakukan-pelecehan ","sumber")</f>
        <v>sumber</v>
      </c>
      <c r="G296" s="47" t="s">
        <v>33</v>
      </c>
      <c r="H296" s="47">
        <v>409.0</v>
      </c>
      <c r="I296" s="48"/>
      <c r="J296" s="48"/>
      <c r="K296" s="165"/>
      <c r="L296" s="48"/>
      <c r="M296" s="48"/>
      <c r="N296" s="48"/>
      <c r="O296" s="48"/>
      <c r="P296" s="48"/>
      <c r="Q296" s="48"/>
      <c r="R296" s="48"/>
      <c r="S296" s="165"/>
      <c r="T296" s="48"/>
      <c r="U296" s="48"/>
      <c r="V296" s="48"/>
      <c r="W296" s="48"/>
      <c r="X296" s="48"/>
      <c r="Y296" s="48"/>
      <c r="Z296" s="338"/>
      <c r="AA296" s="51"/>
      <c r="AB296" s="51"/>
      <c r="AC296" s="51"/>
      <c r="AD296" s="51"/>
      <c r="AE296" s="51"/>
      <c r="AF296" s="51"/>
    </row>
    <row r="297">
      <c r="A297" s="189">
        <v>1.0</v>
      </c>
      <c r="B297" s="190" t="s">
        <v>4505</v>
      </c>
      <c r="C297" s="55">
        <v>292.0</v>
      </c>
      <c r="D297" s="55">
        <v>3.0</v>
      </c>
      <c r="E297" s="344">
        <v>43739.0</v>
      </c>
      <c r="F297" s="171" t="str">
        <f>HYPERLINK("https://celebrity.okezone.com/read/2019/01/10/33/2002787/muncikari-es-akui-mempromosikan-vanessa-angel-karena-pertemanan ","sumber")</f>
        <v>sumber</v>
      </c>
      <c r="G297" s="55" t="s">
        <v>33</v>
      </c>
      <c r="H297" s="55">
        <v>293.0</v>
      </c>
      <c r="I297" s="55">
        <v>1.0</v>
      </c>
      <c r="J297" s="55">
        <v>1.0</v>
      </c>
      <c r="K297" s="172" t="s">
        <v>4506</v>
      </c>
      <c r="L297" s="55">
        <v>0.0</v>
      </c>
      <c r="M297" s="55">
        <v>-1.0</v>
      </c>
      <c r="N297" s="173">
        <v>0.0</v>
      </c>
      <c r="O297" s="55">
        <v>0.0</v>
      </c>
      <c r="P297" s="55">
        <v>0.0</v>
      </c>
      <c r="Q297" s="55">
        <v>0.0</v>
      </c>
      <c r="R297" s="55">
        <v>0.0</v>
      </c>
      <c r="S297" s="174"/>
      <c r="T297" s="55">
        <v>0.0</v>
      </c>
      <c r="U297" s="55">
        <v>0.0</v>
      </c>
      <c r="V297" s="55">
        <v>1.0</v>
      </c>
      <c r="W297" s="46"/>
      <c r="X297" s="46"/>
      <c r="Y297" s="46"/>
      <c r="Z297" s="31"/>
      <c r="AA297" s="31"/>
      <c r="AB297" s="31"/>
      <c r="AC297" s="31"/>
      <c r="AD297" s="31"/>
      <c r="AE297" s="31"/>
      <c r="AF297" s="31"/>
    </row>
    <row r="298">
      <c r="A298" s="254">
        <v>1.0</v>
      </c>
      <c r="B298" s="68" t="s">
        <v>4507</v>
      </c>
      <c r="C298" s="55">
        <v>293.0</v>
      </c>
      <c r="D298" s="55">
        <v>4.0</v>
      </c>
      <c r="E298" s="344">
        <v>43556.0</v>
      </c>
      <c r="F298" s="171" t="str">
        <f>HYPERLINK("https://www.liputan6.com/regional/read/3862837/mabuk-arak-jowo-gadis-teler-diperkosa-2-pemuda-di-kediri ","sumber")</f>
        <v>sumber</v>
      </c>
      <c r="G298" s="55" t="s">
        <v>33</v>
      </c>
      <c r="H298" s="55">
        <v>237.0</v>
      </c>
      <c r="I298" s="55">
        <v>1.0</v>
      </c>
      <c r="J298" s="55">
        <v>1.0</v>
      </c>
      <c r="K298" s="172" t="s">
        <v>4508</v>
      </c>
      <c r="L298" s="55">
        <v>0.0</v>
      </c>
      <c r="M298" s="55">
        <v>-1.0</v>
      </c>
      <c r="N298" s="173">
        <v>0.0</v>
      </c>
      <c r="O298" s="55">
        <v>0.0</v>
      </c>
      <c r="P298" s="55">
        <v>0.0</v>
      </c>
      <c r="Q298" s="55">
        <v>0.0</v>
      </c>
      <c r="R298" s="55">
        <v>0.0</v>
      </c>
      <c r="S298" s="172" t="s">
        <v>4509</v>
      </c>
      <c r="T298" s="55">
        <v>1.0</v>
      </c>
      <c r="U298" s="55">
        <v>0.0</v>
      </c>
      <c r="V298" s="55">
        <v>0.0</v>
      </c>
      <c r="W298" s="46"/>
      <c r="X298" s="46"/>
      <c r="Y298" s="46"/>
      <c r="Z298" s="31"/>
      <c r="AA298" s="31"/>
      <c r="AB298" s="31"/>
      <c r="AC298" s="31"/>
      <c r="AD298" s="31"/>
      <c r="AE298" s="31"/>
      <c r="AF298" s="31"/>
    </row>
    <row r="299">
      <c r="A299" s="231">
        <v>1.0</v>
      </c>
      <c r="B299" s="44" t="s">
        <v>4510</v>
      </c>
      <c r="C299" s="44">
        <v>294.0</v>
      </c>
      <c r="D299" s="44">
        <v>1.0</v>
      </c>
      <c r="E299" s="44" t="s">
        <v>87</v>
      </c>
      <c r="F299" s="162" t="str">
        <f>HYPERLINK("https://news.detik.com/berita/d-4401349/pengakuan-asri-bandar-sabu-pembunuh-dan-pembakar-mayat-inah ","sumber")</f>
        <v>sumber</v>
      </c>
      <c r="G299" s="44" t="s">
        <v>33</v>
      </c>
      <c r="H299" s="44">
        <v>332.0</v>
      </c>
      <c r="I299" s="44">
        <v>1.0</v>
      </c>
      <c r="J299" s="44">
        <v>1.0</v>
      </c>
      <c r="K299" s="164" t="s">
        <v>4511</v>
      </c>
      <c r="L299" s="44">
        <v>0.0</v>
      </c>
      <c r="M299" s="44">
        <v>-1.0</v>
      </c>
      <c r="N299" s="166">
        <v>0.0</v>
      </c>
      <c r="O299" s="44">
        <v>1.0</v>
      </c>
      <c r="P299" s="44">
        <v>0.0</v>
      </c>
      <c r="Q299" s="44">
        <v>0.0</v>
      </c>
      <c r="R299" s="44">
        <v>-1.0</v>
      </c>
      <c r="S299" s="175"/>
      <c r="T299" s="44">
        <v>0.0</v>
      </c>
      <c r="U299" s="44">
        <v>0.0</v>
      </c>
      <c r="V299" s="44">
        <v>0.0</v>
      </c>
      <c r="W299" s="45"/>
      <c r="X299" s="45"/>
      <c r="Y299" s="45"/>
      <c r="Z299" s="9"/>
      <c r="AA299" s="9"/>
      <c r="AB299" s="9"/>
      <c r="AC299" s="9"/>
      <c r="AD299" s="9"/>
      <c r="AE299" s="9"/>
      <c r="AF299" s="9"/>
    </row>
    <row r="300">
      <c r="A300" s="252">
        <v>1.0</v>
      </c>
      <c r="B300" s="173" t="s">
        <v>4512</v>
      </c>
      <c r="C300" s="55">
        <v>295.0</v>
      </c>
      <c r="D300" s="55">
        <v>8.0</v>
      </c>
      <c r="E300" s="344">
        <v>43678.0</v>
      </c>
      <c r="F300" s="171" t="str">
        <f>HYPERLINK("https://www.suara.com/news/2019/01/08/172032/buntut-prostitusi-online-vanessa-angel-2-mucikari-artis-dan-model-buron ","sumber")</f>
        <v>sumber</v>
      </c>
      <c r="G300" s="55" t="s">
        <v>33</v>
      </c>
      <c r="H300" s="55">
        <v>312.0</v>
      </c>
      <c r="I300" s="55">
        <v>1.0</v>
      </c>
      <c r="J300" s="55">
        <v>1.0</v>
      </c>
      <c r="K300" s="172" t="s">
        <v>4513</v>
      </c>
      <c r="L300" s="55">
        <v>0.0</v>
      </c>
      <c r="M300" s="55">
        <v>-1.0</v>
      </c>
      <c r="N300" s="173">
        <v>0.0</v>
      </c>
      <c r="O300" s="55">
        <v>0.0</v>
      </c>
      <c r="P300" s="55">
        <v>0.0</v>
      </c>
      <c r="Q300" s="55">
        <v>0.0</v>
      </c>
      <c r="R300" s="55">
        <v>0.0</v>
      </c>
      <c r="S300" s="174"/>
      <c r="T300" s="55">
        <v>0.0</v>
      </c>
      <c r="U300" s="55">
        <v>0.0</v>
      </c>
      <c r="V300" s="55">
        <v>1.0</v>
      </c>
      <c r="W300" s="46"/>
      <c r="X300" s="46"/>
      <c r="Y300" s="46"/>
      <c r="Z300" s="31"/>
      <c r="AA300" s="31"/>
      <c r="AB300" s="31"/>
      <c r="AC300" s="31"/>
      <c r="AD300" s="31"/>
      <c r="AE300" s="31"/>
      <c r="AF300" s="31"/>
    </row>
    <row r="301">
      <c r="A301" s="43">
        <v>2.0</v>
      </c>
      <c r="B301" s="47" t="s">
        <v>4514</v>
      </c>
      <c r="C301" s="47">
        <v>296.0</v>
      </c>
      <c r="D301" s="47">
        <v>6.0</v>
      </c>
      <c r="E301" s="280">
        <v>43526.0</v>
      </c>
      <c r="F301" s="156" t="str">
        <f>HYPERLINK("https://entertainment.kompas.com/read/2019/02/03/093814510/chris-pratt-janjikan-guardians-of-the-galaxy-vol-3 ","sumber")</f>
        <v>sumber</v>
      </c>
      <c r="G301" s="47" t="s">
        <v>33</v>
      </c>
      <c r="H301" s="47">
        <v>242.0</v>
      </c>
      <c r="I301" s="48"/>
      <c r="J301" s="48"/>
      <c r="K301" s="165"/>
      <c r="L301" s="48"/>
      <c r="M301" s="48"/>
      <c r="N301" s="48"/>
      <c r="O301" s="48"/>
      <c r="P301" s="48"/>
      <c r="Q301" s="48"/>
      <c r="R301" s="48"/>
      <c r="S301" s="165"/>
      <c r="T301" s="48"/>
      <c r="U301" s="48"/>
      <c r="V301" s="48"/>
      <c r="W301" s="48"/>
      <c r="X301" s="48"/>
      <c r="Y301" s="48"/>
      <c r="Z301" s="338"/>
      <c r="AA301" s="51"/>
      <c r="AB301" s="51"/>
      <c r="AC301" s="51"/>
      <c r="AD301" s="51"/>
      <c r="AE301" s="51"/>
      <c r="AF301" s="51"/>
    </row>
    <row r="302">
      <c r="A302" s="231">
        <v>1.0</v>
      </c>
      <c r="B302" s="44" t="s">
        <v>4515</v>
      </c>
      <c r="C302" s="44">
        <v>297.0</v>
      </c>
      <c r="D302" s="44">
        <v>1.0</v>
      </c>
      <c r="E302" s="268">
        <v>43557.0</v>
      </c>
      <c r="F302" s="162" t="str">
        <f>HYPERLINK("https://news.detik.com/berita/d-4413011/prostitusi-live-show-jajakan-pelajar-sma-anggota-grup-dipatok-rp-1-juta ","sumber")</f>
        <v>sumber</v>
      </c>
      <c r="G302" s="44" t="s">
        <v>33</v>
      </c>
      <c r="H302" s="44">
        <v>230.0</v>
      </c>
      <c r="I302" s="44">
        <v>1.0</v>
      </c>
      <c r="J302" s="44">
        <v>1.0</v>
      </c>
      <c r="K302" s="164" t="s">
        <v>4516</v>
      </c>
      <c r="L302" s="44">
        <v>0.0</v>
      </c>
      <c r="M302" s="44">
        <v>-1.0</v>
      </c>
      <c r="N302" s="166">
        <v>0.0</v>
      </c>
      <c r="O302" s="44">
        <v>0.0</v>
      </c>
      <c r="P302" s="44">
        <v>0.0</v>
      </c>
      <c r="Q302" s="44">
        <v>0.0</v>
      </c>
      <c r="R302" s="44">
        <v>0.0</v>
      </c>
      <c r="S302" s="175"/>
      <c r="T302" s="44">
        <v>0.0</v>
      </c>
      <c r="U302" s="44">
        <v>0.0</v>
      </c>
      <c r="V302" s="44">
        <v>0.0</v>
      </c>
      <c r="W302" s="45"/>
      <c r="X302" s="45"/>
      <c r="Y302" s="45"/>
      <c r="Z302" s="9"/>
      <c r="AA302" s="9"/>
      <c r="AB302" s="9"/>
      <c r="AC302" s="9"/>
      <c r="AD302" s="9"/>
      <c r="AE302" s="9"/>
      <c r="AF302" s="9"/>
    </row>
    <row r="303">
      <c r="A303" s="252">
        <v>1.0</v>
      </c>
      <c r="B303" s="173" t="s">
        <v>4517</v>
      </c>
      <c r="C303" s="55">
        <v>298.0</v>
      </c>
      <c r="D303" s="55">
        <v>10.0</v>
      </c>
      <c r="E303" s="344">
        <v>43771.0</v>
      </c>
      <c r="F303" s="171" t="str">
        <f>HYPERLINK("https://nasional.tempo.co/read/1174618/ketua-dpr-targetkan-ruu-pks-disahkan-sebelum-pemilu ","sumber")</f>
        <v>sumber</v>
      </c>
      <c r="G303" s="55" t="s">
        <v>33</v>
      </c>
      <c r="H303" s="55">
        <v>394.0</v>
      </c>
      <c r="I303" s="55">
        <v>4.0</v>
      </c>
      <c r="J303" s="55">
        <v>1.0</v>
      </c>
      <c r="K303" s="172" t="s">
        <v>4518</v>
      </c>
      <c r="L303" s="55">
        <v>0.0</v>
      </c>
      <c r="M303" s="55">
        <v>0.0</v>
      </c>
      <c r="N303" s="173">
        <v>0.0</v>
      </c>
      <c r="O303" s="55">
        <v>0.0</v>
      </c>
      <c r="P303" s="55">
        <v>0.0</v>
      </c>
      <c r="Q303" s="55" t="s">
        <v>61</v>
      </c>
      <c r="R303" s="55" t="s">
        <v>780</v>
      </c>
      <c r="S303" s="174"/>
      <c r="T303" s="55">
        <v>0.0</v>
      </c>
      <c r="U303" s="55">
        <v>0.0</v>
      </c>
      <c r="V303" s="55">
        <v>1.0</v>
      </c>
      <c r="W303" s="46"/>
      <c r="X303" s="46"/>
      <c r="Y303" s="46"/>
      <c r="Z303" s="31"/>
      <c r="AA303" s="31"/>
      <c r="AB303" s="31"/>
      <c r="AC303" s="31"/>
      <c r="AD303" s="31"/>
      <c r="AE303" s="31"/>
      <c r="AF303" s="31"/>
    </row>
    <row r="304">
      <c r="A304" s="231">
        <v>1.0</v>
      </c>
      <c r="B304" s="44" t="s">
        <v>4519</v>
      </c>
      <c r="C304" s="44">
        <v>299.0</v>
      </c>
      <c r="D304" s="44">
        <v>8.0</v>
      </c>
      <c r="E304" s="268">
        <v>43679.0</v>
      </c>
      <c r="F304" s="162" t="str">
        <f>HYPERLINK("https://www.suara.com/entertainment/2019/02/08/220143/terseret-prostitusi-maulia-lestari-minta-maaf-ke-yayasan-puteri-indonesia ","sumber")</f>
        <v>sumber</v>
      </c>
      <c r="G304" s="44" t="s">
        <v>33</v>
      </c>
      <c r="H304" s="44">
        <v>242.0</v>
      </c>
      <c r="I304" s="44">
        <v>1.0</v>
      </c>
      <c r="J304" s="44">
        <v>1.0</v>
      </c>
      <c r="K304" s="164" t="s">
        <v>4520</v>
      </c>
      <c r="L304" s="44">
        <v>0.0</v>
      </c>
      <c r="M304" s="44">
        <v>-1.0</v>
      </c>
      <c r="N304" s="166">
        <v>0.0</v>
      </c>
      <c r="O304" s="44">
        <v>0.0</v>
      </c>
      <c r="P304" s="44">
        <v>0.0</v>
      </c>
      <c r="Q304" s="44">
        <v>2.0</v>
      </c>
      <c r="R304" s="44">
        <v>0.0</v>
      </c>
      <c r="S304" s="175"/>
      <c r="T304" s="44">
        <v>0.0</v>
      </c>
      <c r="U304" s="44">
        <v>0.0</v>
      </c>
      <c r="V304" s="44">
        <v>0.0</v>
      </c>
      <c r="W304" s="45"/>
      <c r="X304" s="45"/>
      <c r="Y304" s="45"/>
      <c r="Z304" s="9"/>
      <c r="AA304" s="9"/>
      <c r="AB304" s="9"/>
      <c r="AC304" s="9"/>
      <c r="AD304" s="9"/>
      <c r="AE304" s="9"/>
      <c r="AF304" s="9"/>
    </row>
    <row r="305">
      <c r="A305" s="231">
        <v>1.0</v>
      </c>
      <c r="B305" s="44" t="s">
        <v>4521</v>
      </c>
      <c r="C305" s="44">
        <v>300.0</v>
      </c>
      <c r="D305" s="44">
        <v>7.0</v>
      </c>
      <c r="E305" s="268">
        <v>43679.0</v>
      </c>
      <c r="F305" s="162" t="str">
        <f>HYPERLINK("http://www.tribunnews.com/nasional/2019/02/08/ruu-p-ks-melegalkan-lgbt-dan-perzinahan-hoax-itu ","sumber")</f>
        <v>sumber</v>
      </c>
      <c r="G305" s="44" t="s">
        <v>33</v>
      </c>
      <c r="H305" s="44">
        <v>287.0</v>
      </c>
      <c r="I305" s="44">
        <v>4.0</v>
      </c>
      <c r="J305" s="44">
        <v>1.0</v>
      </c>
      <c r="K305" s="164" t="s">
        <v>4522</v>
      </c>
      <c r="L305" s="44">
        <v>0.0</v>
      </c>
      <c r="M305" s="44">
        <v>0.0</v>
      </c>
      <c r="N305" s="166">
        <v>0.0</v>
      </c>
      <c r="O305" s="44">
        <v>0.0</v>
      </c>
      <c r="P305" s="44">
        <v>0.0</v>
      </c>
      <c r="Q305" s="44">
        <v>0.0</v>
      </c>
      <c r="R305" s="44">
        <v>1.0</v>
      </c>
      <c r="S305" s="175"/>
      <c r="T305" s="44">
        <v>0.0</v>
      </c>
      <c r="U305" s="44">
        <v>0.0</v>
      </c>
      <c r="V305" s="44">
        <v>1.0</v>
      </c>
      <c r="W305" s="45"/>
      <c r="X305" s="45"/>
      <c r="Y305" s="45"/>
      <c r="Z305" s="9"/>
      <c r="AA305" s="9"/>
      <c r="AB305" s="9"/>
      <c r="AC305" s="9"/>
      <c r="AD305" s="9"/>
      <c r="AE305" s="9"/>
      <c r="AF305" s="9"/>
    </row>
    <row r="306">
      <c r="A306" s="231">
        <v>1.0</v>
      </c>
      <c r="B306" s="44" t="s">
        <v>1640</v>
      </c>
      <c r="C306" s="44">
        <v>301.0</v>
      </c>
      <c r="D306" s="44">
        <v>6.0</v>
      </c>
      <c r="E306" s="44" t="s">
        <v>476</v>
      </c>
      <c r="F306" s="162" t="str">
        <f>HYPERLINK("https://nasional.kompas.com/read/2019/02/19/21170041/korban-dugaan-pelecehan-seksual-dewas-bpjs-tk-harap-ruu-pks-segera-disahkan ","sumber")</f>
        <v>sumber</v>
      </c>
      <c r="G306" s="44" t="s">
        <v>33</v>
      </c>
      <c r="H306" s="44">
        <v>253.0</v>
      </c>
      <c r="I306" s="44">
        <v>4.0</v>
      </c>
      <c r="J306" s="44">
        <v>1.0</v>
      </c>
      <c r="K306" s="164" t="s">
        <v>4523</v>
      </c>
      <c r="L306" s="44">
        <v>0.0</v>
      </c>
      <c r="M306" s="44">
        <v>0.0</v>
      </c>
      <c r="N306" s="166">
        <v>0.0</v>
      </c>
      <c r="O306" s="44">
        <v>1.0</v>
      </c>
      <c r="P306" s="44">
        <v>0.0</v>
      </c>
      <c r="Q306" s="44">
        <v>2.0</v>
      </c>
      <c r="R306" s="44">
        <v>1.0</v>
      </c>
      <c r="S306" s="175"/>
      <c r="T306" s="44">
        <v>0.0</v>
      </c>
      <c r="U306" s="44">
        <v>0.0</v>
      </c>
      <c r="V306" s="44">
        <v>1.0</v>
      </c>
      <c r="W306" s="45"/>
      <c r="X306" s="45"/>
      <c r="Y306" s="45"/>
      <c r="Z306" s="9"/>
      <c r="AA306" s="9"/>
      <c r="AB306" s="9"/>
      <c r="AC306" s="9"/>
      <c r="AD306" s="9"/>
      <c r="AE306" s="9"/>
      <c r="AF306" s="9"/>
    </row>
    <row r="307">
      <c r="A307" s="231">
        <v>1.0</v>
      </c>
      <c r="B307" s="44" t="s">
        <v>3606</v>
      </c>
      <c r="C307" s="44">
        <v>302.0</v>
      </c>
      <c r="D307" s="44">
        <v>2.0</v>
      </c>
      <c r="E307" s="44" t="s">
        <v>489</v>
      </c>
      <c r="F307" s="162" t="str">
        <f>HYPERLINK("https://www.cnnindonesia.com/nasional/20190219213252-12-370863/perbuatan-maksiat-eks-pejabat-bpjs-tk-disebut-coba-ditutupi ","sumber")</f>
        <v>sumber</v>
      </c>
      <c r="G307" s="44" t="s">
        <v>33</v>
      </c>
      <c r="H307" s="44">
        <v>452.0</v>
      </c>
      <c r="I307" s="44">
        <v>1.0</v>
      </c>
      <c r="J307" s="44">
        <v>1.0</v>
      </c>
      <c r="K307" s="164" t="s">
        <v>4524</v>
      </c>
      <c r="L307" s="44">
        <v>0.0</v>
      </c>
      <c r="M307" s="44">
        <v>-1.0</v>
      </c>
      <c r="N307" s="166">
        <v>0.0</v>
      </c>
      <c r="O307" s="44">
        <v>1.0</v>
      </c>
      <c r="P307" s="44">
        <v>0.0</v>
      </c>
      <c r="Q307" s="44" t="s">
        <v>100</v>
      </c>
      <c r="R307" s="44" t="s">
        <v>192</v>
      </c>
      <c r="S307" s="175"/>
      <c r="T307" s="44">
        <v>0.0</v>
      </c>
      <c r="U307" s="44">
        <v>0.0</v>
      </c>
      <c r="V307" s="44">
        <v>0.0</v>
      </c>
      <c r="W307" s="45"/>
      <c r="X307" s="45"/>
      <c r="Y307" s="45"/>
      <c r="Z307" s="9"/>
      <c r="AA307" s="9"/>
      <c r="AB307" s="9"/>
      <c r="AC307" s="9"/>
      <c r="AD307" s="9"/>
      <c r="AE307" s="9"/>
      <c r="AF307" s="9"/>
    </row>
    <row r="308">
      <c r="A308" s="231">
        <v>1.0</v>
      </c>
      <c r="B308" s="44" t="s">
        <v>4525</v>
      </c>
      <c r="C308" s="44">
        <v>304.0</v>
      </c>
      <c r="D308" s="44">
        <v>2.0</v>
      </c>
      <c r="E308" s="44" t="s">
        <v>469</v>
      </c>
      <c r="F308" s="162" t="str">
        <f>HYPERLINK("https://www.cnnindonesia.com/hiburan/20190224115921-234-372164/kasus-pelecehan-seksual-r-kelly-dituntut-jaminan-rp14-miliar ","sumber")</f>
        <v>sumber</v>
      </c>
      <c r="G308" s="44" t="s">
        <v>33</v>
      </c>
      <c r="H308" s="44">
        <v>371.0</v>
      </c>
      <c r="I308" s="44">
        <v>1.0</v>
      </c>
      <c r="J308" s="44">
        <v>1.0</v>
      </c>
      <c r="K308" s="164" t="s">
        <v>4526</v>
      </c>
      <c r="L308" s="44">
        <v>-1.0</v>
      </c>
      <c r="M308" s="44">
        <v>-1.0</v>
      </c>
      <c r="N308" s="166">
        <v>0.0</v>
      </c>
      <c r="O308" s="44">
        <v>0.0</v>
      </c>
      <c r="P308" s="44">
        <v>0.0</v>
      </c>
      <c r="Q308" s="44">
        <v>0.0</v>
      </c>
      <c r="R308" s="44">
        <v>-1.0</v>
      </c>
      <c r="S308" s="175"/>
      <c r="T308" s="44">
        <v>0.0</v>
      </c>
      <c r="U308" s="44">
        <v>0.0</v>
      </c>
      <c r="V308" s="44">
        <v>0.0</v>
      </c>
      <c r="W308" s="45"/>
      <c r="X308" s="45"/>
      <c r="Y308" s="45"/>
      <c r="Z308" s="9"/>
      <c r="AA308" s="9"/>
      <c r="AB308" s="9"/>
      <c r="AC308" s="9"/>
      <c r="AD308" s="9"/>
      <c r="AE308" s="9"/>
      <c r="AF308" s="9"/>
    </row>
    <row r="309">
      <c r="A309" s="252">
        <v>1.0</v>
      </c>
      <c r="B309" s="173" t="s">
        <v>4527</v>
      </c>
      <c r="C309" s="55">
        <v>305.0</v>
      </c>
      <c r="D309" s="55">
        <v>3.0</v>
      </c>
      <c r="E309" s="55" t="s">
        <v>496</v>
      </c>
      <c r="F309" s="171" t="str">
        <f>HYPERLINK("https://news.okezone.com/read/2019/02/25/512/2022538/predator-anak-yang-hamili-bocah-sd-dibekuk-polisi ","sumber")</f>
        <v>sumber</v>
      </c>
      <c r="G309" s="55" t="s">
        <v>33</v>
      </c>
      <c r="H309" s="55">
        <v>346.0</v>
      </c>
      <c r="I309" s="55">
        <v>1.0</v>
      </c>
      <c r="J309" s="55">
        <v>1.0</v>
      </c>
      <c r="K309" s="172" t="s">
        <v>4528</v>
      </c>
      <c r="L309" s="55">
        <v>0.0</v>
      </c>
      <c r="M309" s="55">
        <v>-1.0</v>
      </c>
      <c r="N309" s="173">
        <v>0.0</v>
      </c>
      <c r="O309" s="55">
        <v>0.0</v>
      </c>
      <c r="P309" s="55">
        <v>0.0</v>
      </c>
      <c r="Q309" s="55">
        <v>0.0</v>
      </c>
      <c r="R309" s="55">
        <v>1.0</v>
      </c>
      <c r="S309" s="172" t="s">
        <v>4529</v>
      </c>
      <c r="T309" s="55">
        <v>1.0</v>
      </c>
      <c r="U309" s="55">
        <v>-1.0</v>
      </c>
      <c r="V309" s="55">
        <v>0.0</v>
      </c>
      <c r="W309" s="46"/>
      <c r="X309" s="46"/>
      <c r="Y309" s="46"/>
      <c r="Z309" s="31"/>
      <c r="AA309" s="31"/>
      <c r="AB309" s="31"/>
      <c r="AC309" s="31"/>
      <c r="AD309" s="31"/>
      <c r="AE309" s="31"/>
      <c r="AF309" s="31"/>
    </row>
    <row r="310">
      <c r="A310" s="231">
        <v>1.0</v>
      </c>
      <c r="B310" s="44" t="s">
        <v>4530</v>
      </c>
      <c r="C310" s="44">
        <v>306.0</v>
      </c>
      <c r="D310" s="44">
        <v>5.0</v>
      </c>
      <c r="E310" s="268">
        <v>43558.0</v>
      </c>
      <c r="F310" s="162" t="str">
        <f>HYPERLINK("https://tirto.id/michael-jakson-estate-rilis-film-usai-penayangan-leaving-neverland-dikt ","sumber")</f>
        <v>sumber</v>
      </c>
      <c r="G310" s="44" t="s">
        <v>33</v>
      </c>
      <c r="H310" s="44">
        <v>374.0</v>
      </c>
      <c r="I310" s="44">
        <v>1.0</v>
      </c>
      <c r="J310" s="44">
        <v>1.0</v>
      </c>
      <c r="K310" s="164" t="s">
        <v>4531</v>
      </c>
      <c r="L310" s="44">
        <v>-1.0</v>
      </c>
      <c r="M310" s="44">
        <v>1.0</v>
      </c>
      <c r="N310" s="166">
        <v>0.0</v>
      </c>
      <c r="O310" s="44">
        <v>0.0</v>
      </c>
      <c r="P310" s="44">
        <v>0.0</v>
      </c>
      <c r="Q310" s="44" t="s">
        <v>61</v>
      </c>
      <c r="R310" s="44" t="s">
        <v>85</v>
      </c>
      <c r="S310" s="175"/>
      <c r="T310" s="44">
        <v>0.0</v>
      </c>
      <c r="U310" s="44">
        <v>0.0</v>
      </c>
      <c r="V310" s="44">
        <v>0.0</v>
      </c>
      <c r="W310" s="45"/>
      <c r="X310" s="45"/>
      <c r="Y310" s="45"/>
      <c r="Z310" s="9"/>
      <c r="AA310" s="9"/>
      <c r="AB310" s="9"/>
      <c r="AC310" s="9"/>
      <c r="AD310" s="9"/>
      <c r="AE310" s="9"/>
      <c r="AF310" s="9"/>
    </row>
    <row r="311">
      <c r="A311" s="231">
        <v>1.0</v>
      </c>
      <c r="B311" s="44" t="s">
        <v>4532</v>
      </c>
      <c r="C311" s="44">
        <v>307.0</v>
      </c>
      <c r="D311" s="44">
        <v>9.0</v>
      </c>
      <c r="E311" s="268">
        <v>43680.0</v>
      </c>
      <c r="F311" s="162" t="str">
        <f>HYPERLINK("https://internasional.republika.co.id/berita/internasional/asia/po1vcy382/suara-hari-perempuan-internasional-di-berbagai-belahan-dunia ","sumber")</f>
        <v>sumber</v>
      </c>
      <c r="G311" s="44" t="s">
        <v>33</v>
      </c>
      <c r="H311" s="44">
        <v>757.0</v>
      </c>
      <c r="I311" s="44">
        <v>3.0</v>
      </c>
      <c r="J311" s="44">
        <v>1.0</v>
      </c>
      <c r="K311" s="164" t="s">
        <v>4533</v>
      </c>
      <c r="L311" s="44">
        <v>0.0</v>
      </c>
      <c r="M311" s="44">
        <v>0.0</v>
      </c>
      <c r="N311" s="166">
        <v>0.0</v>
      </c>
      <c r="O311" s="44">
        <v>0.0</v>
      </c>
      <c r="P311" s="44">
        <v>0.0</v>
      </c>
      <c r="Q311" s="44" t="s">
        <v>61</v>
      </c>
      <c r="R311" s="44" t="s">
        <v>192</v>
      </c>
      <c r="S311" s="175"/>
      <c r="T311" s="44">
        <v>0.0</v>
      </c>
      <c r="U311" s="44">
        <v>0.0</v>
      </c>
      <c r="V311" s="44">
        <v>1.0</v>
      </c>
      <c r="W311" s="45"/>
      <c r="X311" s="45"/>
      <c r="Y311" s="45"/>
      <c r="Z311" s="9"/>
      <c r="AA311" s="9"/>
      <c r="AB311" s="9"/>
      <c r="AC311" s="9"/>
      <c r="AD311" s="9"/>
      <c r="AE311" s="9"/>
      <c r="AF311" s="9"/>
    </row>
    <row r="312">
      <c r="A312" s="252">
        <v>1.0</v>
      </c>
      <c r="B312" s="173" t="s">
        <v>4534</v>
      </c>
      <c r="C312" s="55">
        <v>308.0</v>
      </c>
      <c r="D312" s="55">
        <v>7.0</v>
      </c>
      <c r="E312" s="344">
        <v>43772.0</v>
      </c>
      <c r="F312" s="171" t="str">
        <f>HYPERLINK("http://www.tribunnews.com/regional/2019/03/11/begal-payudara-dua-orang-gadis-pria-beristri-diamuk-massa ","sumber")</f>
        <v>sumber</v>
      </c>
      <c r="G312" s="55" t="s">
        <v>33</v>
      </c>
      <c r="H312" s="55">
        <v>105.0</v>
      </c>
      <c r="I312" s="55">
        <v>1.0</v>
      </c>
      <c r="J312" s="55">
        <v>1.0</v>
      </c>
      <c r="K312" s="172" t="s">
        <v>4535</v>
      </c>
      <c r="L312" s="55">
        <v>0.0</v>
      </c>
      <c r="M312" s="55">
        <v>-1.0</v>
      </c>
      <c r="N312" s="173">
        <v>0.0</v>
      </c>
      <c r="O312" s="55">
        <v>0.0</v>
      </c>
      <c r="P312" s="55">
        <v>0.0</v>
      </c>
      <c r="Q312" s="55" t="s">
        <v>61</v>
      </c>
      <c r="R312" s="55" t="s">
        <v>192</v>
      </c>
      <c r="S312" s="174"/>
      <c r="T312" s="55">
        <v>0.0</v>
      </c>
      <c r="U312" s="55">
        <v>0.0</v>
      </c>
      <c r="V312" s="55">
        <v>1.0</v>
      </c>
      <c r="W312" s="46"/>
      <c r="X312" s="46"/>
      <c r="Y312" s="46"/>
      <c r="Z312" s="31"/>
      <c r="AA312" s="31"/>
      <c r="AB312" s="31"/>
      <c r="AC312" s="31"/>
      <c r="AD312" s="31"/>
      <c r="AE312" s="31"/>
      <c r="AF312" s="31"/>
    </row>
    <row r="313">
      <c r="A313" s="231">
        <v>1.0</v>
      </c>
      <c r="B313" s="44" t="s">
        <v>4536</v>
      </c>
      <c r="C313" s="44">
        <v>309.0</v>
      </c>
      <c r="D313" s="44">
        <v>7.0</v>
      </c>
      <c r="E313" s="44" t="s">
        <v>159</v>
      </c>
      <c r="F313" s="162" t="str">
        <f>HYPERLINK("http://www.tribunnews.com/regional/2019/03/26/tawarkan-layanan-kencan-bertarif-rp-22-juta-lewat-whatsapp-mucikari-di-tegal-tertangkap ","sumber")</f>
        <v>sumber</v>
      </c>
      <c r="G313" s="44" t="s">
        <v>33</v>
      </c>
      <c r="H313" s="44">
        <v>293.0</v>
      </c>
      <c r="I313" s="44">
        <v>1.0</v>
      </c>
      <c r="J313" s="44">
        <v>1.0</v>
      </c>
      <c r="K313" s="164" t="s">
        <v>4537</v>
      </c>
      <c r="L313" s="44">
        <v>0.0</v>
      </c>
      <c r="M313" s="44">
        <v>-1.0</v>
      </c>
      <c r="N313" s="166">
        <v>0.0</v>
      </c>
      <c r="O313" s="44">
        <v>0.0</v>
      </c>
      <c r="P313" s="44">
        <v>0.0</v>
      </c>
      <c r="Q313" s="44">
        <v>0.0</v>
      </c>
      <c r="R313" s="44">
        <v>0.0</v>
      </c>
      <c r="S313" s="175"/>
      <c r="T313" s="44">
        <v>0.0</v>
      </c>
      <c r="U313" s="44">
        <v>0.0</v>
      </c>
      <c r="V313" s="44">
        <v>0.0</v>
      </c>
      <c r="W313" s="45"/>
      <c r="X313" s="45"/>
      <c r="Y313" s="45"/>
      <c r="Z313" s="9"/>
      <c r="AA313" s="9"/>
      <c r="AB313" s="9"/>
      <c r="AC313" s="9"/>
      <c r="AD313" s="9"/>
      <c r="AE313" s="9"/>
      <c r="AF313" s="9"/>
    </row>
    <row r="314">
      <c r="A314" s="231">
        <v>1.0</v>
      </c>
      <c r="B314" s="44" t="s">
        <v>4538</v>
      </c>
      <c r="C314" s="44">
        <v>310.0</v>
      </c>
      <c r="D314" s="44">
        <v>2.0</v>
      </c>
      <c r="E314" s="44" t="s">
        <v>536</v>
      </c>
      <c r="F314" s="162" t="str">
        <f>HYPERLINK("https://www.cnnindonesia.com/nasional/20190329181123-12-381853/pengacara-vanessa-angel-ajukan-praperadilan ","sumber")</f>
        <v>sumber</v>
      </c>
      <c r="G314" s="44" t="s">
        <v>33</v>
      </c>
      <c r="H314" s="44">
        <v>337.0</v>
      </c>
      <c r="I314" s="44">
        <v>1.0</v>
      </c>
      <c r="J314" s="44">
        <v>1.0</v>
      </c>
      <c r="K314" s="164" t="s">
        <v>4539</v>
      </c>
      <c r="L314" s="44">
        <v>0.0</v>
      </c>
      <c r="M314" s="44">
        <v>-1.0</v>
      </c>
      <c r="N314" s="166">
        <v>0.0</v>
      </c>
      <c r="O314" s="44">
        <v>0.0</v>
      </c>
      <c r="P314" s="44">
        <v>0.0</v>
      </c>
      <c r="Q314" s="44" t="s">
        <v>61</v>
      </c>
      <c r="R314" s="44" t="s">
        <v>100</v>
      </c>
      <c r="S314" s="175"/>
      <c r="T314" s="44">
        <v>0.0</v>
      </c>
      <c r="U314" s="44">
        <v>0.0</v>
      </c>
      <c r="V314" s="44">
        <v>1.0</v>
      </c>
      <c r="W314" s="45"/>
      <c r="X314" s="45"/>
      <c r="Y314" s="45"/>
      <c r="Z314" s="9"/>
      <c r="AA314" s="9"/>
      <c r="AB314" s="9"/>
      <c r="AC314" s="9"/>
      <c r="AD314" s="9"/>
      <c r="AE314" s="9"/>
      <c r="AF314" s="9"/>
    </row>
    <row r="315">
      <c r="A315" s="252">
        <v>1.0</v>
      </c>
      <c r="B315" s="173" t="s">
        <v>4540</v>
      </c>
      <c r="C315" s="55">
        <v>311.0</v>
      </c>
      <c r="D315" s="55">
        <v>10.0</v>
      </c>
      <c r="E315" s="344">
        <v>43527.0</v>
      </c>
      <c r="F315" s="171" t="str">
        <f>HYPERLINK("https://dunia.tempo.co/read/1181402/6-negara-ini-dapat-nilai-sempurna-untuk-hak-perempuan-indonesia ","sumber")</f>
        <v>sumber</v>
      </c>
      <c r="G315" s="55" t="s">
        <v>33</v>
      </c>
      <c r="H315" s="55">
        <v>389.0</v>
      </c>
      <c r="I315" s="55">
        <v>5.0</v>
      </c>
      <c r="J315" s="55">
        <v>1.0</v>
      </c>
      <c r="K315" s="172"/>
      <c r="L315" s="55">
        <v>-1.0</v>
      </c>
      <c r="M315" s="55">
        <v>0.0</v>
      </c>
      <c r="N315" s="173">
        <v>0.0</v>
      </c>
      <c r="O315" s="55">
        <v>0.0</v>
      </c>
      <c r="P315" s="55">
        <v>0.0</v>
      </c>
      <c r="Q315" s="55"/>
      <c r="R315" s="55"/>
      <c r="S315" s="174"/>
      <c r="T315" s="55">
        <v>0.0</v>
      </c>
      <c r="U315" s="55">
        <v>0.0</v>
      </c>
      <c r="V315" s="55">
        <v>1.0</v>
      </c>
      <c r="W315" s="46"/>
      <c r="X315" s="46"/>
      <c r="Y315" s="46"/>
      <c r="Z315" s="31"/>
      <c r="AA315" s="31"/>
      <c r="AB315" s="31"/>
      <c r="AC315" s="31"/>
      <c r="AD315" s="31"/>
      <c r="AE315" s="31"/>
      <c r="AF315" s="31"/>
    </row>
    <row r="316">
      <c r="A316" s="43">
        <v>2.0</v>
      </c>
      <c r="B316" s="47" t="s">
        <v>4541</v>
      </c>
      <c r="C316" s="47">
        <v>312.0</v>
      </c>
      <c r="D316" s="47">
        <v>8.0</v>
      </c>
      <c r="E316" s="280">
        <v>43500.0</v>
      </c>
      <c r="F316" s="156" t="str">
        <f>HYPERLINK("https://www.suara.com/entertainment/2019/04/02/180604/dipindah-ke-rutan-medaeng-kondisi-vanessa-angel-drop ","sumber")</f>
        <v>sumber</v>
      </c>
      <c r="G316" s="47" t="s">
        <v>33</v>
      </c>
      <c r="H316" s="47">
        <v>137.0</v>
      </c>
      <c r="I316" s="48"/>
      <c r="J316" s="48"/>
      <c r="K316" s="165"/>
      <c r="L316" s="48"/>
      <c r="M316" s="48"/>
      <c r="N316" s="48"/>
      <c r="O316" s="48"/>
      <c r="P316" s="48"/>
      <c r="Q316" s="48"/>
      <c r="R316" s="48"/>
      <c r="S316" s="165"/>
      <c r="T316" s="48"/>
      <c r="U316" s="48"/>
      <c r="V316" s="48"/>
      <c r="W316" s="48"/>
      <c r="X316" s="48"/>
      <c r="Y316" s="48"/>
      <c r="Z316" s="338"/>
      <c r="AA316" s="51"/>
      <c r="AB316" s="51"/>
      <c r="AC316" s="51"/>
      <c r="AD316" s="51"/>
      <c r="AE316" s="51"/>
      <c r="AF316" s="51"/>
    </row>
    <row r="317">
      <c r="A317" s="231">
        <v>1.0</v>
      </c>
      <c r="B317" s="44" t="s">
        <v>4542</v>
      </c>
      <c r="C317" s="44">
        <v>313.0</v>
      </c>
      <c r="D317" s="44">
        <v>5.0</v>
      </c>
      <c r="E317" s="268">
        <v>43500.0</v>
      </c>
      <c r="F317" s="162" t="str">
        <f>HYPERLINK("https://tirto.id/dewas-bpjs-tk-tak-hadir-sidang-gugatan-korban-pelecehan-seksual-dkUF ","sumber")</f>
        <v>sumber</v>
      </c>
      <c r="G317" s="44" t="s">
        <v>33</v>
      </c>
      <c r="H317" s="44">
        <v>359.0</v>
      </c>
      <c r="I317" s="44">
        <v>1.0</v>
      </c>
      <c r="J317" s="44">
        <v>1.0</v>
      </c>
      <c r="K317" s="164" t="s">
        <v>4543</v>
      </c>
      <c r="L317" s="44">
        <v>0.0</v>
      </c>
      <c r="M317" s="44">
        <v>-1.0</v>
      </c>
      <c r="N317" s="44">
        <v>-1.0</v>
      </c>
      <c r="O317" s="44">
        <v>0.0</v>
      </c>
      <c r="P317" s="44">
        <v>0.0</v>
      </c>
      <c r="Q317" s="44">
        <v>0.0</v>
      </c>
      <c r="R317" s="44">
        <v>1.0</v>
      </c>
      <c r="S317" s="175"/>
      <c r="T317" s="44">
        <v>0.0</v>
      </c>
      <c r="U317" s="44">
        <v>0.0</v>
      </c>
      <c r="V317" s="44">
        <v>0.0</v>
      </c>
      <c r="W317" s="45"/>
      <c r="X317" s="45"/>
      <c r="Y317" s="45"/>
      <c r="Z317" s="9"/>
      <c r="AA317" s="9"/>
      <c r="AB317" s="9"/>
      <c r="AC317" s="9"/>
      <c r="AD317" s="9"/>
      <c r="AE317" s="9"/>
      <c r="AF317" s="9"/>
    </row>
    <row r="318">
      <c r="A318" s="231">
        <v>1.0</v>
      </c>
      <c r="B318" s="44" t="s">
        <v>177</v>
      </c>
      <c r="C318" s="44">
        <v>314.0</v>
      </c>
      <c r="D318" s="44">
        <v>3.0</v>
      </c>
      <c r="E318" s="268">
        <v>43528.0</v>
      </c>
      <c r="F318" s="162" t="str">
        <f>HYPERLINK("https://celebrity.okezone.com/read/2019/04/03/33/2038760/setelah-dada-diremas-cupi-cupita-alami-insiden-baju-melorot-di-atas-panggung ","sumber")</f>
        <v>sumber</v>
      </c>
      <c r="G318" s="44" t="s">
        <v>33</v>
      </c>
      <c r="H318" s="44">
        <v>362.0</v>
      </c>
      <c r="I318" s="44">
        <v>1.0</v>
      </c>
      <c r="J318" s="44">
        <v>1.0</v>
      </c>
      <c r="K318" s="164" t="s">
        <v>4544</v>
      </c>
      <c r="L318" s="44">
        <v>-1.0</v>
      </c>
      <c r="M318" s="44">
        <v>1.0</v>
      </c>
      <c r="N318" s="166">
        <v>0.0</v>
      </c>
      <c r="O318" s="44">
        <v>-1.0</v>
      </c>
      <c r="P318" s="44">
        <v>-1.0</v>
      </c>
      <c r="Q318" s="44" t="s">
        <v>119</v>
      </c>
      <c r="R318" s="44" t="s">
        <v>173</v>
      </c>
      <c r="S318" s="175"/>
      <c r="T318" s="44">
        <v>0.0</v>
      </c>
      <c r="U318" s="44">
        <v>0.0</v>
      </c>
      <c r="V318" s="44">
        <v>0.0</v>
      </c>
      <c r="W318" s="45"/>
      <c r="X318" s="45"/>
      <c r="Y318" s="45"/>
      <c r="Z318" s="9"/>
      <c r="AA318" s="9"/>
      <c r="AB318" s="9"/>
      <c r="AC318" s="9"/>
      <c r="AD318" s="9"/>
      <c r="AE318" s="9"/>
      <c r="AF318" s="9"/>
    </row>
    <row r="319">
      <c r="A319" s="231">
        <v>1.0</v>
      </c>
      <c r="B319" s="44" t="s">
        <v>4545</v>
      </c>
      <c r="C319" s="44">
        <v>315.0</v>
      </c>
      <c r="D319" s="44">
        <v>1.0</v>
      </c>
      <c r="E319" s="268">
        <v>43589.0</v>
      </c>
      <c r="F319" s="162" t="str">
        <f>HYPERLINK("https://news.detik.com/berita-jawa-timur/d-4498363/klaim-kabupaten-layak-anak-3-bulan-5-anak-diperkosa-di-bondowoso ","sumber")</f>
        <v>sumber</v>
      </c>
      <c r="G319" s="44" t="s">
        <v>33</v>
      </c>
      <c r="H319" s="44">
        <v>255.0</v>
      </c>
      <c r="I319" s="44">
        <v>4.0</v>
      </c>
      <c r="J319" s="44">
        <v>1.0</v>
      </c>
      <c r="K319" s="164" t="s">
        <v>4546</v>
      </c>
      <c r="L319" s="44">
        <v>0.0</v>
      </c>
      <c r="M319" s="44">
        <v>0.0</v>
      </c>
      <c r="N319" s="166">
        <v>0.0</v>
      </c>
      <c r="O319" s="44">
        <v>0.0</v>
      </c>
      <c r="P319" s="44">
        <v>0.0</v>
      </c>
      <c r="Q319" s="44">
        <v>1.0</v>
      </c>
      <c r="R319" s="44">
        <v>1.0</v>
      </c>
      <c r="S319" s="175"/>
      <c r="T319" s="44">
        <v>0.0</v>
      </c>
      <c r="U319" s="44">
        <v>0.0</v>
      </c>
      <c r="V319" s="44">
        <v>1.0</v>
      </c>
      <c r="W319" s="45"/>
      <c r="X319" s="45"/>
      <c r="Y319" s="45"/>
      <c r="Z319" s="9"/>
      <c r="AA319" s="9"/>
      <c r="AB319" s="9"/>
      <c r="AC319" s="9"/>
      <c r="AD319" s="9"/>
      <c r="AE319" s="9"/>
      <c r="AF319" s="9"/>
    </row>
    <row r="320">
      <c r="A320" s="43">
        <v>2.0</v>
      </c>
      <c r="B320" s="47" t="s">
        <v>4547</v>
      </c>
      <c r="C320" s="47">
        <v>316.0</v>
      </c>
      <c r="D320" s="47">
        <v>2.0</v>
      </c>
      <c r="E320" s="48"/>
      <c r="F320" s="156" t="str">
        <f>HYPERLINK("https://www.cnnindonesia.com/nasional/20190406171058-32-383938/gus-irfan-soal-bendera-sandi-pbnu-gunakan-nu-itu-lebih-parah ","sumber")</f>
        <v>sumber</v>
      </c>
      <c r="G320" s="47" t="s">
        <v>33</v>
      </c>
      <c r="H320" s="47">
        <v>505.0</v>
      </c>
      <c r="I320" s="48"/>
      <c r="J320" s="48"/>
      <c r="K320" s="165"/>
      <c r="L320" s="48"/>
      <c r="M320" s="48"/>
      <c r="N320" s="48"/>
      <c r="O320" s="48"/>
      <c r="P320" s="48"/>
      <c r="Q320" s="48"/>
      <c r="R320" s="48"/>
      <c r="S320" s="165"/>
      <c r="T320" s="48"/>
      <c r="U320" s="48"/>
      <c r="V320" s="48"/>
      <c r="W320" s="48"/>
      <c r="X320" s="48"/>
      <c r="Y320" s="48"/>
      <c r="Z320" s="338"/>
      <c r="AA320" s="51"/>
      <c r="AB320" s="51"/>
      <c r="AC320" s="51"/>
      <c r="AD320" s="51"/>
      <c r="AE320" s="51"/>
      <c r="AF320" s="51"/>
    </row>
    <row r="321">
      <c r="A321" s="252">
        <v>1.0</v>
      </c>
      <c r="B321" s="173" t="s">
        <v>4548</v>
      </c>
      <c r="C321" s="55">
        <v>317.0</v>
      </c>
      <c r="D321" s="55">
        <v>3.0</v>
      </c>
      <c r="E321" s="55" t="s">
        <v>766</v>
      </c>
      <c r="F321" s="171" t="str">
        <f>HYPERLINK("https://news.okezone.com/read/2019/04/12/338/2042797/negara-harus-jamin-keamanan-bagi-perempuan-dari-kejahatan-jalanan ","sumber")</f>
        <v>sumber</v>
      </c>
      <c r="G321" s="55" t="s">
        <v>33</v>
      </c>
      <c r="H321" s="55">
        <v>276.0</v>
      </c>
      <c r="I321" s="55">
        <v>4.0</v>
      </c>
      <c r="J321" s="55">
        <v>1.0</v>
      </c>
      <c r="K321" s="172" t="s">
        <v>4549</v>
      </c>
      <c r="L321" s="55">
        <v>0.0</v>
      </c>
      <c r="M321" s="55">
        <v>0.0</v>
      </c>
      <c r="N321" s="173">
        <v>0.0</v>
      </c>
      <c r="O321" s="55">
        <v>0.0</v>
      </c>
      <c r="P321" s="55">
        <v>0.0</v>
      </c>
      <c r="Q321" s="55">
        <v>1.0</v>
      </c>
      <c r="R321" s="55">
        <v>1.0</v>
      </c>
      <c r="S321" s="174"/>
      <c r="T321" s="55">
        <v>0.0</v>
      </c>
      <c r="U321" s="55">
        <v>0.0</v>
      </c>
      <c r="V321" s="55">
        <v>1.0</v>
      </c>
      <c r="W321" s="46"/>
      <c r="X321" s="46"/>
      <c r="Y321" s="46"/>
      <c r="Z321" s="31"/>
      <c r="AA321" s="31"/>
      <c r="AB321" s="31"/>
      <c r="AC321" s="31"/>
      <c r="AD321" s="31"/>
      <c r="AE321" s="31"/>
      <c r="AF321" s="31"/>
    </row>
    <row r="322">
      <c r="A322" s="231">
        <v>1.0</v>
      </c>
      <c r="B322" s="44" t="s">
        <v>4550</v>
      </c>
      <c r="C322" s="44">
        <v>318.0</v>
      </c>
      <c r="D322" s="44">
        <v>8.0</v>
      </c>
      <c r="E322" s="268">
        <v>43620.0</v>
      </c>
      <c r="F322" s="162" t="str">
        <f>HYPERLINK("https://www.suara.com/news/2019/04/06/052225/kampanye-di-gunungkidul-sandiaga-bahas-soal-masalah-kesehatan-jiwa ","sumber")</f>
        <v>sumber</v>
      </c>
      <c r="G322" s="44" t="s">
        <v>33</v>
      </c>
      <c r="H322" s="44">
        <v>269.0</v>
      </c>
      <c r="I322" s="44">
        <v>4.0</v>
      </c>
      <c r="J322" s="44">
        <v>2.0</v>
      </c>
      <c r="K322" s="164" t="s">
        <v>4551</v>
      </c>
      <c r="L322" s="44">
        <v>0.0</v>
      </c>
      <c r="M322" s="44">
        <v>0.0</v>
      </c>
      <c r="N322" s="166">
        <v>0.0</v>
      </c>
      <c r="O322" s="44">
        <v>0.0</v>
      </c>
      <c r="P322" s="44">
        <v>0.0</v>
      </c>
      <c r="Q322" s="44">
        <v>0.0</v>
      </c>
      <c r="R322" s="44">
        <v>1.0</v>
      </c>
      <c r="S322" s="175"/>
      <c r="T322" s="44">
        <v>0.0</v>
      </c>
      <c r="U322" s="44">
        <v>0.0</v>
      </c>
      <c r="V322" s="44">
        <v>1.0</v>
      </c>
      <c r="W322" s="45"/>
      <c r="X322" s="45"/>
      <c r="Y322" s="45"/>
      <c r="Z322" s="9"/>
      <c r="AA322" s="9"/>
      <c r="AB322" s="9"/>
      <c r="AC322" s="9"/>
      <c r="AD322" s="9"/>
      <c r="AE322" s="9"/>
      <c r="AF322" s="9"/>
    </row>
    <row r="323">
      <c r="A323" s="252">
        <v>1.0</v>
      </c>
      <c r="B323" s="173" t="s">
        <v>4552</v>
      </c>
      <c r="C323" s="55">
        <v>319.0</v>
      </c>
      <c r="D323" s="55">
        <v>10.0</v>
      </c>
      <c r="E323" s="55" t="s">
        <v>2973</v>
      </c>
      <c r="F323" s="171" t="str">
        <f>HYPERLINK("https://bisnis.tempo.co/read/1199797/lima-pelecehan-seksual-yang-terjadi-di-transportasi-publik ","sumber")</f>
        <v>sumber</v>
      </c>
      <c r="G323" s="55" t="s">
        <v>33</v>
      </c>
      <c r="H323" s="55"/>
      <c r="I323" s="55">
        <v>5.0</v>
      </c>
      <c r="J323" s="55">
        <v>1.0</v>
      </c>
      <c r="K323" s="172" t="s">
        <v>4553</v>
      </c>
      <c r="L323" s="55">
        <v>0.0</v>
      </c>
      <c r="M323" s="55">
        <v>0.0</v>
      </c>
      <c r="N323" s="173">
        <v>0.0</v>
      </c>
      <c r="O323" s="55">
        <v>0.0</v>
      </c>
      <c r="P323" s="55">
        <v>0.0</v>
      </c>
      <c r="Q323" s="55" t="s">
        <v>4554</v>
      </c>
      <c r="R323" s="55" t="s">
        <v>696</v>
      </c>
      <c r="S323" s="174"/>
      <c r="T323" s="55">
        <v>0.0</v>
      </c>
      <c r="U323" s="55">
        <v>0.0</v>
      </c>
      <c r="V323" s="55">
        <v>1.0</v>
      </c>
      <c r="W323" s="46"/>
      <c r="X323" s="46"/>
      <c r="Y323" s="46"/>
      <c r="Z323" s="31"/>
      <c r="AA323" s="31"/>
      <c r="AB323" s="31"/>
      <c r="AC323" s="31"/>
      <c r="AD323" s="31"/>
      <c r="AE323" s="31"/>
      <c r="AF323" s="31"/>
    </row>
    <row r="324">
      <c r="A324" s="231">
        <v>1.0</v>
      </c>
      <c r="B324" s="44" t="s">
        <v>4555</v>
      </c>
      <c r="C324" s="44">
        <v>320.0</v>
      </c>
      <c r="D324" s="44">
        <v>2.0</v>
      </c>
      <c r="E324" s="44" t="s">
        <v>548</v>
      </c>
      <c r="F324" s="162" t="str">
        <f>HYPERLINK("https://www.cnnindonesia.com/hiburan/20190412182311-220-385831/hbo-bantah-tarik-film-dokumenter-leaving-neverland ","sumber")</f>
        <v>sumber</v>
      </c>
      <c r="G324" s="44" t="s">
        <v>33</v>
      </c>
      <c r="H324" s="44">
        <v>329.0</v>
      </c>
      <c r="I324" s="44">
        <v>4.0</v>
      </c>
      <c r="J324" s="44">
        <v>1.0</v>
      </c>
      <c r="K324" s="164" t="s">
        <v>4556</v>
      </c>
      <c r="L324" s="44">
        <v>-1.0</v>
      </c>
      <c r="M324" s="44">
        <v>0.0</v>
      </c>
      <c r="N324" s="166">
        <v>0.0</v>
      </c>
      <c r="O324" s="44">
        <v>0.0</v>
      </c>
      <c r="P324" s="44">
        <v>0.0</v>
      </c>
      <c r="Q324" s="44">
        <v>0.0</v>
      </c>
      <c r="R324" s="44">
        <v>0.0</v>
      </c>
      <c r="S324" s="175"/>
      <c r="T324" s="44">
        <v>0.0</v>
      </c>
      <c r="U324" s="44">
        <v>0.0</v>
      </c>
      <c r="V324" s="44">
        <v>1.0</v>
      </c>
      <c r="W324" s="45"/>
      <c r="X324" s="45"/>
      <c r="Y324" s="45"/>
      <c r="Z324" s="9"/>
      <c r="AA324" s="9"/>
      <c r="AB324" s="9"/>
      <c r="AC324" s="9"/>
      <c r="AD324" s="9"/>
      <c r="AE324" s="9"/>
      <c r="AF324" s="9"/>
    </row>
    <row r="325">
      <c r="A325" s="231">
        <v>1.0</v>
      </c>
      <c r="B325" s="44" t="s">
        <v>4557</v>
      </c>
      <c r="C325" s="44">
        <v>321.0</v>
      </c>
      <c r="D325" s="44">
        <v>5.0</v>
      </c>
      <c r="E325" s="44" t="s">
        <v>548</v>
      </c>
      <c r="F325" s="162" t="str">
        <f>HYPERLINK("https://tirto.id/katie-bouman-lubang-hitam-dunia-sains-bukanlah-dunia-laki-laki-dlYJ ","sumber")</f>
        <v>sumber</v>
      </c>
      <c r="G325" s="44" t="s">
        <v>33</v>
      </c>
      <c r="H325" s="44">
        <v>1425.0</v>
      </c>
      <c r="I325" s="44">
        <v>2.0</v>
      </c>
      <c r="J325" s="44">
        <v>1.0</v>
      </c>
      <c r="K325" s="164" t="s">
        <v>4558</v>
      </c>
      <c r="L325" s="44">
        <v>0.0</v>
      </c>
      <c r="M325" s="44">
        <v>0.0</v>
      </c>
      <c r="N325" s="166">
        <v>0.0</v>
      </c>
      <c r="O325" s="44">
        <v>0.0</v>
      </c>
      <c r="P325" s="44">
        <v>0.0</v>
      </c>
      <c r="Q325" s="44" t="s">
        <v>61</v>
      </c>
      <c r="R325" s="44" t="s">
        <v>192</v>
      </c>
      <c r="S325" s="175"/>
      <c r="T325" s="44">
        <v>0.0</v>
      </c>
      <c r="U325" s="44">
        <v>0.0</v>
      </c>
      <c r="V325" s="44">
        <v>1.0</v>
      </c>
      <c r="W325" s="45"/>
      <c r="X325" s="45"/>
      <c r="Y325" s="45"/>
      <c r="Z325" s="9"/>
      <c r="AA325" s="9"/>
      <c r="AB325" s="9"/>
      <c r="AC325" s="9"/>
      <c r="AD325" s="9"/>
      <c r="AE325" s="9"/>
      <c r="AF325" s="9"/>
    </row>
    <row r="326">
      <c r="A326" s="231">
        <v>1.0</v>
      </c>
      <c r="B326" s="44" t="s">
        <v>4559</v>
      </c>
      <c r="C326" s="44">
        <v>322.0</v>
      </c>
      <c r="D326" s="44">
        <v>7.0</v>
      </c>
      <c r="E326" s="44" t="s">
        <v>548</v>
      </c>
      <c r="F326" s="162" t="str">
        <f>HYPERLINK("http://www.tribunnews.com/seleb/2019/04/14/terungkap-di-balik-keceriaan-dan-senyum-vanessa-angel-di-rutan-medaeng-bathinnya-tertekan ","sumber")</f>
        <v>sumber</v>
      </c>
      <c r="G326" s="44" t="s">
        <v>33</v>
      </c>
      <c r="H326" s="44">
        <v>223.0</v>
      </c>
      <c r="I326" s="44">
        <v>2.0</v>
      </c>
      <c r="J326" s="44">
        <v>1.0</v>
      </c>
      <c r="K326" s="164" t="s">
        <v>4560</v>
      </c>
      <c r="L326" s="44">
        <v>0.0</v>
      </c>
      <c r="M326" s="44">
        <v>0.0</v>
      </c>
      <c r="N326" s="166">
        <v>0.0</v>
      </c>
      <c r="O326" s="44">
        <v>0.0</v>
      </c>
      <c r="P326" s="44">
        <v>0.0</v>
      </c>
      <c r="Q326" s="44" t="s">
        <v>53</v>
      </c>
      <c r="R326" s="44" t="s">
        <v>1078</v>
      </c>
      <c r="S326" s="175"/>
      <c r="T326" s="44">
        <v>0.0</v>
      </c>
      <c r="U326" s="44">
        <v>0.0</v>
      </c>
      <c r="V326" s="44">
        <v>1.0</v>
      </c>
      <c r="W326" s="45"/>
      <c r="X326" s="45"/>
      <c r="Y326" s="45"/>
      <c r="Z326" s="9"/>
      <c r="AA326" s="9"/>
      <c r="AB326" s="9"/>
      <c r="AC326" s="9"/>
      <c r="AD326" s="9"/>
      <c r="AE326" s="9"/>
      <c r="AF326" s="9"/>
    </row>
    <row r="327">
      <c r="A327" s="231">
        <v>1.0</v>
      </c>
      <c r="B327" s="44" t="s">
        <v>4561</v>
      </c>
      <c r="C327" s="44">
        <v>323.0</v>
      </c>
      <c r="D327" s="44">
        <v>10.0</v>
      </c>
      <c r="E327" s="44" t="s">
        <v>189</v>
      </c>
      <c r="F327" s="162" t="str">
        <f>HYPERLINK("https://bisnis.tempo.co/read/1198088/antisipasi-kejahatan-driver-wanita-gojek-diajari-bela-diri ","sumber")</f>
        <v>sumber</v>
      </c>
      <c r="G327" s="44" t="s">
        <v>33</v>
      </c>
      <c r="H327" s="44">
        <v>244.0</v>
      </c>
      <c r="I327" s="44">
        <v>4.0</v>
      </c>
      <c r="J327" s="44">
        <v>1.0</v>
      </c>
      <c r="K327" s="164" t="s">
        <v>4562</v>
      </c>
      <c r="L327" s="44">
        <v>0.0</v>
      </c>
      <c r="M327" s="44">
        <v>0.0</v>
      </c>
      <c r="N327" s="166">
        <v>0.0</v>
      </c>
      <c r="O327" s="44">
        <v>0.0</v>
      </c>
      <c r="P327" s="44">
        <v>0.0</v>
      </c>
      <c r="Q327" s="44" t="s">
        <v>61</v>
      </c>
      <c r="R327" s="44" t="s">
        <v>192</v>
      </c>
      <c r="S327" s="175"/>
      <c r="T327" s="44">
        <v>0.0</v>
      </c>
      <c r="U327" s="44">
        <v>0.0</v>
      </c>
      <c r="V327" s="44">
        <v>1.0</v>
      </c>
      <c r="W327" s="45"/>
      <c r="X327" s="45"/>
      <c r="Y327" s="45"/>
      <c r="Z327" s="9"/>
      <c r="AA327" s="9"/>
      <c r="AB327" s="9"/>
      <c r="AC327" s="9"/>
      <c r="AD327" s="9"/>
      <c r="AE327" s="9"/>
      <c r="AF327" s="9"/>
    </row>
    <row r="328">
      <c r="A328" s="231">
        <v>1.0</v>
      </c>
      <c r="B328" s="44" t="s">
        <v>4563</v>
      </c>
      <c r="C328" s="44">
        <v>324.0</v>
      </c>
      <c r="D328" s="44">
        <v>8.0</v>
      </c>
      <c r="E328" s="44" t="s">
        <v>197</v>
      </c>
      <c r="F328" s="162" t="str">
        <f>HYPERLINK("https://www.suara.com/entertainment/2019/04/24/180036/usai-skandal-seksual-park-yoochun-terbukti-konsumsi-narkoba ","sumber")</f>
        <v>sumber</v>
      </c>
      <c r="G328" s="44" t="s">
        <v>33</v>
      </c>
      <c r="H328" s="44">
        <v>188.0</v>
      </c>
      <c r="I328" s="44">
        <v>1.0</v>
      </c>
      <c r="J328" s="44">
        <v>1.0</v>
      </c>
      <c r="K328" s="164"/>
      <c r="L328" s="44">
        <v>-1.0</v>
      </c>
      <c r="M328" s="44">
        <v>0.0</v>
      </c>
      <c r="N328" s="166">
        <v>0.0</v>
      </c>
      <c r="O328" s="44">
        <v>0.0</v>
      </c>
      <c r="P328" s="44">
        <v>0.0</v>
      </c>
      <c r="Q328" s="44"/>
      <c r="R328" s="44"/>
      <c r="S328" s="175"/>
      <c r="T328" s="44">
        <v>0.0</v>
      </c>
      <c r="U328" s="44">
        <v>0.0</v>
      </c>
      <c r="V328" s="44">
        <v>0.0</v>
      </c>
      <c r="W328" s="45"/>
      <c r="X328" s="45"/>
      <c r="Y328" s="45"/>
      <c r="Z328" s="9"/>
      <c r="AA328" s="9"/>
      <c r="AB328" s="9"/>
      <c r="AC328" s="9"/>
      <c r="AD328" s="9"/>
      <c r="AE328" s="9"/>
      <c r="AF328" s="9"/>
    </row>
    <row r="329">
      <c r="A329" s="252">
        <v>1.0</v>
      </c>
      <c r="B329" s="173" t="s">
        <v>4564</v>
      </c>
      <c r="C329" s="55">
        <v>325.0</v>
      </c>
      <c r="D329" s="55">
        <v>8.0</v>
      </c>
      <c r="E329" s="55" t="s">
        <v>553</v>
      </c>
      <c r="F329" s="171" t="str">
        <f>HYPERLINK("https://www.suara.com/health/2019/04/25/145800/budaya-victim-blaming-sederet-kasus-pelecehan-seksual-yang-salahkan-korban ","sumber")</f>
        <v>sumber</v>
      </c>
      <c r="G329" s="55" t="s">
        <v>33</v>
      </c>
      <c r="H329" s="55">
        <v>534.0</v>
      </c>
      <c r="I329" s="55">
        <v>5.0</v>
      </c>
      <c r="J329" s="55">
        <v>1.0</v>
      </c>
      <c r="K329" s="172" t="s">
        <v>4565</v>
      </c>
      <c r="L329" s="55">
        <v>0.0</v>
      </c>
      <c r="M329" s="55">
        <v>0.0</v>
      </c>
      <c r="N329" s="173">
        <v>0.0</v>
      </c>
      <c r="O329" s="55">
        <v>0.0</v>
      </c>
      <c r="P329" s="55">
        <v>0.0</v>
      </c>
      <c r="Q329" s="55" t="s">
        <v>4566</v>
      </c>
      <c r="R329" s="55" t="s">
        <v>4567</v>
      </c>
      <c r="S329" s="174"/>
      <c r="T329" s="55">
        <v>0.0</v>
      </c>
      <c r="U329" s="55">
        <v>0.0</v>
      </c>
      <c r="V329" s="55">
        <v>1.0</v>
      </c>
      <c r="W329" s="46"/>
      <c r="X329" s="46"/>
      <c r="Y329" s="46"/>
      <c r="Z329" s="31"/>
      <c r="AA329" s="31"/>
      <c r="AB329" s="31"/>
      <c r="AC329" s="31"/>
      <c r="AD329" s="31"/>
      <c r="AE329" s="31"/>
      <c r="AF329" s="31"/>
    </row>
    <row r="330">
      <c r="A330" s="231">
        <v>1.0</v>
      </c>
      <c r="B330" s="44" t="s">
        <v>4568</v>
      </c>
      <c r="C330" s="44">
        <v>326.0</v>
      </c>
      <c r="D330" s="44">
        <v>5.0</v>
      </c>
      <c r="E330" s="44" t="s">
        <v>2973</v>
      </c>
      <c r="F330" s="162" t="str">
        <f>HYPERLINK("https://tirto.id/keuskupan-new-york-rilis-120-nama-pastor-terkait-kekerasan-seksual-dndV ","sumber")</f>
        <v>sumber</v>
      </c>
      <c r="G330" s="44" t="s">
        <v>33</v>
      </c>
      <c r="H330" s="44">
        <v>447.0</v>
      </c>
      <c r="I330" s="44">
        <v>4.0</v>
      </c>
      <c r="J330" s="44">
        <v>1.0</v>
      </c>
      <c r="K330" s="164" t="s">
        <v>4569</v>
      </c>
      <c r="L330" s="44">
        <v>0.0</v>
      </c>
      <c r="M330" s="44">
        <v>0.0</v>
      </c>
      <c r="N330" s="166">
        <v>0.0</v>
      </c>
      <c r="O330" s="44">
        <v>0.0</v>
      </c>
      <c r="P330" s="44">
        <v>0.0</v>
      </c>
      <c r="Q330" s="44" t="s">
        <v>138</v>
      </c>
      <c r="R330" s="44" t="s">
        <v>392</v>
      </c>
      <c r="S330" s="175"/>
      <c r="T330" s="44">
        <v>0.0</v>
      </c>
      <c r="U330" s="44">
        <v>0.0</v>
      </c>
      <c r="V330" s="44">
        <v>1.0</v>
      </c>
      <c r="W330" s="45"/>
      <c r="X330" s="45"/>
      <c r="Y330" s="45"/>
      <c r="Z330" s="9"/>
      <c r="AA330" s="9"/>
      <c r="AB330" s="9"/>
      <c r="AC330" s="9"/>
      <c r="AD330" s="9"/>
      <c r="AE330" s="9"/>
      <c r="AF330" s="9"/>
    </row>
    <row r="331">
      <c r="A331" s="231">
        <v>1.0</v>
      </c>
      <c r="B331" s="44" t="s">
        <v>1677</v>
      </c>
      <c r="C331" s="44">
        <v>327.0</v>
      </c>
      <c r="D331" s="44">
        <v>1.0</v>
      </c>
      <c r="E331" s="44" t="s">
        <v>2053</v>
      </c>
      <c r="F331" s="162" t="str">
        <f>HYPERLINK("https://news.detik.com/berita/d-4528135/ruu-pks-tokoh-agama-yang-memperkosa-minimal-dipenjara-12-tahun ","sumber")</f>
        <v>sumber</v>
      </c>
      <c r="G331" s="44" t="s">
        <v>33</v>
      </c>
      <c r="H331" s="44">
        <v>441.0</v>
      </c>
      <c r="I331" s="44">
        <v>4.0</v>
      </c>
      <c r="J331" s="44">
        <v>1.0</v>
      </c>
      <c r="K331" s="164"/>
      <c r="L331" s="44">
        <v>-1.0</v>
      </c>
      <c r="M331" s="44">
        <v>0.0</v>
      </c>
      <c r="N331" s="166">
        <v>0.0</v>
      </c>
      <c r="O331" s="44">
        <v>0.0</v>
      </c>
      <c r="P331" s="44">
        <v>0.0</v>
      </c>
      <c r="Q331" s="44"/>
      <c r="R331" s="44"/>
      <c r="S331" s="175"/>
      <c r="T331" s="44">
        <v>0.0</v>
      </c>
      <c r="U331" s="44">
        <v>0.0</v>
      </c>
      <c r="V331" s="44">
        <v>1.0</v>
      </c>
      <c r="W331" s="45"/>
      <c r="X331" s="45"/>
      <c r="Y331" s="45"/>
      <c r="Z331" s="9"/>
      <c r="AA331" s="9"/>
      <c r="AB331" s="9"/>
      <c r="AC331" s="9"/>
      <c r="AD331" s="9"/>
      <c r="AE331" s="9"/>
      <c r="AF331" s="9"/>
    </row>
    <row r="332">
      <c r="A332" s="231">
        <v>1.0</v>
      </c>
      <c r="B332" s="44" t="s">
        <v>4570</v>
      </c>
      <c r="C332" s="44">
        <v>328.0</v>
      </c>
      <c r="D332" s="44">
        <v>7.0</v>
      </c>
      <c r="E332" s="44" t="s">
        <v>386</v>
      </c>
      <c r="F332" s="162" t="str">
        <f>HYPERLINK("http://www.tribunnews.com/regional/2019/04/29/psk-yang-diamankan-di-balikpapan-ternyata-masih-berusia-16-tahun-dan-berstatus-pelajar-sma ","sumber")</f>
        <v>sumber</v>
      </c>
      <c r="G332" s="44" t="s">
        <v>33</v>
      </c>
      <c r="H332" s="44">
        <v>198.0</v>
      </c>
      <c r="I332" s="44">
        <v>1.0</v>
      </c>
      <c r="J332" s="44">
        <v>1.0</v>
      </c>
      <c r="K332" s="164" t="s">
        <v>4571</v>
      </c>
      <c r="L332" s="44">
        <v>0.0</v>
      </c>
      <c r="M332" s="44">
        <v>-1.0</v>
      </c>
      <c r="N332" s="44">
        <v>-1.0</v>
      </c>
      <c r="O332" s="44">
        <v>0.0</v>
      </c>
      <c r="P332" s="44">
        <v>-1.0</v>
      </c>
      <c r="Q332" s="44">
        <v>0.0</v>
      </c>
      <c r="R332" s="44">
        <v>-1.0</v>
      </c>
      <c r="S332" s="175"/>
      <c r="T332" s="44">
        <v>0.0</v>
      </c>
      <c r="U332" s="44">
        <v>0.0</v>
      </c>
      <c r="V332" s="44">
        <v>0.0</v>
      </c>
      <c r="W332" s="45"/>
      <c r="X332" s="45"/>
      <c r="Y332" s="45"/>
      <c r="Z332" s="9"/>
      <c r="AA332" s="9"/>
      <c r="AB332" s="9"/>
      <c r="AC332" s="9"/>
      <c r="AD332" s="9"/>
      <c r="AE332" s="9"/>
      <c r="AF332" s="9"/>
    </row>
    <row r="333">
      <c r="A333" s="231">
        <v>1.0</v>
      </c>
      <c r="B333" s="44" t="s">
        <v>2586</v>
      </c>
      <c r="C333" s="44">
        <v>329.0</v>
      </c>
      <c r="D333" s="44">
        <v>8.0</v>
      </c>
      <c r="E333" s="268">
        <v>43529.0</v>
      </c>
      <c r="F333" s="162" t="str">
        <f>HYPERLINK("https://banten.suara.com/read/2019/05/03/181348/lewat-air-doa-bunga-ungkap-dosa-sang-guru-ngaji-cabul ","sumber")</f>
        <v>sumber</v>
      </c>
      <c r="G333" s="44" t="s">
        <v>33</v>
      </c>
      <c r="H333" s="44">
        <v>257.0</v>
      </c>
      <c r="I333" s="44">
        <v>1.0</v>
      </c>
      <c r="J333" s="44">
        <v>1.0</v>
      </c>
      <c r="K333" s="164" t="s">
        <v>4572</v>
      </c>
      <c r="L333" s="44">
        <v>0.0</v>
      </c>
      <c r="M333" s="44">
        <v>-1.0</v>
      </c>
      <c r="N333" s="166">
        <v>0.0</v>
      </c>
      <c r="O333" s="44">
        <v>0.0</v>
      </c>
      <c r="P333" s="44">
        <v>0.0</v>
      </c>
      <c r="Q333" s="44">
        <v>0.0</v>
      </c>
      <c r="R333" s="44">
        <v>1.0</v>
      </c>
      <c r="S333" s="175"/>
      <c r="T333" s="44">
        <v>0.0</v>
      </c>
      <c r="U333" s="44">
        <v>0.0</v>
      </c>
      <c r="V333" s="44">
        <v>1.0</v>
      </c>
      <c r="W333" s="45"/>
      <c r="X333" s="45"/>
      <c r="Y333" s="45"/>
      <c r="Z333" s="9"/>
      <c r="AA333" s="9"/>
      <c r="AB333" s="9"/>
      <c r="AC333" s="9"/>
      <c r="AD333" s="9"/>
      <c r="AE333" s="9"/>
      <c r="AF333" s="9"/>
    </row>
    <row r="334">
      <c r="A334" s="252">
        <v>1.0</v>
      </c>
      <c r="B334" s="173" t="s">
        <v>4573</v>
      </c>
      <c r="C334" s="55">
        <v>330.0</v>
      </c>
      <c r="D334" s="55">
        <v>4.0</v>
      </c>
      <c r="E334" s="344">
        <v>43774.0</v>
      </c>
      <c r="F334" s="171" t="str">
        <f>HYPERLINK("https://www.liputan6.com/bola/read/3963277/striker-persija-kapok-dua-kali-terlibat-kasus-dugaan-pelecehan ","sumber")</f>
        <v>sumber</v>
      </c>
      <c r="G334" s="55" t="s">
        <v>33</v>
      </c>
      <c r="H334" s="55">
        <v>308.0</v>
      </c>
      <c r="I334" s="55">
        <v>2.0</v>
      </c>
      <c r="J334" s="55">
        <v>1.0</v>
      </c>
      <c r="K334" s="172" t="s">
        <v>4574</v>
      </c>
      <c r="L334" s="55">
        <v>0.0</v>
      </c>
      <c r="M334" s="55">
        <v>0.0</v>
      </c>
      <c r="N334" s="173">
        <v>0.0</v>
      </c>
      <c r="O334" s="55">
        <v>0.0</v>
      </c>
      <c r="P334" s="55">
        <v>0.0</v>
      </c>
      <c r="Q334" s="55">
        <v>0.0</v>
      </c>
      <c r="R334" s="55">
        <v>1.0</v>
      </c>
      <c r="S334" s="174"/>
      <c r="T334" s="55">
        <v>0.0</v>
      </c>
      <c r="U334" s="55">
        <v>0.0</v>
      </c>
      <c r="V334" s="55">
        <v>1.0</v>
      </c>
      <c r="W334" s="46"/>
      <c r="X334" s="46"/>
      <c r="Y334" s="46"/>
      <c r="Z334" s="31"/>
      <c r="AA334" s="31"/>
      <c r="AB334" s="31"/>
      <c r="AC334" s="31"/>
      <c r="AD334" s="31"/>
      <c r="AE334" s="31"/>
      <c r="AF334" s="31"/>
    </row>
    <row r="335">
      <c r="A335" s="231">
        <v>1.0</v>
      </c>
      <c r="B335" s="44" t="s">
        <v>4575</v>
      </c>
      <c r="C335" s="44">
        <v>331.0</v>
      </c>
      <c r="D335" s="44">
        <v>4.0</v>
      </c>
      <c r="E335" s="268">
        <v>43621.0</v>
      </c>
      <c r="F335" s="162" t="str">
        <f>HYPERLINK("https://www.liputan6.com/global/read/3958091/brunei-tunda-penerapan-hukuman-rajam-sampai-mati-untuk-seks-gay ","sumber")</f>
        <v>sumber</v>
      </c>
      <c r="G335" s="44" t="s">
        <v>33</v>
      </c>
      <c r="H335" s="44">
        <v>442.0</v>
      </c>
      <c r="I335" s="44">
        <v>4.0</v>
      </c>
      <c r="J335" s="44">
        <v>2.0</v>
      </c>
      <c r="K335" s="164"/>
      <c r="L335" s="44">
        <v>-1.0</v>
      </c>
      <c r="M335" s="44">
        <v>0.0</v>
      </c>
      <c r="N335" s="166">
        <v>0.0</v>
      </c>
      <c r="O335" s="44">
        <v>0.0</v>
      </c>
      <c r="P335" s="44">
        <v>0.0</v>
      </c>
      <c r="Q335" s="44"/>
      <c r="R335" s="44"/>
      <c r="S335" s="175"/>
      <c r="T335" s="44">
        <v>0.0</v>
      </c>
      <c r="U335" s="44">
        <v>0.0</v>
      </c>
      <c r="V335" s="44">
        <v>1.0</v>
      </c>
      <c r="W335" s="45"/>
      <c r="X335" s="45"/>
      <c r="Y335" s="45"/>
      <c r="Z335" s="9"/>
      <c r="AA335" s="9"/>
      <c r="AB335" s="9"/>
      <c r="AC335" s="9"/>
      <c r="AD335" s="9"/>
      <c r="AE335" s="9"/>
      <c r="AF335" s="9"/>
    </row>
    <row r="336">
      <c r="A336" s="252">
        <v>1.0</v>
      </c>
      <c r="B336" s="173" t="s">
        <v>4576</v>
      </c>
      <c r="C336" s="55">
        <v>332.0</v>
      </c>
      <c r="D336" s="55">
        <v>9.0</v>
      </c>
      <c r="E336" s="55" t="s">
        <v>2062</v>
      </c>
      <c r="F336" s="171" t="str">
        <f>HYPERLINK("https://nasional.republika.co.id/berita/nasional/hukum/ps1ceu384/majikan-sirami-air-panas-art-ini-minta-perlindungan-ke-lpsk ","sumber")</f>
        <v>sumber</v>
      </c>
      <c r="G336" s="55" t="s">
        <v>33</v>
      </c>
      <c r="H336" s="55">
        <v>338.0</v>
      </c>
      <c r="I336" s="55">
        <v>1.0</v>
      </c>
      <c r="J336" s="55">
        <v>2.0</v>
      </c>
      <c r="K336" s="172" t="s">
        <v>4577</v>
      </c>
      <c r="L336" s="55">
        <v>0.0</v>
      </c>
      <c r="M336" s="55">
        <v>-1.0</v>
      </c>
      <c r="N336" s="173">
        <v>0.0</v>
      </c>
      <c r="O336" s="55">
        <v>0.0</v>
      </c>
      <c r="P336" s="55">
        <v>0.0</v>
      </c>
      <c r="Q336" s="55">
        <v>0.0</v>
      </c>
      <c r="R336" s="55">
        <v>1.0</v>
      </c>
      <c r="S336" s="174"/>
      <c r="T336" s="55">
        <v>0.0</v>
      </c>
      <c r="U336" s="55">
        <v>0.0</v>
      </c>
      <c r="V336" s="55">
        <v>0.0</v>
      </c>
      <c r="W336" s="46"/>
      <c r="X336" s="46"/>
      <c r="Y336" s="46"/>
      <c r="Z336" s="31"/>
      <c r="AA336" s="31"/>
      <c r="AB336" s="31"/>
      <c r="AC336" s="31"/>
      <c r="AD336" s="31"/>
      <c r="AE336" s="31"/>
      <c r="AF336" s="31"/>
    </row>
    <row r="337">
      <c r="A337" s="231">
        <v>1.0</v>
      </c>
      <c r="B337" s="44" t="s">
        <v>4578</v>
      </c>
      <c r="C337" s="44">
        <v>333.0</v>
      </c>
      <c r="D337" s="44">
        <v>6.0</v>
      </c>
      <c r="E337" s="44" t="s">
        <v>247</v>
      </c>
      <c r="F337" s="162" t="str">
        <f>HYPERLINK("https://megapolitan.kompas.com/read/2019/05/13/13001951/masturbasi-di-hadapan-anak-kos-depok-seorang-pria-ditangkap ","sumber")</f>
        <v>sumber</v>
      </c>
      <c r="G337" s="44" t="s">
        <v>33</v>
      </c>
      <c r="H337" s="44">
        <v>203.0</v>
      </c>
      <c r="I337" s="44">
        <v>1.0</v>
      </c>
      <c r="J337" s="44">
        <v>1.0</v>
      </c>
      <c r="K337" s="164" t="s">
        <v>4579</v>
      </c>
      <c r="L337" s="44">
        <v>0.0</v>
      </c>
      <c r="M337" s="44">
        <v>-1.0</v>
      </c>
      <c r="N337" s="166">
        <v>0.0</v>
      </c>
      <c r="O337" s="44">
        <v>0.0</v>
      </c>
      <c r="P337" s="44">
        <v>0.0</v>
      </c>
      <c r="Q337" s="44">
        <v>0.0</v>
      </c>
      <c r="R337" s="44">
        <v>1.0</v>
      </c>
      <c r="S337" s="175"/>
      <c r="T337" s="44">
        <v>0.0</v>
      </c>
      <c r="U337" s="44">
        <v>0.0</v>
      </c>
      <c r="V337" s="44">
        <v>0.0</v>
      </c>
      <c r="W337" s="45"/>
      <c r="X337" s="45"/>
      <c r="Y337" s="45"/>
      <c r="Z337" s="9"/>
      <c r="AA337" s="9"/>
      <c r="AB337" s="9"/>
      <c r="AC337" s="9"/>
      <c r="AD337" s="9"/>
      <c r="AE337" s="9"/>
      <c r="AF337" s="9"/>
    </row>
    <row r="338">
      <c r="A338" s="252">
        <v>1.0</v>
      </c>
      <c r="B338" s="173" t="s">
        <v>4580</v>
      </c>
      <c r="C338" s="55">
        <v>334.0</v>
      </c>
      <c r="D338" s="55">
        <v>4.0</v>
      </c>
      <c r="E338" s="55" t="s">
        <v>237</v>
      </c>
      <c r="F338" s="171" t="str">
        <f>HYPERLINK("https://www.liputan6.com/global/read/3971654/lembaga-ham-perempuan-korea-utara-dipaksa-jadi-budak-seks-di-china ","sumber")</f>
        <v>sumber</v>
      </c>
      <c r="G338" s="55" t="s">
        <v>33</v>
      </c>
      <c r="H338" s="55">
        <v>290.0</v>
      </c>
      <c r="I338" s="55">
        <v>5.0</v>
      </c>
      <c r="J338" s="55">
        <v>1.0</v>
      </c>
      <c r="K338" s="172" t="s">
        <v>4581</v>
      </c>
      <c r="L338" s="55">
        <v>-1.0</v>
      </c>
      <c r="M338" s="55">
        <v>0.0</v>
      </c>
      <c r="N338" s="173">
        <v>0.0</v>
      </c>
      <c r="O338" s="55">
        <v>0.0</v>
      </c>
      <c r="P338" s="55">
        <v>0.0</v>
      </c>
      <c r="Q338" s="55">
        <v>0.0</v>
      </c>
      <c r="R338" s="55">
        <v>1.0</v>
      </c>
      <c r="S338" s="174"/>
      <c r="T338" s="55">
        <v>0.0</v>
      </c>
      <c r="U338" s="55">
        <v>0.0</v>
      </c>
      <c r="V338" s="55">
        <v>1.0</v>
      </c>
      <c r="W338" s="46"/>
      <c r="X338" s="46"/>
      <c r="Y338" s="46"/>
      <c r="Z338" s="31"/>
      <c r="AA338" s="31"/>
      <c r="AB338" s="31"/>
      <c r="AC338" s="31"/>
      <c r="AD338" s="31"/>
      <c r="AE338" s="31"/>
      <c r="AF338" s="31"/>
    </row>
    <row r="339">
      <c r="A339" s="252">
        <v>1.0</v>
      </c>
      <c r="B339" s="173" t="s">
        <v>4582</v>
      </c>
      <c r="C339" s="55">
        <v>335.0</v>
      </c>
      <c r="D339" s="55">
        <v>3.0</v>
      </c>
      <c r="E339" s="55" t="s">
        <v>2065</v>
      </c>
      <c r="F339" s="171" t="str">
        <f>HYPERLINK("https://news.okezone.com/read/2019/05/28/338/2061474/selain-disiram-air-keras-dan-disiksa-caca-juga-dijadikan-pembantu-ibu-angkatnya ","sumber")</f>
        <v>sumber</v>
      </c>
      <c r="G339" s="55" t="s">
        <v>33</v>
      </c>
      <c r="H339" s="55">
        <v>361.0</v>
      </c>
      <c r="I339" s="55">
        <v>1.0</v>
      </c>
      <c r="J339" s="55">
        <v>1.0</v>
      </c>
      <c r="K339" s="172" t="s">
        <v>4583</v>
      </c>
      <c r="L339" s="55">
        <v>0.0</v>
      </c>
      <c r="M339" s="55">
        <v>-1.0</v>
      </c>
      <c r="N339" s="55">
        <v>-1.0</v>
      </c>
      <c r="O339" s="55">
        <v>0.0</v>
      </c>
      <c r="P339" s="55">
        <v>0.0</v>
      </c>
      <c r="Q339" s="55">
        <v>0.0</v>
      </c>
      <c r="R339" s="55">
        <v>0.0</v>
      </c>
      <c r="S339" s="174"/>
      <c r="T339" s="55">
        <v>0.0</v>
      </c>
      <c r="U339" s="55">
        <v>0.0</v>
      </c>
      <c r="V339" s="55">
        <v>0.0</v>
      </c>
      <c r="W339" s="46"/>
      <c r="X339" s="46"/>
      <c r="Y339" s="46"/>
      <c r="Z339" s="31"/>
      <c r="AA339" s="31"/>
      <c r="AB339" s="31"/>
      <c r="AC339" s="31"/>
      <c r="AD339" s="31"/>
      <c r="AE339" s="31"/>
      <c r="AF339" s="31"/>
    </row>
    <row r="340">
      <c r="A340" s="231">
        <v>1.0</v>
      </c>
      <c r="B340" s="44" t="s">
        <v>4584</v>
      </c>
      <c r="C340" s="44">
        <v>336.0</v>
      </c>
      <c r="D340" s="44">
        <v>9.0</v>
      </c>
      <c r="E340" s="44" t="s">
        <v>2216</v>
      </c>
      <c r="F340" s="162" t="str">
        <f>HYPERLINK("https://senggang.republika.co.id/berita/senggang/blitz/ps9k7v414/ellen-degeneres-dorong-perempuan-ungkap-pelecehan-seksual ","sumber")</f>
        <v>sumber</v>
      </c>
      <c r="G340" s="44" t="s">
        <v>33</v>
      </c>
      <c r="H340" s="44">
        <v>372.0</v>
      </c>
      <c r="I340" s="44">
        <v>2.0</v>
      </c>
      <c r="J340" s="44">
        <v>1.0</v>
      </c>
      <c r="K340" s="164" t="s">
        <v>4585</v>
      </c>
      <c r="L340" s="44">
        <v>0.0</v>
      </c>
      <c r="M340" s="44">
        <v>0.0</v>
      </c>
      <c r="N340" s="166">
        <v>0.0</v>
      </c>
      <c r="O340" s="44">
        <v>0.0</v>
      </c>
      <c r="P340" s="44">
        <v>0.0</v>
      </c>
      <c r="Q340" s="44">
        <v>2.0</v>
      </c>
      <c r="R340" s="44">
        <v>1.0</v>
      </c>
      <c r="S340" s="175"/>
      <c r="T340" s="44">
        <v>0.0</v>
      </c>
      <c r="U340" s="44">
        <v>0.0</v>
      </c>
      <c r="V340" s="44">
        <v>1.0</v>
      </c>
      <c r="W340" s="45"/>
      <c r="X340" s="45"/>
      <c r="Y340" s="45"/>
      <c r="Z340" s="9"/>
      <c r="AA340" s="9"/>
      <c r="AB340" s="9"/>
      <c r="AC340" s="9"/>
      <c r="AD340" s="9"/>
      <c r="AE340" s="9"/>
      <c r="AF340" s="9"/>
    </row>
    <row r="341">
      <c r="A341" s="231">
        <v>1.0</v>
      </c>
      <c r="B341" s="44" t="s">
        <v>4586</v>
      </c>
      <c r="C341" s="44">
        <v>337.0</v>
      </c>
      <c r="D341" s="44">
        <v>2.0</v>
      </c>
      <c r="E341" s="44" t="s">
        <v>404</v>
      </c>
      <c r="F341" s="162" t="str">
        <f>HYPERLINK("https://www.cnnindonesia.com/internasional/20190529145808-113-399482/bakar-gadis-hingga-tewas-16-warga-bangladesh-diadili ","sumber")</f>
        <v>sumber</v>
      </c>
      <c r="G341" s="44" t="s">
        <v>33</v>
      </c>
      <c r="H341" s="44">
        <v>240.0</v>
      </c>
      <c r="I341" s="44">
        <v>1.0</v>
      </c>
      <c r="J341" s="44">
        <v>1.0</v>
      </c>
      <c r="K341" s="164" t="s">
        <v>4587</v>
      </c>
      <c r="L341" s="44">
        <v>0.0</v>
      </c>
      <c r="M341" s="44">
        <v>-1.0</v>
      </c>
      <c r="N341" s="166">
        <v>0.0</v>
      </c>
      <c r="O341" s="44">
        <v>0.0</v>
      </c>
      <c r="P341" s="44">
        <v>0.0</v>
      </c>
      <c r="Q341" s="44" t="s">
        <v>61</v>
      </c>
      <c r="R341" s="44" t="s">
        <v>685</v>
      </c>
      <c r="S341" s="175"/>
      <c r="T341" s="44">
        <v>0.0</v>
      </c>
      <c r="U341" s="44">
        <v>0.0</v>
      </c>
      <c r="V341" s="44">
        <v>1.0</v>
      </c>
      <c r="W341" s="45"/>
      <c r="X341" s="45"/>
      <c r="Y341" s="45"/>
      <c r="Z341" s="9"/>
      <c r="AA341" s="9"/>
      <c r="AB341" s="9"/>
      <c r="AC341" s="9"/>
      <c r="AD341" s="9"/>
      <c r="AE341" s="9"/>
      <c r="AF341" s="9"/>
    </row>
    <row r="342">
      <c r="A342" s="252">
        <v>1.0</v>
      </c>
      <c r="B342" s="173" t="s">
        <v>4588</v>
      </c>
      <c r="C342" s="55">
        <v>338.0</v>
      </c>
      <c r="D342" s="55">
        <v>7.0</v>
      </c>
      <c r="E342" s="55" t="s">
        <v>414</v>
      </c>
      <c r="F342" s="171" t="str">
        <f>HYPERLINK("http://www.tribunnews.com/regional/2019/06/18/pria-ini-cabuli-gadis-15-tahun-di-dapur-padahal-istrinya-sedang-tidur-dalam-rumah ","sumber")</f>
        <v>sumber</v>
      </c>
      <c r="G342" s="55" t="s">
        <v>33</v>
      </c>
      <c r="H342" s="55">
        <v>122.0</v>
      </c>
      <c r="I342" s="55">
        <v>1.0</v>
      </c>
      <c r="J342" s="55">
        <v>1.0</v>
      </c>
      <c r="K342" s="172" t="s">
        <v>4589</v>
      </c>
      <c r="L342" s="55">
        <v>0.0</v>
      </c>
      <c r="M342" s="55">
        <v>1.0</v>
      </c>
      <c r="N342" s="173">
        <v>0.0</v>
      </c>
      <c r="O342" s="55">
        <v>-1.0</v>
      </c>
      <c r="P342" s="55">
        <v>0.0</v>
      </c>
      <c r="Q342" s="55" t="s">
        <v>80</v>
      </c>
      <c r="R342" s="55" t="s">
        <v>242</v>
      </c>
      <c r="S342" s="172" t="s">
        <v>4590</v>
      </c>
      <c r="T342" s="55">
        <v>2.0</v>
      </c>
      <c r="U342" s="55">
        <v>0.0</v>
      </c>
      <c r="V342" s="55">
        <v>0.0</v>
      </c>
      <c r="W342" s="46"/>
      <c r="X342" s="46"/>
      <c r="Y342" s="46"/>
      <c r="Z342" s="31"/>
      <c r="AA342" s="31"/>
      <c r="AB342" s="31"/>
      <c r="AC342" s="31"/>
      <c r="AD342" s="31"/>
      <c r="AE342" s="31"/>
      <c r="AF342" s="31"/>
    </row>
    <row r="343">
      <c r="A343" s="231">
        <v>1.0</v>
      </c>
      <c r="B343" s="44" t="s">
        <v>4591</v>
      </c>
      <c r="C343" s="44">
        <v>339.0</v>
      </c>
      <c r="D343" s="44">
        <v>7.0</v>
      </c>
      <c r="E343" s="268">
        <v>43805.0</v>
      </c>
      <c r="F343" s="162" t="str">
        <f>HYPERLINK("http://www.tribunnews.com/seleb/2019/06/12/kasus-prostitusi-online-akan-difilmkan-ayah-vanessa-angel-saya-nggak-mau-ikut-campur ","sumber")</f>
        <v>sumber</v>
      </c>
      <c r="G343" s="44" t="s">
        <v>33</v>
      </c>
      <c r="H343" s="44">
        <v>192.0</v>
      </c>
      <c r="I343" s="44">
        <v>2.0</v>
      </c>
      <c r="J343" s="44">
        <v>1.0</v>
      </c>
      <c r="K343" s="164" t="s">
        <v>4592</v>
      </c>
      <c r="L343" s="44">
        <v>0.0</v>
      </c>
      <c r="M343" s="44">
        <v>0.0</v>
      </c>
      <c r="N343" s="166">
        <v>0.0</v>
      </c>
      <c r="O343" s="44">
        <v>0.0</v>
      </c>
      <c r="P343" s="44">
        <v>0.0</v>
      </c>
      <c r="Q343" s="44" t="s">
        <v>53</v>
      </c>
      <c r="R343" s="44" t="s">
        <v>1078</v>
      </c>
      <c r="S343" s="175"/>
      <c r="T343" s="44">
        <v>0.0</v>
      </c>
      <c r="U343" s="44">
        <v>0.0</v>
      </c>
      <c r="V343" s="44">
        <v>1.0</v>
      </c>
      <c r="W343" s="45"/>
      <c r="X343" s="45"/>
      <c r="Y343" s="45"/>
      <c r="Z343" s="9"/>
      <c r="AA343" s="9"/>
      <c r="AB343" s="9"/>
      <c r="AC343" s="9"/>
      <c r="AD343" s="9"/>
      <c r="AE343" s="9"/>
      <c r="AF343" s="9"/>
    </row>
    <row r="344">
      <c r="A344" s="231">
        <v>1.0</v>
      </c>
      <c r="B344" s="44" t="s">
        <v>4593</v>
      </c>
      <c r="C344" s="44">
        <v>340.0</v>
      </c>
      <c r="D344" s="44">
        <v>1.0</v>
      </c>
      <c r="E344" s="44" t="s">
        <v>2405</v>
      </c>
      <c r="F344" s="162" t="str">
        <f>HYPERLINK("https://news.detik.com/berita/d-4587787/anak-di-bawah-umur-diperkosa-kakak-ipar-di-kebun-sawit-riau ","sumber")</f>
        <v>sumber</v>
      </c>
      <c r="G344" s="44" t="s">
        <v>33</v>
      </c>
      <c r="H344" s="44">
        <v>236.0</v>
      </c>
      <c r="I344" s="44">
        <v>1.0</v>
      </c>
      <c r="J344" s="44">
        <v>1.0</v>
      </c>
      <c r="K344" s="164" t="s">
        <v>4594</v>
      </c>
      <c r="L344" s="44">
        <v>0.0</v>
      </c>
      <c r="M344" s="44">
        <v>-1.0</v>
      </c>
      <c r="N344" s="166">
        <v>0.0</v>
      </c>
      <c r="O344" s="44">
        <v>0.0</v>
      </c>
      <c r="P344" s="44">
        <v>0.0</v>
      </c>
      <c r="Q344" s="44">
        <v>0.0</v>
      </c>
      <c r="R344" s="44">
        <v>1.0</v>
      </c>
      <c r="S344" s="175"/>
      <c r="T344" s="44">
        <v>0.0</v>
      </c>
      <c r="U344" s="44">
        <v>0.0</v>
      </c>
      <c r="V344" s="44">
        <v>0.0</v>
      </c>
      <c r="W344" s="45"/>
      <c r="X344" s="45"/>
      <c r="Y344" s="45"/>
      <c r="Z344" s="9"/>
      <c r="AA344" s="9"/>
      <c r="AB344" s="9"/>
      <c r="AC344" s="9"/>
      <c r="AD344" s="9"/>
      <c r="AE344" s="9"/>
      <c r="AF344" s="9"/>
    </row>
    <row r="345">
      <c r="A345" s="231">
        <v>1.0</v>
      </c>
      <c r="B345" s="44" t="s">
        <v>4595</v>
      </c>
      <c r="C345" s="44">
        <v>341.0</v>
      </c>
      <c r="D345" s="44">
        <v>4.0</v>
      </c>
      <c r="E345" s="44" t="s">
        <v>2405</v>
      </c>
      <c r="F345" s="162" t="str">
        <f>HYPERLINK("https://www.liputan6.com/global/read/3990637/terjerat-kasus-korupsi-eks-presiden-sudan-akan-diadili-pekan-depan ","sumber")</f>
        <v>sumber</v>
      </c>
      <c r="G345" s="44" t="s">
        <v>33</v>
      </c>
      <c r="H345" s="44">
        <v>764.0</v>
      </c>
      <c r="I345" s="44">
        <v>1.0</v>
      </c>
      <c r="J345" s="44">
        <v>1.0</v>
      </c>
      <c r="K345" s="164" t="s">
        <v>4596</v>
      </c>
      <c r="L345" s="44">
        <v>0.0</v>
      </c>
      <c r="M345" s="44">
        <v>1.0</v>
      </c>
      <c r="N345" s="166">
        <v>0.0</v>
      </c>
      <c r="O345" s="44">
        <v>0.0</v>
      </c>
      <c r="P345" s="44">
        <v>0.0</v>
      </c>
      <c r="Q345" s="44" t="s">
        <v>61</v>
      </c>
      <c r="R345" s="44" t="s">
        <v>173</v>
      </c>
      <c r="S345" s="175"/>
      <c r="T345" s="44">
        <v>0.0</v>
      </c>
      <c r="U345" s="44">
        <v>0.0</v>
      </c>
      <c r="V345" s="44">
        <v>1.0</v>
      </c>
      <c r="W345" s="45"/>
      <c r="X345" s="45"/>
      <c r="Y345" s="45"/>
      <c r="Z345" s="9"/>
      <c r="AA345" s="9"/>
      <c r="AB345" s="9"/>
      <c r="AC345" s="9"/>
      <c r="AD345" s="9"/>
      <c r="AE345" s="9"/>
      <c r="AF345" s="9"/>
    </row>
    <row r="346">
      <c r="A346" s="254">
        <v>1.0</v>
      </c>
      <c r="B346" s="68" t="s">
        <v>4597</v>
      </c>
      <c r="C346" s="55">
        <v>342.0</v>
      </c>
      <c r="D346" s="55">
        <v>5.0</v>
      </c>
      <c r="E346" s="55" t="s">
        <v>2266</v>
      </c>
      <c r="F346" s="171" t="str">
        <f>HYPERLINK("https://tirto.id/ketika-lelucon-seksis-tak-lucu-lagi-ec4W ","sumber")</f>
        <v>sumber</v>
      </c>
      <c r="G346" s="55" t="s">
        <v>33</v>
      </c>
      <c r="H346" s="55">
        <v>637.0</v>
      </c>
      <c r="I346" s="55">
        <v>1.0</v>
      </c>
      <c r="J346" s="55">
        <v>1.0</v>
      </c>
      <c r="K346" s="172" t="s">
        <v>4598</v>
      </c>
      <c r="L346" s="55">
        <v>0.0</v>
      </c>
      <c r="M346" s="55">
        <v>-1.0</v>
      </c>
      <c r="N346" s="173">
        <v>0.0</v>
      </c>
      <c r="O346" s="55">
        <v>0.0</v>
      </c>
      <c r="P346" s="55">
        <v>0.0</v>
      </c>
      <c r="Q346" s="55">
        <v>0.0</v>
      </c>
      <c r="R346" s="55">
        <v>1.0</v>
      </c>
      <c r="S346" s="174"/>
      <c r="T346" s="55">
        <v>0.0</v>
      </c>
      <c r="U346" s="55">
        <v>0.0</v>
      </c>
      <c r="V346" s="55">
        <v>1.0</v>
      </c>
      <c r="W346" s="46"/>
      <c r="X346" s="46"/>
      <c r="Y346" s="46"/>
      <c r="Z346" s="31"/>
      <c r="AA346" s="31"/>
      <c r="AB346" s="31"/>
      <c r="AC346" s="31"/>
      <c r="AD346" s="31"/>
      <c r="AE346" s="31"/>
      <c r="AF346" s="31"/>
    </row>
    <row r="347">
      <c r="A347" s="231">
        <v>1.0</v>
      </c>
      <c r="B347" s="44" t="s">
        <v>1712</v>
      </c>
      <c r="C347" s="44">
        <v>343.0</v>
      </c>
      <c r="D347" s="44">
        <v>2.0</v>
      </c>
      <c r="E347" s="44" t="s">
        <v>831</v>
      </c>
      <c r="F347" s="162" t="str">
        <f>HYPERLINK("https://www.cnnindonesia.com/nasional/20190620200713-12-405110/minta-dibebaskan-vanessa-klaim-tak-sebar-konten-asusila ","sumber")</f>
        <v>sumber</v>
      </c>
      <c r="G347" s="44" t="s">
        <v>33</v>
      </c>
      <c r="H347" s="44">
        <v>432.0</v>
      </c>
      <c r="I347" s="44">
        <v>1.0</v>
      </c>
      <c r="J347" s="44">
        <v>1.0</v>
      </c>
      <c r="K347" s="164" t="s">
        <v>4599</v>
      </c>
      <c r="L347" s="44">
        <v>0.0</v>
      </c>
      <c r="M347" s="44">
        <v>1.0</v>
      </c>
      <c r="N347" s="166">
        <v>0.0</v>
      </c>
      <c r="O347" s="44">
        <v>0.0</v>
      </c>
      <c r="P347" s="44">
        <v>0.0</v>
      </c>
      <c r="Q347" s="44" t="s">
        <v>61</v>
      </c>
      <c r="R347" s="44" t="s">
        <v>780</v>
      </c>
      <c r="S347" s="175"/>
      <c r="T347" s="44">
        <v>0.0</v>
      </c>
      <c r="U347" s="44">
        <v>0.0</v>
      </c>
      <c r="V347" s="44">
        <v>0.0</v>
      </c>
      <c r="W347" s="45"/>
      <c r="X347" s="45"/>
      <c r="Y347" s="45"/>
      <c r="Z347" s="9"/>
      <c r="AA347" s="9"/>
      <c r="AB347" s="9"/>
      <c r="AC347" s="9"/>
      <c r="AD347" s="9"/>
      <c r="AE347" s="9"/>
      <c r="AF347" s="9"/>
    </row>
    <row r="348">
      <c r="A348" s="231">
        <v>1.0</v>
      </c>
      <c r="B348" s="44" t="s">
        <v>4600</v>
      </c>
      <c r="C348" s="44">
        <v>344.0</v>
      </c>
      <c r="D348" s="44">
        <v>7.0</v>
      </c>
      <c r="E348" s="44" t="s">
        <v>2237</v>
      </c>
      <c r="F348" s="162" t="str">
        <f>HYPERLINK("http://www.tribunnews.com/metropolitan/2019/06/23/jenazah-remaja-di-tangerang-teridentifikasi-polisi-pastikan-tak-ada-bekas-kekerasan-seksual ","sumber")</f>
        <v>sumber</v>
      </c>
      <c r="G348" s="44" t="s">
        <v>33</v>
      </c>
      <c r="H348" s="44">
        <v>223.0</v>
      </c>
      <c r="I348" s="44">
        <v>1.0</v>
      </c>
      <c r="J348" s="44">
        <v>1.0</v>
      </c>
      <c r="K348" s="164" t="s">
        <v>4601</v>
      </c>
      <c r="L348" s="44">
        <v>0.0</v>
      </c>
      <c r="M348" s="44">
        <v>-1.0</v>
      </c>
      <c r="N348" s="166">
        <v>0.0</v>
      </c>
      <c r="O348" s="44">
        <v>0.0</v>
      </c>
      <c r="P348" s="44">
        <v>0.0</v>
      </c>
      <c r="Q348" s="44">
        <v>0.0</v>
      </c>
      <c r="R348" s="44">
        <v>0.0</v>
      </c>
      <c r="S348" s="175"/>
      <c r="T348" s="44">
        <v>0.0</v>
      </c>
      <c r="U348" s="44">
        <v>0.0</v>
      </c>
      <c r="V348" s="44">
        <v>0.0</v>
      </c>
      <c r="W348" s="45"/>
      <c r="X348" s="45"/>
      <c r="Y348" s="45"/>
      <c r="Z348" s="9"/>
      <c r="AA348" s="9"/>
      <c r="AB348" s="9"/>
      <c r="AC348" s="9"/>
      <c r="AD348" s="9"/>
      <c r="AE348" s="9"/>
      <c r="AF348" s="9"/>
    </row>
    <row r="349">
      <c r="A349" s="231">
        <v>1.0</v>
      </c>
      <c r="B349" s="44" t="s">
        <v>4602</v>
      </c>
      <c r="C349" s="44">
        <v>345.0</v>
      </c>
      <c r="D349" s="44">
        <v>6.0</v>
      </c>
      <c r="E349" s="44" t="s">
        <v>2070</v>
      </c>
      <c r="F349" s="162" t="str">
        <f>HYPERLINK("https://entertainment.kompas.com/read/2019/06/24/105509810/polisi-periksa-psy-terkait-tuduhan-penyediaan-psk-oleh-bos-yg ","sumber")</f>
        <v>sumber</v>
      </c>
      <c r="G349" s="44" t="s">
        <v>33</v>
      </c>
      <c r="H349" s="44">
        <v>365.0</v>
      </c>
      <c r="I349" s="44">
        <v>1.0</v>
      </c>
      <c r="J349" s="44">
        <v>1.0</v>
      </c>
      <c r="K349" s="164" t="s">
        <v>4603</v>
      </c>
      <c r="L349" s="44">
        <v>0.0</v>
      </c>
      <c r="M349" s="44">
        <v>-1.0</v>
      </c>
      <c r="N349" s="166">
        <v>0.0</v>
      </c>
      <c r="O349" s="44">
        <v>0.0</v>
      </c>
      <c r="P349" s="44">
        <v>0.0</v>
      </c>
      <c r="Q349" s="44" t="s">
        <v>61</v>
      </c>
      <c r="R349" s="44" t="s">
        <v>61</v>
      </c>
      <c r="S349" s="175"/>
      <c r="T349" s="44">
        <v>0.0</v>
      </c>
      <c r="U349" s="44">
        <v>0.0</v>
      </c>
      <c r="V349" s="44">
        <v>0.0</v>
      </c>
      <c r="W349" s="45"/>
      <c r="X349" s="45"/>
      <c r="Y349" s="45"/>
      <c r="Z349" s="9"/>
      <c r="AA349" s="9"/>
      <c r="AB349" s="9"/>
      <c r="AC349" s="9"/>
      <c r="AD349" s="9"/>
      <c r="AE349" s="9"/>
      <c r="AF349" s="9"/>
    </row>
    <row r="350">
      <c r="A350" s="231">
        <v>1.0</v>
      </c>
      <c r="B350" s="44" t="s">
        <v>4604</v>
      </c>
      <c r="C350" s="44">
        <v>346.0</v>
      </c>
      <c r="D350" s="44">
        <v>4.0</v>
      </c>
      <c r="E350" s="44" t="s">
        <v>2070</v>
      </c>
      <c r="F350" s="162" t="str">
        <f>HYPERLINK("https://www.liputan6.com/global/read/3997195/kisah-dokter-myanmar-lisensi-dicabut-gara-gara-pamerkan-foto-syur ","sumber")</f>
        <v>sumber</v>
      </c>
      <c r="G350" s="44" t="s">
        <v>33</v>
      </c>
      <c r="H350" s="44">
        <v>640.0</v>
      </c>
      <c r="I350" s="44">
        <v>1.0</v>
      </c>
      <c r="J350" s="44">
        <v>1.0</v>
      </c>
      <c r="K350" s="164" t="s">
        <v>4605</v>
      </c>
      <c r="L350" s="44">
        <v>0.0</v>
      </c>
      <c r="M350" s="44">
        <v>-1.0</v>
      </c>
      <c r="N350" s="166">
        <v>0.0</v>
      </c>
      <c r="O350" s="44">
        <v>0.0</v>
      </c>
      <c r="P350" s="44">
        <v>0.0</v>
      </c>
      <c r="Q350" s="44" t="s">
        <v>210</v>
      </c>
      <c r="R350" s="44" t="s">
        <v>192</v>
      </c>
      <c r="S350" s="175"/>
      <c r="T350" s="44">
        <v>0.0</v>
      </c>
      <c r="U350" s="44">
        <v>0.0</v>
      </c>
      <c r="V350" s="44">
        <v>0.0</v>
      </c>
      <c r="W350" s="45"/>
      <c r="X350" s="45"/>
      <c r="Y350" s="45"/>
      <c r="Z350" s="9"/>
      <c r="AA350" s="9"/>
      <c r="AB350" s="9"/>
      <c r="AC350" s="9"/>
      <c r="AD350" s="9"/>
      <c r="AE350" s="9"/>
      <c r="AF350" s="9"/>
    </row>
    <row r="351">
      <c r="A351" s="254">
        <v>1.0</v>
      </c>
      <c r="B351" s="68" t="s">
        <v>4606</v>
      </c>
      <c r="C351" s="55">
        <v>347.0</v>
      </c>
      <c r="D351" s="55">
        <v>3.0</v>
      </c>
      <c r="E351" s="55" t="s">
        <v>420</v>
      </c>
      <c r="F351" s="171" t="str">
        <f>HYPERLINK("https://news.okezone.com/read/2019/06/17/519/2067490/vanessa-angel-dituntut-6-bulan-penjara-karena-prostitusi-online ","sumber")</f>
        <v>sumber</v>
      </c>
      <c r="G351" s="55" t="s">
        <v>33</v>
      </c>
      <c r="H351" s="55">
        <v>170.0</v>
      </c>
      <c r="I351" s="55">
        <v>1.0</v>
      </c>
      <c r="J351" s="55">
        <v>1.0</v>
      </c>
      <c r="K351" s="172" t="s">
        <v>4607</v>
      </c>
      <c r="L351" s="55">
        <v>0.0</v>
      </c>
      <c r="M351" s="55">
        <v>-1.0</v>
      </c>
      <c r="N351" s="173">
        <v>0.0</v>
      </c>
      <c r="O351" s="55">
        <v>0.0</v>
      </c>
      <c r="P351" s="55">
        <v>0.0</v>
      </c>
      <c r="Q351" s="55">
        <v>0.0</v>
      </c>
      <c r="R351" s="55">
        <v>0.0</v>
      </c>
      <c r="S351" s="174"/>
      <c r="T351" s="55">
        <v>0.0</v>
      </c>
      <c r="U351" s="55">
        <v>0.0</v>
      </c>
      <c r="V351" s="55">
        <v>0.0</v>
      </c>
      <c r="W351" s="46"/>
      <c r="X351" s="46"/>
      <c r="Y351" s="46"/>
      <c r="Z351" s="31"/>
      <c r="AA351" s="31"/>
      <c r="AB351" s="31"/>
      <c r="AC351" s="31"/>
      <c r="AD351" s="31"/>
      <c r="AE351" s="31"/>
      <c r="AF351" s="31"/>
    </row>
    <row r="352">
      <c r="A352" s="231">
        <v>1.0</v>
      </c>
      <c r="B352" s="44" t="s">
        <v>4608</v>
      </c>
      <c r="C352" s="44">
        <v>348.0</v>
      </c>
      <c r="D352" s="44">
        <v>2.0</v>
      </c>
      <c r="E352" s="44" t="s">
        <v>2266</v>
      </c>
      <c r="F352" s="162" t="str">
        <f>HYPERLINK("https://www.cnnindonesia.com/olahraga/20190625220945-156-406451/ratu-ratu-sirkuit-jalanan-tak-lagi-dihitung-sebelah-tangan ","sumber")</f>
        <v>sumber</v>
      </c>
      <c r="G352" s="44" t="s">
        <v>33</v>
      </c>
      <c r="H352" s="44">
        <v>759.0</v>
      </c>
      <c r="I352" s="44">
        <v>2.0</v>
      </c>
      <c r="J352" s="44">
        <v>1.0</v>
      </c>
      <c r="K352" s="164" t="s">
        <v>4609</v>
      </c>
      <c r="L352" s="44">
        <v>0.0</v>
      </c>
      <c r="M352" s="44">
        <v>0.0</v>
      </c>
      <c r="N352" s="166">
        <v>0.0</v>
      </c>
      <c r="O352" s="44">
        <v>0.0</v>
      </c>
      <c r="P352" s="44">
        <v>0.0</v>
      </c>
      <c r="Q352" s="44" t="s">
        <v>2026</v>
      </c>
      <c r="R352" s="44" t="s">
        <v>392</v>
      </c>
      <c r="S352" s="175"/>
      <c r="T352" s="44">
        <v>0.0</v>
      </c>
      <c r="U352" s="44">
        <v>0.0</v>
      </c>
      <c r="V352" s="44">
        <v>1.0</v>
      </c>
      <c r="W352" s="45"/>
      <c r="X352" s="45"/>
      <c r="Y352" s="45"/>
      <c r="Z352" s="9"/>
      <c r="AA352" s="9"/>
      <c r="AB352" s="9"/>
      <c r="AC352" s="9"/>
      <c r="AD352" s="9"/>
      <c r="AE352" s="9"/>
      <c r="AF352" s="9"/>
    </row>
    <row r="353">
      <c r="A353" s="231">
        <v>1.0</v>
      </c>
      <c r="B353" s="44" t="s">
        <v>4610</v>
      </c>
      <c r="C353" s="44">
        <v>349.0</v>
      </c>
      <c r="D353" s="44">
        <v>6.0</v>
      </c>
      <c r="E353" s="44" t="s">
        <v>2266</v>
      </c>
      <c r="F353" s="162" t="str">
        <f>HYPERLINK("https://regional.kompas.com/read/2019/06/26/20340561/kuasa-hukum-artis-va-vonis-hakim-belum-penuhi-rasa-keadilan ","sumber")</f>
        <v>sumber</v>
      </c>
      <c r="G353" s="44" t="s">
        <v>33</v>
      </c>
      <c r="H353" s="44">
        <v>259.0</v>
      </c>
      <c r="I353" s="44">
        <v>1.0</v>
      </c>
      <c r="J353" s="44">
        <v>1.0</v>
      </c>
      <c r="K353" s="164" t="s">
        <v>4611</v>
      </c>
      <c r="L353" s="44">
        <v>0.0</v>
      </c>
      <c r="M353" s="44">
        <v>-1.0</v>
      </c>
      <c r="N353" s="166">
        <v>0.0</v>
      </c>
      <c r="O353" s="44">
        <v>0.0</v>
      </c>
      <c r="P353" s="44">
        <v>0.0</v>
      </c>
      <c r="Q353" s="44">
        <v>0.0</v>
      </c>
      <c r="R353" s="44">
        <v>1.0</v>
      </c>
      <c r="S353" s="175"/>
      <c r="T353" s="44">
        <v>0.0</v>
      </c>
      <c r="U353" s="44">
        <v>0.0</v>
      </c>
      <c r="V353" s="44">
        <v>0.0</v>
      </c>
      <c r="W353" s="45"/>
      <c r="X353" s="45"/>
      <c r="Y353" s="45"/>
      <c r="Z353" s="9"/>
      <c r="AA353" s="9"/>
      <c r="AB353" s="9"/>
      <c r="AC353" s="9"/>
      <c r="AD353" s="9"/>
      <c r="AE353" s="9"/>
      <c r="AF353" s="9"/>
    </row>
    <row r="354">
      <c r="A354" s="231">
        <v>1.0</v>
      </c>
      <c r="B354" s="44" t="s">
        <v>3760</v>
      </c>
      <c r="C354" s="44">
        <v>350.0</v>
      </c>
      <c r="D354" s="44">
        <v>7.0</v>
      </c>
      <c r="E354" s="44" t="s">
        <v>841</v>
      </c>
      <c r="F354" s="162" t="str">
        <f>HYPERLINK("http://www.tribunnews.com/seleb/2019/06/29/curhatan-saipul-jamil-yang-nangis-tiap-lihat-tv-dalam-penjara-saya-pernah-di-situ-sekarang-di-sini ","sumber")</f>
        <v>sumber</v>
      </c>
      <c r="G354" s="44" t="s">
        <v>33</v>
      </c>
      <c r="H354" s="44">
        <v>132.0</v>
      </c>
      <c r="I354" s="44">
        <v>2.0</v>
      </c>
      <c r="J354" s="44">
        <v>1.0</v>
      </c>
      <c r="K354" s="164" t="s">
        <v>4612</v>
      </c>
      <c r="L354" s="44">
        <v>0.0</v>
      </c>
      <c r="M354" s="44">
        <v>0.0</v>
      </c>
      <c r="N354" s="166">
        <v>0.0</v>
      </c>
      <c r="O354" s="44">
        <v>0.0</v>
      </c>
      <c r="P354" s="44">
        <v>0.0</v>
      </c>
      <c r="Q354" s="44" t="s">
        <v>61</v>
      </c>
      <c r="R354" s="44" t="s">
        <v>61</v>
      </c>
      <c r="S354" s="175"/>
      <c r="T354" s="44">
        <v>0.0</v>
      </c>
      <c r="U354" s="44">
        <v>0.0</v>
      </c>
      <c r="V354" s="44">
        <v>0.0</v>
      </c>
      <c r="W354" s="45"/>
      <c r="X354" s="45"/>
      <c r="Y354" s="45"/>
      <c r="Z354" s="9"/>
      <c r="AA354" s="9"/>
      <c r="AB354" s="9"/>
      <c r="AC354" s="9"/>
      <c r="AD354" s="9"/>
      <c r="AE354" s="9"/>
      <c r="AF354" s="9"/>
    </row>
    <row r="355">
      <c r="A355" s="231">
        <v>1.0</v>
      </c>
      <c r="B355" s="44" t="s">
        <v>4613</v>
      </c>
      <c r="C355" s="44">
        <v>351.0</v>
      </c>
      <c r="D355" s="44">
        <v>10.0</v>
      </c>
      <c r="E355" s="268">
        <v>43562.0</v>
      </c>
      <c r="F355" s="162" t="str">
        <f>HYPERLINK("https://dunia.tempo.co/read/1221213/5-mahasiswa-di-india-merekam-perkosaan-dan-menyebarkan ","sumber")</f>
        <v>sumber</v>
      </c>
      <c r="G355" s="44" t="s">
        <v>33</v>
      </c>
      <c r="H355" s="44">
        <v>274.0</v>
      </c>
      <c r="I355" s="44">
        <v>1.0</v>
      </c>
      <c r="J355" s="44">
        <v>1.0</v>
      </c>
      <c r="K355" s="164"/>
      <c r="L355" s="44">
        <v>0.0</v>
      </c>
      <c r="M355" s="44">
        <v>-1.0</v>
      </c>
      <c r="N355" s="166">
        <v>0.0</v>
      </c>
      <c r="O355" s="44">
        <v>0.0</v>
      </c>
      <c r="P355" s="44">
        <v>0.0</v>
      </c>
      <c r="Q355" s="44"/>
      <c r="R355" s="44"/>
      <c r="S355" s="175"/>
      <c r="T355" s="44">
        <v>0.0</v>
      </c>
      <c r="U355" s="44">
        <v>0.0</v>
      </c>
      <c r="V355" s="44">
        <v>0.0</v>
      </c>
      <c r="W355" s="45"/>
      <c r="X355" s="45"/>
      <c r="Y355" s="45"/>
      <c r="Z355" s="9"/>
      <c r="AA355" s="9"/>
      <c r="AB355" s="9"/>
      <c r="AC355" s="9"/>
      <c r="AD355" s="9"/>
      <c r="AE355" s="9"/>
      <c r="AF355" s="9"/>
    </row>
    <row r="356">
      <c r="A356" s="231">
        <v>1.0</v>
      </c>
      <c r="B356" s="44" t="s">
        <v>4614</v>
      </c>
      <c r="C356" s="44">
        <v>352.0</v>
      </c>
      <c r="D356" s="44">
        <v>2.0</v>
      </c>
      <c r="E356" s="268">
        <v>43592.0</v>
      </c>
      <c r="F356" s="162" t="str">
        <f>HYPERLINK("https://www.cnnindonesia.com/nasional/20190705170123-12-409508/jokowi-persilakan-baiq-nuril-ajukan-amnesti-secepatnya ","sumber")</f>
        <v>sumber</v>
      </c>
      <c r="G356" s="44" t="s">
        <v>33</v>
      </c>
      <c r="H356" s="44">
        <v>492.0</v>
      </c>
      <c r="I356" s="44">
        <v>4.0</v>
      </c>
      <c r="J356" s="44">
        <v>1.0</v>
      </c>
      <c r="K356" s="164" t="s">
        <v>4615</v>
      </c>
      <c r="L356" s="44">
        <v>0.0</v>
      </c>
      <c r="M356" s="44">
        <v>0.0</v>
      </c>
      <c r="N356" s="166">
        <v>0.0</v>
      </c>
      <c r="O356" s="44">
        <v>0.0</v>
      </c>
      <c r="P356" s="44">
        <v>0.0</v>
      </c>
      <c r="Q356" s="44" t="s">
        <v>61</v>
      </c>
      <c r="R356" s="44" t="s">
        <v>780</v>
      </c>
      <c r="S356" s="175"/>
      <c r="T356" s="44">
        <v>0.0</v>
      </c>
      <c r="U356" s="44">
        <v>0.0</v>
      </c>
      <c r="V356" s="44">
        <v>1.0</v>
      </c>
      <c r="W356" s="45"/>
      <c r="X356" s="45"/>
      <c r="Y356" s="45"/>
      <c r="Z356" s="9"/>
      <c r="AA356" s="9"/>
      <c r="AB356" s="9"/>
      <c r="AC356" s="9"/>
      <c r="AD356" s="9"/>
      <c r="AE356" s="9"/>
      <c r="AF356" s="9"/>
    </row>
    <row r="357">
      <c r="A357" s="231">
        <v>1.0</v>
      </c>
      <c r="B357" s="44" t="s">
        <v>1736</v>
      </c>
      <c r="C357" s="44">
        <v>353.0</v>
      </c>
      <c r="D357" s="44">
        <v>3.0</v>
      </c>
      <c r="E357" s="268">
        <v>43653.0</v>
      </c>
      <c r="F357" s="162" t="str">
        <f>HYPERLINK("https://news.okezone.com/read/2019/07/07/337/2075612/putusan-ma-menolak-pk-dinilai-telah-menindas-keadilan-baiq-nuril ","sumber")</f>
        <v>sumber</v>
      </c>
      <c r="G357" s="44" t="s">
        <v>33</v>
      </c>
      <c r="H357" s="44">
        <v>308.0</v>
      </c>
      <c r="I357" s="44">
        <v>1.0</v>
      </c>
      <c r="J357" s="44">
        <v>1.0</v>
      </c>
      <c r="K357" s="164" t="s">
        <v>4616</v>
      </c>
      <c r="L357" s="44">
        <v>0.0</v>
      </c>
      <c r="M357" s="44">
        <v>0.0</v>
      </c>
      <c r="N357" s="166">
        <v>0.0</v>
      </c>
      <c r="O357" s="44">
        <v>0.0</v>
      </c>
      <c r="P357" s="44">
        <v>0.0</v>
      </c>
      <c r="Q357" s="44">
        <v>0.0</v>
      </c>
      <c r="R357" s="44">
        <v>1.0</v>
      </c>
      <c r="S357" s="175"/>
      <c r="T357" s="44">
        <v>0.0</v>
      </c>
      <c r="U357" s="44">
        <v>0.0</v>
      </c>
      <c r="V357" s="44">
        <v>1.0</v>
      </c>
      <c r="W357" s="45"/>
      <c r="X357" s="45"/>
      <c r="Y357" s="45"/>
      <c r="Z357" s="9"/>
      <c r="AA357" s="9"/>
      <c r="AB357" s="9"/>
      <c r="AC357" s="9"/>
      <c r="AD357" s="9"/>
      <c r="AE357" s="9"/>
      <c r="AF357" s="9"/>
    </row>
    <row r="358">
      <c r="A358" s="231">
        <v>1.0</v>
      </c>
      <c r="B358" s="44" t="s">
        <v>3772</v>
      </c>
      <c r="C358" s="44">
        <v>354.0</v>
      </c>
      <c r="D358" s="44">
        <v>7.0</v>
      </c>
      <c r="E358" s="268">
        <v>43684.0</v>
      </c>
      <c r="F358" s="162" t="str">
        <f>HYPERLINK("https://www.tribunnews.com/nasional/2019/07/08/berita-terkini-kasus-baiq-nuril-menkumham-sebut-jokowi-beri-perhatian-serius-segera-beri-amnesti ","sumber")</f>
        <v>sumber</v>
      </c>
      <c r="G358" s="44" t="s">
        <v>33</v>
      </c>
      <c r="H358" s="44">
        <v>240.0</v>
      </c>
      <c r="I358" s="44">
        <v>4.0</v>
      </c>
      <c r="J358" s="44">
        <v>1.0</v>
      </c>
      <c r="K358" s="164" t="s">
        <v>4616</v>
      </c>
      <c r="L358" s="44">
        <v>0.0</v>
      </c>
      <c r="M358" s="44">
        <v>0.0</v>
      </c>
      <c r="N358" s="166">
        <v>0.0</v>
      </c>
      <c r="O358" s="44">
        <v>0.0</v>
      </c>
      <c r="P358" s="44">
        <v>0.0</v>
      </c>
      <c r="Q358" s="44">
        <v>0.0</v>
      </c>
      <c r="R358" s="44">
        <v>1.0</v>
      </c>
      <c r="S358" s="175"/>
      <c r="T358" s="44">
        <v>0.0</v>
      </c>
      <c r="U358" s="44">
        <v>0.0</v>
      </c>
      <c r="V358" s="44">
        <v>1.0</v>
      </c>
      <c r="W358" s="45"/>
      <c r="X358" s="45"/>
      <c r="Y358" s="45"/>
      <c r="Z358" s="9"/>
      <c r="AA358" s="9"/>
      <c r="AB358" s="9"/>
      <c r="AC358" s="9"/>
      <c r="AD358" s="9"/>
      <c r="AE358" s="9"/>
      <c r="AF358" s="9"/>
    </row>
    <row r="359">
      <c r="A359" s="254">
        <v>1.0</v>
      </c>
      <c r="B359" s="68" t="s">
        <v>4617</v>
      </c>
      <c r="C359" s="55">
        <v>355.0</v>
      </c>
      <c r="D359" s="55">
        <v>7.0</v>
      </c>
      <c r="E359" s="55" t="s">
        <v>431</v>
      </c>
      <c r="F359" s="171" t="str">
        <f>HYPERLINK("https://www.tribunnews.com/superskor/2019/07/23/pernah-terjerat-kasus-pelecehan-seksual-eks-manchester-city-kembali-menebar-ancaman ","sumber")</f>
        <v>sumber</v>
      </c>
      <c r="G359" s="55" t="s">
        <v>33</v>
      </c>
      <c r="H359" s="55">
        <v>127.0</v>
      </c>
      <c r="I359" s="55">
        <v>1.0</v>
      </c>
      <c r="J359" s="55">
        <v>1.0</v>
      </c>
      <c r="K359" s="172"/>
      <c r="L359" s="55">
        <v>-1.0</v>
      </c>
      <c r="M359" s="188">
        <v>0.0</v>
      </c>
      <c r="N359" s="173">
        <v>0.0</v>
      </c>
      <c r="O359" s="55">
        <v>0.0</v>
      </c>
      <c r="P359" s="55">
        <v>0.0</v>
      </c>
      <c r="Q359" s="55"/>
      <c r="R359" s="55"/>
      <c r="S359" s="174"/>
      <c r="T359" s="55">
        <v>0.0</v>
      </c>
      <c r="U359" s="55">
        <v>0.0</v>
      </c>
      <c r="V359" s="55">
        <v>0.0</v>
      </c>
      <c r="W359" s="46"/>
      <c r="X359" s="46"/>
      <c r="Y359" s="46"/>
      <c r="Z359" s="31"/>
      <c r="AA359" s="31"/>
      <c r="AB359" s="31"/>
      <c r="AC359" s="31"/>
      <c r="AD359" s="31"/>
      <c r="AE359" s="31"/>
      <c r="AF359" s="31"/>
    </row>
    <row r="360">
      <c r="A360" s="231">
        <v>1.0</v>
      </c>
      <c r="B360" s="44" t="s">
        <v>4618</v>
      </c>
      <c r="C360" s="44">
        <v>356.0</v>
      </c>
      <c r="D360" s="44">
        <v>3.0</v>
      </c>
      <c r="E360" s="268">
        <v>43776.0</v>
      </c>
      <c r="F360" s="162" t="str">
        <f>HYPERLINK("https://celebrity.okezone.com/read/2019/07/10/33/2077293/tersandung-dugaan-kekerasan-seksual-kang-ji-hwan-batalkan-semua-kegiatan ","sumber")</f>
        <v>sumber</v>
      </c>
      <c r="G360" s="44" t="s">
        <v>33</v>
      </c>
      <c r="H360" s="44">
        <v>315.0</v>
      </c>
      <c r="I360" s="44">
        <v>1.0</v>
      </c>
      <c r="J360" s="44">
        <v>1.0</v>
      </c>
      <c r="K360" s="164" t="s">
        <v>4619</v>
      </c>
      <c r="L360" s="44">
        <v>-1.0</v>
      </c>
      <c r="M360" s="44">
        <v>-1.0</v>
      </c>
      <c r="N360" s="166">
        <v>0.0</v>
      </c>
      <c r="O360" s="44">
        <v>0.0</v>
      </c>
      <c r="P360" s="44">
        <v>0.0</v>
      </c>
      <c r="Q360" s="44">
        <v>0.0</v>
      </c>
      <c r="R360" s="44">
        <v>0.0</v>
      </c>
      <c r="S360" s="175"/>
      <c r="T360" s="44">
        <v>0.0</v>
      </c>
      <c r="U360" s="44">
        <v>0.0</v>
      </c>
      <c r="V360" s="44">
        <v>0.0</v>
      </c>
      <c r="W360" s="45"/>
      <c r="X360" s="45"/>
      <c r="Y360" s="45"/>
      <c r="Z360" s="9"/>
      <c r="AA360" s="9"/>
      <c r="AB360" s="9"/>
      <c r="AC360" s="9"/>
      <c r="AD360" s="9"/>
      <c r="AE360" s="9"/>
      <c r="AF360" s="9"/>
    </row>
    <row r="361">
      <c r="A361" s="231">
        <v>1.0</v>
      </c>
      <c r="B361" s="44" t="s">
        <v>4620</v>
      </c>
      <c r="C361" s="44">
        <v>357.0</v>
      </c>
      <c r="D361" s="44">
        <v>6.0</v>
      </c>
      <c r="E361" s="268">
        <v>43806.0</v>
      </c>
      <c r="F361" s="162" t="str">
        <f>HYPERLINK("https://nasional.kompas.com/read/2019/07/12/19462601/dari-kasus-ikan-asin-galih-ginanjar-komnas-perempuan-desak-pengesahan-ruu ","sumber")</f>
        <v>sumber</v>
      </c>
      <c r="G361" s="44" t="s">
        <v>33</v>
      </c>
      <c r="H361" s="44">
        <v>274.0</v>
      </c>
      <c r="I361" s="44">
        <v>4.0</v>
      </c>
      <c r="J361" s="44">
        <v>1.0</v>
      </c>
      <c r="K361" s="164" t="s">
        <v>4621</v>
      </c>
      <c r="L361" s="44">
        <v>0.0</v>
      </c>
      <c r="M361" s="44">
        <v>0.0</v>
      </c>
      <c r="N361" s="166">
        <v>0.0</v>
      </c>
      <c r="O361" s="44">
        <v>0.0</v>
      </c>
      <c r="P361" s="44">
        <v>0.0</v>
      </c>
      <c r="Q361" s="44">
        <v>1.0</v>
      </c>
      <c r="R361" s="44">
        <v>1.0</v>
      </c>
      <c r="S361" s="175"/>
      <c r="T361" s="44">
        <v>0.0</v>
      </c>
      <c r="U361" s="44">
        <v>0.0</v>
      </c>
      <c r="V361" s="44">
        <v>1.0</v>
      </c>
      <c r="W361" s="45"/>
      <c r="X361" s="45"/>
      <c r="Y361" s="45"/>
      <c r="Z361" s="9"/>
      <c r="AA361" s="9"/>
      <c r="AB361" s="9"/>
      <c r="AC361" s="9"/>
      <c r="AD361" s="9"/>
      <c r="AE361" s="9"/>
      <c r="AF361" s="9"/>
    </row>
    <row r="362">
      <c r="A362" s="231">
        <v>1.0</v>
      </c>
      <c r="B362" s="44" t="s">
        <v>4622</v>
      </c>
      <c r="C362" s="44">
        <v>358.0</v>
      </c>
      <c r="D362" s="44">
        <v>10.0</v>
      </c>
      <c r="E362" s="268">
        <v>43806.0</v>
      </c>
      <c r="F362" s="162" t="str">
        <f>HYPERLINK("https://nasional.tempo.co/read/1224000/amnesti-baiq-nuril-bamsoet-berharap-presiden-kirim-surat-ke-dpr ","sumber")</f>
        <v>sumber</v>
      </c>
      <c r="G362" s="44" t="s">
        <v>33</v>
      </c>
      <c r="H362" s="44">
        <v>368.0</v>
      </c>
      <c r="I362" s="44">
        <v>4.0</v>
      </c>
      <c r="J362" s="44">
        <v>1.0</v>
      </c>
      <c r="K362" s="164" t="s">
        <v>4623</v>
      </c>
      <c r="L362" s="44">
        <v>0.0</v>
      </c>
      <c r="M362" s="44">
        <v>0.0</v>
      </c>
      <c r="N362" s="166">
        <v>0.0</v>
      </c>
      <c r="O362" s="44">
        <v>0.0</v>
      </c>
      <c r="P362" s="44">
        <v>0.0</v>
      </c>
      <c r="Q362" s="44" t="s">
        <v>61</v>
      </c>
      <c r="R362" s="44" t="s">
        <v>192</v>
      </c>
      <c r="S362" s="175"/>
      <c r="T362" s="44">
        <v>0.0</v>
      </c>
      <c r="U362" s="44">
        <v>0.0</v>
      </c>
      <c r="V362" s="44">
        <v>1.0</v>
      </c>
      <c r="W362" s="45"/>
      <c r="X362" s="45"/>
      <c r="Y362" s="45"/>
      <c r="Z362" s="9"/>
      <c r="AA362" s="9"/>
      <c r="AB362" s="9"/>
      <c r="AC362" s="9"/>
      <c r="AD362" s="9"/>
      <c r="AE362" s="9"/>
      <c r="AF362" s="9"/>
    </row>
    <row r="363">
      <c r="A363" s="254">
        <v>1.0</v>
      </c>
      <c r="B363" s="68" t="s">
        <v>4624</v>
      </c>
      <c r="C363" s="55">
        <v>359.0</v>
      </c>
      <c r="D363" s="55">
        <v>8.0</v>
      </c>
      <c r="E363" s="344">
        <v>43654.0</v>
      </c>
      <c r="F363" s="171" t="str">
        <f>HYPERLINK("https://jatim.suara.com/read/2019/08/07/171724/pedih-istri-menangis-meronta-ronta-tiap-suami-perkosa-putri-semata-wayang ","sumber")</f>
        <v>sumber</v>
      </c>
      <c r="G363" s="55" t="s">
        <v>33</v>
      </c>
      <c r="H363" s="55">
        <v>289.0</v>
      </c>
      <c r="I363" s="55">
        <v>1.0</v>
      </c>
      <c r="J363" s="55">
        <v>1.0</v>
      </c>
      <c r="K363" s="172" t="s">
        <v>4625</v>
      </c>
      <c r="L363" s="55">
        <v>0.0</v>
      </c>
      <c r="M363" s="55">
        <v>-1.0</v>
      </c>
      <c r="N363" s="173">
        <v>0.0</v>
      </c>
      <c r="O363" s="55">
        <v>-1.0</v>
      </c>
      <c r="P363" s="55">
        <v>0.0</v>
      </c>
      <c r="Q363" s="55">
        <v>0.0</v>
      </c>
      <c r="R363" s="55">
        <v>1.0</v>
      </c>
      <c r="S363" s="172" t="s">
        <v>4626</v>
      </c>
      <c r="T363" s="55">
        <v>1.0</v>
      </c>
      <c r="U363" s="55">
        <v>-1.0</v>
      </c>
      <c r="V363" s="55">
        <v>0.0</v>
      </c>
      <c r="W363" s="46"/>
      <c r="X363" s="46"/>
      <c r="Y363" s="46"/>
      <c r="Z363" s="31"/>
      <c r="AA363" s="31"/>
      <c r="AB363" s="31"/>
      <c r="AC363" s="31"/>
      <c r="AD363" s="31"/>
      <c r="AE363" s="31"/>
      <c r="AF363" s="31"/>
    </row>
    <row r="364">
      <c r="A364" s="254">
        <v>1.0</v>
      </c>
      <c r="B364" s="68" t="s">
        <v>4627</v>
      </c>
      <c r="C364" s="55">
        <v>360.0</v>
      </c>
      <c r="D364" s="55">
        <v>3.0</v>
      </c>
      <c r="E364" s="55" t="s">
        <v>2082</v>
      </c>
      <c r="F364" s="171" t="str">
        <f>HYPERLINK("https://news.okezone.com/read/2019/07/26/337/2083781/disetujui-dpr-tkn-yakin-jokowi-segera-keluarkan-amnesti-untuk-baiq-nuril ","sumber")</f>
        <v>sumber</v>
      </c>
      <c r="G364" s="55" t="s">
        <v>33</v>
      </c>
      <c r="H364" s="55">
        <v>281.0</v>
      </c>
      <c r="I364" s="55">
        <v>4.0</v>
      </c>
      <c r="J364" s="55">
        <v>1.0</v>
      </c>
      <c r="K364" s="172" t="s">
        <v>4628</v>
      </c>
      <c r="L364" s="55">
        <v>0.0</v>
      </c>
      <c r="M364" s="55">
        <v>0.0</v>
      </c>
      <c r="N364" s="173">
        <v>0.0</v>
      </c>
      <c r="O364" s="55">
        <v>0.0</v>
      </c>
      <c r="P364" s="55">
        <v>0.0</v>
      </c>
      <c r="Q364" s="55">
        <v>0.0</v>
      </c>
      <c r="R364" s="55">
        <v>1.0</v>
      </c>
      <c r="S364" s="174"/>
      <c r="T364" s="55">
        <v>0.0</v>
      </c>
      <c r="U364" s="55">
        <v>0.0</v>
      </c>
      <c r="V364" s="55">
        <v>1.0</v>
      </c>
      <c r="W364" s="46"/>
      <c r="X364" s="46"/>
      <c r="Y364" s="46"/>
      <c r="Z364" s="31"/>
      <c r="AA364" s="31"/>
      <c r="AB364" s="31"/>
      <c r="AC364" s="31"/>
      <c r="AD364" s="31"/>
      <c r="AE364" s="31"/>
      <c r="AF364" s="31"/>
    </row>
    <row r="365">
      <c r="A365" s="254">
        <v>1.0</v>
      </c>
      <c r="B365" s="68" t="s">
        <v>4629</v>
      </c>
      <c r="C365" s="55">
        <v>361.0</v>
      </c>
      <c r="D365" s="55">
        <v>4.0</v>
      </c>
      <c r="E365" s="344">
        <v>43745.0</v>
      </c>
      <c r="F365" s="171" t="str">
        <f>HYPERLINK("https://www.liputan6.com/news/read/4009572/jk-yakin-rencana-amnesti-untuk-baiq-nuril-disetujui-dpr ","sumber")</f>
        <v>sumber</v>
      </c>
      <c r="G365" s="55" t="s">
        <v>33</v>
      </c>
      <c r="H365" s="55">
        <v>211.0</v>
      </c>
      <c r="I365" s="55">
        <v>4.0</v>
      </c>
      <c r="J365" s="55">
        <v>1.0</v>
      </c>
      <c r="K365" s="172" t="s">
        <v>4630</v>
      </c>
      <c r="L365" s="55">
        <v>0.0</v>
      </c>
      <c r="M365" s="55">
        <v>0.0</v>
      </c>
      <c r="N365" s="173">
        <v>0.0</v>
      </c>
      <c r="O365" s="55">
        <v>0.0</v>
      </c>
      <c r="P365" s="55">
        <v>0.0</v>
      </c>
      <c r="Q365" s="55">
        <v>0.0</v>
      </c>
      <c r="R365" s="55">
        <v>1.0</v>
      </c>
      <c r="S365" s="174"/>
      <c r="T365" s="55">
        <v>0.0</v>
      </c>
      <c r="U365" s="55">
        <v>0.0</v>
      </c>
      <c r="V365" s="55">
        <v>1.0</v>
      </c>
      <c r="W365" s="46"/>
      <c r="X365" s="46"/>
      <c r="Y365" s="46"/>
      <c r="Z365" s="31"/>
      <c r="AA365" s="31"/>
      <c r="AB365" s="31"/>
      <c r="AC365" s="31"/>
      <c r="AD365" s="31"/>
      <c r="AE365" s="31"/>
      <c r="AF365" s="31"/>
    </row>
    <row r="366">
      <c r="A366" s="231">
        <v>1.0</v>
      </c>
      <c r="B366" s="44" t="s">
        <v>2631</v>
      </c>
      <c r="C366" s="44">
        <v>362.0</v>
      </c>
      <c r="D366" s="44">
        <v>1.0</v>
      </c>
      <c r="E366" s="44" t="s">
        <v>871</v>
      </c>
      <c r="F366" s="162" t="str">
        <f>HYPERLINK("https://news.detik.com/berita-jawa-timur/d-4638442/kasus-pencabulan-guru-menyeruak-pemerhati-anak-sarankan-pencegahan ","sumber")</f>
        <v>sumber</v>
      </c>
      <c r="G366" s="44" t="s">
        <v>33</v>
      </c>
      <c r="H366" s="44">
        <v>333.0</v>
      </c>
      <c r="I366" s="44">
        <v>1.0</v>
      </c>
      <c r="J366" s="44">
        <v>1.0</v>
      </c>
      <c r="K366" s="164" t="s">
        <v>4631</v>
      </c>
      <c r="L366" s="44">
        <v>0.0</v>
      </c>
      <c r="M366" s="44">
        <v>-1.0</v>
      </c>
      <c r="N366" s="166">
        <v>0.0</v>
      </c>
      <c r="O366" s="44">
        <v>1.0</v>
      </c>
      <c r="P366" s="44">
        <v>0.0</v>
      </c>
      <c r="Q366" s="44">
        <v>0.0</v>
      </c>
      <c r="R366" s="44">
        <v>1.0</v>
      </c>
      <c r="S366" s="175"/>
      <c r="T366" s="44">
        <v>0.0</v>
      </c>
      <c r="U366" s="44">
        <v>0.0</v>
      </c>
      <c r="V366" s="44">
        <v>1.0</v>
      </c>
      <c r="W366" s="45"/>
      <c r="X366" s="45"/>
      <c r="Y366" s="45"/>
      <c r="Z366" s="9"/>
      <c r="AA366" s="9"/>
      <c r="AB366" s="9"/>
      <c r="AC366" s="9"/>
      <c r="AD366" s="9"/>
      <c r="AE366" s="9"/>
      <c r="AF366" s="9"/>
    </row>
    <row r="367">
      <c r="A367" s="231">
        <v>1.0</v>
      </c>
      <c r="B367" s="44" t="s">
        <v>4632</v>
      </c>
      <c r="C367" s="44">
        <v>363.0</v>
      </c>
      <c r="D367" s="44">
        <v>1.0</v>
      </c>
      <c r="E367" s="44" t="s">
        <v>2622</v>
      </c>
      <c r="F367" s="162" t="str">
        <f>HYPERLINK("https://news.detik.com/berita/d-4644215/cari-korban-via-hago-tersangka-child-grooming-pasang-foto-abg-ganteng ","sumber")</f>
        <v>sumber</v>
      </c>
      <c r="G367" s="44" t="s">
        <v>33</v>
      </c>
      <c r="H367" s="44">
        <v>298.0</v>
      </c>
      <c r="I367" s="44">
        <v>1.0</v>
      </c>
      <c r="J367" s="44">
        <v>1.0</v>
      </c>
      <c r="K367" s="164" t="s">
        <v>4633</v>
      </c>
      <c r="L367" s="44">
        <v>0.0</v>
      </c>
      <c r="M367" s="44">
        <v>-1.0</v>
      </c>
      <c r="N367" s="166">
        <v>0.0</v>
      </c>
      <c r="O367" s="44">
        <v>1.0</v>
      </c>
      <c r="P367" s="44">
        <v>0.0</v>
      </c>
      <c r="Q367" s="44">
        <v>0.0</v>
      </c>
      <c r="R367" s="44">
        <v>-1.0</v>
      </c>
      <c r="S367" s="175"/>
      <c r="T367" s="44">
        <v>0.0</v>
      </c>
      <c r="U367" s="44">
        <v>0.0</v>
      </c>
      <c r="V367" s="44">
        <v>0.0</v>
      </c>
      <c r="W367" s="45"/>
      <c r="X367" s="45"/>
      <c r="Y367" s="45"/>
      <c r="Z367" s="9"/>
      <c r="AA367" s="9"/>
      <c r="AB367" s="9"/>
      <c r="AC367" s="9"/>
      <c r="AD367" s="9"/>
      <c r="AE367" s="9"/>
      <c r="AF367" s="9"/>
    </row>
    <row r="368">
      <c r="A368" s="254">
        <v>1.0</v>
      </c>
      <c r="B368" s="68" t="s">
        <v>4634</v>
      </c>
      <c r="C368" s="55">
        <v>364.0</v>
      </c>
      <c r="D368" s="55">
        <v>8.0</v>
      </c>
      <c r="E368" s="344">
        <v>43807.0</v>
      </c>
      <c r="F368" s="171" t="str">
        <f>HYPERLINK("https://www.suara.com/lifestyle/2019/08/12/092838/sara-wijayanto-ternyata-pernah-jadi-korban-kekerasan-begini-kisah-sedihnya ","sumber")</f>
        <v>sumber</v>
      </c>
      <c r="G368" s="55" t="s">
        <v>33</v>
      </c>
      <c r="H368" s="55">
        <v>245.0</v>
      </c>
      <c r="I368" s="55">
        <v>2.0</v>
      </c>
      <c r="J368" s="55">
        <v>1.0</v>
      </c>
      <c r="K368" s="172" t="s">
        <v>4635</v>
      </c>
      <c r="L368" s="55">
        <v>0.0</v>
      </c>
      <c r="M368" s="55">
        <v>0.0</v>
      </c>
      <c r="N368" s="173">
        <v>0.0</v>
      </c>
      <c r="O368" s="55">
        <v>1.0</v>
      </c>
      <c r="P368" s="55">
        <v>0.0</v>
      </c>
      <c r="Q368" s="55">
        <v>2.0</v>
      </c>
      <c r="R368" s="55">
        <v>1.0</v>
      </c>
      <c r="S368" s="174"/>
      <c r="T368" s="55">
        <v>0.0</v>
      </c>
      <c r="U368" s="55">
        <v>0.0</v>
      </c>
      <c r="V368" s="55">
        <v>0.0</v>
      </c>
      <c r="W368" s="46"/>
      <c r="X368" s="46"/>
      <c r="Y368" s="46"/>
      <c r="Z368" s="31"/>
      <c r="AA368" s="31"/>
      <c r="AB368" s="31"/>
      <c r="AC368" s="31"/>
      <c r="AD368" s="31"/>
      <c r="AE368" s="31"/>
      <c r="AF368" s="31"/>
    </row>
    <row r="369">
      <c r="A369" s="231">
        <v>1.0</v>
      </c>
      <c r="B369" s="44" t="s">
        <v>4636</v>
      </c>
      <c r="C369" s="44">
        <v>365.0</v>
      </c>
      <c r="D369" s="44">
        <v>6.0</v>
      </c>
      <c r="E369" s="268">
        <v>43807.0</v>
      </c>
      <c r="F369" s="162" t="str">
        <f>HYPERLINK("https://megapolitan.kompas.com/read/2019/08/12/17100031/polisi-buru-pelaku-pelecehan-seksual-di-bintaro-mulai-dari-rumah-hingga ","sumber")</f>
        <v>sumber</v>
      </c>
      <c r="G369" s="44" t="s">
        <v>33</v>
      </c>
      <c r="H369" s="44">
        <v>222.0</v>
      </c>
      <c r="I369" s="44">
        <v>1.0</v>
      </c>
      <c r="J369" s="44">
        <v>1.0</v>
      </c>
      <c r="K369" s="164" t="s">
        <v>4637</v>
      </c>
      <c r="L369" s="44">
        <v>0.0</v>
      </c>
      <c r="M369" s="44">
        <v>-1.0</v>
      </c>
      <c r="N369" s="44">
        <v>-1.0</v>
      </c>
      <c r="O369" s="44">
        <v>1.0</v>
      </c>
      <c r="P369" s="44">
        <v>0.0</v>
      </c>
      <c r="Q369" s="44" t="s">
        <v>53</v>
      </c>
      <c r="R369" s="44" t="s">
        <v>1586</v>
      </c>
      <c r="S369" s="175"/>
      <c r="T369" s="44">
        <v>0.0</v>
      </c>
      <c r="U369" s="44">
        <v>0.0</v>
      </c>
      <c r="V369" s="44">
        <v>0.0</v>
      </c>
      <c r="W369" s="45"/>
      <c r="X369" s="45"/>
      <c r="Y369" s="45"/>
      <c r="Z369" s="9"/>
      <c r="AA369" s="9"/>
      <c r="AB369" s="9"/>
      <c r="AC369" s="9"/>
      <c r="AD369" s="9"/>
      <c r="AE369" s="9"/>
      <c r="AF369" s="9"/>
    </row>
    <row r="370">
      <c r="A370" s="43">
        <v>2.0</v>
      </c>
      <c r="B370" s="47" t="s">
        <v>1763</v>
      </c>
      <c r="C370" s="47">
        <v>366.0</v>
      </c>
      <c r="D370" s="47">
        <v>4.0</v>
      </c>
      <c r="E370" s="47" t="s">
        <v>2090</v>
      </c>
      <c r="F370" s="156" t="str">
        <f>HYPERLINK("https://www.liputan6.com/global/read/4036256/disidang-pelaku-serangan-teroris-masjid-di-norwegia-mengaku-tak-bersalah ","sumber")</f>
        <v>sumber</v>
      </c>
      <c r="G370" s="47" t="s">
        <v>33</v>
      </c>
      <c r="H370" s="47">
        <v>586.0</v>
      </c>
      <c r="I370" s="48"/>
      <c r="J370" s="48"/>
      <c r="K370" s="165"/>
      <c r="L370" s="48"/>
      <c r="M370" s="48"/>
      <c r="N370" s="48"/>
      <c r="O370" s="48"/>
      <c r="P370" s="48"/>
      <c r="Q370" s="48"/>
      <c r="R370" s="48"/>
      <c r="S370" s="165"/>
      <c r="T370" s="48"/>
      <c r="U370" s="48"/>
      <c r="V370" s="48"/>
      <c r="W370" s="48"/>
      <c r="X370" s="48"/>
      <c r="Y370" s="48"/>
      <c r="Z370" s="338"/>
      <c r="AA370" s="51"/>
      <c r="AB370" s="51"/>
      <c r="AC370" s="51"/>
      <c r="AD370" s="51"/>
      <c r="AE370" s="51"/>
      <c r="AF370" s="51"/>
    </row>
    <row r="371">
      <c r="A371" s="254">
        <v>1.0</v>
      </c>
      <c r="B371" s="68" t="s">
        <v>4638</v>
      </c>
      <c r="C371" s="55">
        <v>367.0</v>
      </c>
      <c r="D371" s="55">
        <v>2.0</v>
      </c>
      <c r="E371" s="55" t="s">
        <v>310</v>
      </c>
      <c r="F371" s="171" t="str">
        <f>HYPERLINK("https://www.cnnindonesia.com/nasional/20190826185125-20-424795/idi-jatim-soroti-ketiadaan-kompetensi-pelaksanaan-kebiri ","sumber")</f>
        <v>sumber</v>
      </c>
      <c r="G371" s="55" t="s">
        <v>33</v>
      </c>
      <c r="H371" s="55">
        <v>166.0</v>
      </c>
      <c r="I371" s="55">
        <v>4.0</v>
      </c>
      <c r="J371" s="55">
        <v>1.0</v>
      </c>
      <c r="K371" s="172" t="s">
        <v>4639</v>
      </c>
      <c r="L371" s="55">
        <v>0.0</v>
      </c>
      <c r="M371" s="55">
        <v>0.0</v>
      </c>
      <c r="N371" s="173">
        <v>0.0</v>
      </c>
      <c r="O371" s="55">
        <v>0.0</v>
      </c>
      <c r="P371" s="55">
        <v>0.0</v>
      </c>
      <c r="Q371" s="55" t="s">
        <v>53</v>
      </c>
      <c r="R371" s="55" t="s">
        <v>1450</v>
      </c>
      <c r="S371" s="174"/>
      <c r="T371" s="55">
        <v>0.0</v>
      </c>
      <c r="U371" s="55">
        <v>0.0</v>
      </c>
      <c r="V371" s="55">
        <v>1.0</v>
      </c>
      <c r="W371" s="46"/>
      <c r="X371" s="46"/>
      <c r="Y371" s="46"/>
      <c r="Z371" s="31"/>
      <c r="AA371" s="31"/>
      <c r="AB371" s="31"/>
      <c r="AC371" s="31"/>
      <c r="AD371" s="31"/>
      <c r="AE371" s="31"/>
      <c r="AF371" s="31"/>
    </row>
    <row r="372">
      <c r="A372" s="43">
        <v>2.0</v>
      </c>
      <c r="B372" s="47" t="s">
        <v>4640</v>
      </c>
      <c r="C372" s="47">
        <v>368.0</v>
      </c>
      <c r="D372" s="48"/>
      <c r="E372" s="47" t="s">
        <v>2472</v>
      </c>
      <c r="F372" s="156" t="str">
        <f>HYPERLINK("https://nasional.republika.co.id/berita/pwh8xt428/wiranto-ada-pernyataan-negatif-soal-pelecehan-bendera ","sumber")</f>
        <v>sumber</v>
      </c>
      <c r="G372" s="47" t="s">
        <v>33</v>
      </c>
      <c r="H372" s="47">
        <v>87.0</v>
      </c>
      <c r="I372" s="48"/>
      <c r="J372" s="48"/>
      <c r="K372" s="165"/>
      <c r="L372" s="48"/>
      <c r="M372" s="48"/>
      <c r="N372" s="48"/>
      <c r="O372" s="48"/>
      <c r="P372" s="48"/>
      <c r="Q372" s="48"/>
      <c r="R372" s="48"/>
      <c r="S372" s="165"/>
      <c r="T372" s="48"/>
      <c r="U372" s="48"/>
      <c r="V372" s="48"/>
      <c r="W372" s="48"/>
      <c r="X372" s="48"/>
      <c r="Y372" s="48"/>
      <c r="Z372" s="338"/>
      <c r="AA372" s="51"/>
      <c r="AB372" s="51"/>
      <c r="AC372" s="51"/>
      <c r="AD372" s="51"/>
      <c r="AE372" s="51"/>
      <c r="AF372" s="51"/>
    </row>
    <row r="373">
      <c r="A373" s="189">
        <v>1.0</v>
      </c>
      <c r="B373" s="190" t="s">
        <v>4641</v>
      </c>
      <c r="C373" s="55">
        <v>369.0</v>
      </c>
      <c r="D373" s="55">
        <v>8.0</v>
      </c>
      <c r="E373" s="55" t="s">
        <v>2479</v>
      </c>
      <c r="F373" s="171" t="str">
        <f>HYPERLINK("https://www.suara.com/health/2019/08/28/163000/pro-kontra-kebiri-kimia-pada-predator-anak-ini-dampak-jangka-panjangnya ","sumber")</f>
        <v>sumber</v>
      </c>
      <c r="G373" s="55" t="s">
        <v>33</v>
      </c>
      <c r="H373" s="55">
        <v>226.0</v>
      </c>
      <c r="I373" s="55">
        <v>4.0</v>
      </c>
      <c r="J373" s="55">
        <v>1.0</v>
      </c>
      <c r="K373" s="172" t="s">
        <v>4642</v>
      </c>
      <c r="L373" s="55">
        <v>0.0</v>
      </c>
      <c r="M373" s="55">
        <v>0.0</v>
      </c>
      <c r="N373" s="173">
        <v>0.0</v>
      </c>
      <c r="O373" s="55">
        <v>0.0</v>
      </c>
      <c r="P373" s="55">
        <v>0.0</v>
      </c>
      <c r="Q373" s="55">
        <v>0.0</v>
      </c>
      <c r="R373" s="55">
        <v>1.0</v>
      </c>
      <c r="S373" s="174"/>
      <c r="T373" s="55">
        <v>0.0</v>
      </c>
      <c r="U373" s="55">
        <v>0.0</v>
      </c>
      <c r="V373" s="55">
        <v>1.0</v>
      </c>
      <c r="W373" s="46"/>
      <c r="X373" s="46"/>
      <c r="Y373" s="46"/>
      <c r="Z373" s="31"/>
      <c r="AA373" s="31"/>
      <c r="AB373" s="31"/>
      <c r="AC373" s="31"/>
      <c r="AD373" s="31"/>
      <c r="AE373" s="31"/>
      <c r="AF373" s="31"/>
    </row>
    <row r="374">
      <c r="A374" s="254">
        <v>1.0</v>
      </c>
      <c r="B374" s="68" t="s">
        <v>4643</v>
      </c>
      <c r="C374" s="55">
        <v>370.0</v>
      </c>
      <c r="D374" s="55">
        <v>4.0</v>
      </c>
      <c r="E374" s="55" t="s">
        <v>306</v>
      </c>
      <c r="F374" s="171" t="str">
        <f>HYPERLINK("https://www.liputan6.com/news/read/4046460/kejaksaan-mencari-eksekutor-kebiri-kimia-terhadap-pemerkosa-12-bocah-di-mojokerto ","sumber")</f>
        <v>sumber</v>
      </c>
      <c r="G374" s="55" t="s">
        <v>33</v>
      </c>
      <c r="H374" s="173">
        <v>871.0</v>
      </c>
      <c r="I374" s="55">
        <v>1.0</v>
      </c>
      <c r="J374" s="55">
        <v>1.0</v>
      </c>
      <c r="K374" s="172" t="s">
        <v>4644</v>
      </c>
      <c r="L374" s="55">
        <v>0.0</v>
      </c>
      <c r="M374" s="55">
        <v>-1.0</v>
      </c>
      <c r="N374" s="55">
        <v>0.0</v>
      </c>
      <c r="O374" s="55">
        <v>0.0</v>
      </c>
      <c r="P374" s="55">
        <v>0.0</v>
      </c>
      <c r="Q374" s="172" t="s">
        <v>887</v>
      </c>
      <c r="R374" s="172" t="s">
        <v>4645</v>
      </c>
      <c r="S374" s="174"/>
      <c r="T374" s="55">
        <v>0.0</v>
      </c>
      <c r="U374" s="55">
        <v>0.0</v>
      </c>
      <c r="V374" s="55">
        <v>1.0</v>
      </c>
      <c r="W374" s="46"/>
      <c r="X374" s="46"/>
      <c r="Y374" s="46"/>
      <c r="Z374" s="31"/>
      <c r="AA374" s="31"/>
      <c r="AB374" s="31"/>
      <c r="AC374" s="31"/>
      <c r="AD374" s="31"/>
      <c r="AE374" s="31"/>
      <c r="AF374" s="31"/>
    </row>
    <row r="375">
      <c r="A375" s="43">
        <v>2.0</v>
      </c>
      <c r="B375" s="47" t="s">
        <v>4646</v>
      </c>
      <c r="C375" s="47">
        <v>371.0</v>
      </c>
      <c r="D375" s="48"/>
      <c r="E375" s="47" t="s">
        <v>306</v>
      </c>
      <c r="F375" s="156" t="str">
        <f>HYPERLINK("https://nasional.republika.co.id/berita/pwqil818000/pelantikan-wakil-rakyat-kbb-akan-dilakukan-di-hotel-bintang-5 ","sumber")</f>
        <v>sumber</v>
      </c>
      <c r="G375" s="47" t="s">
        <v>33</v>
      </c>
      <c r="H375" s="47">
        <v>267.0</v>
      </c>
      <c r="I375" s="48"/>
      <c r="J375" s="48"/>
      <c r="K375" s="165"/>
      <c r="L375" s="48"/>
      <c r="M375" s="48"/>
      <c r="N375" s="48"/>
      <c r="O375" s="48"/>
      <c r="P375" s="48"/>
      <c r="Q375" s="48"/>
      <c r="R375" s="48"/>
      <c r="S375" s="165"/>
      <c r="T375" s="48"/>
      <c r="U375" s="48"/>
      <c r="V375" s="48"/>
      <c r="W375" s="48"/>
      <c r="X375" s="48"/>
      <c r="Y375" s="48"/>
      <c r="Z375" s="338"/>
      <c r="AA375" s="51"/>
      <c r="AB375" s="51"/>
      <c r="AC375" s="51"/>
      <c r="AD375" s="51"/>
      <c r="AE375" s="51"/>
      <c r="AF375" s="51"/>
    </row>
    <row r="376">
      <c r="A376" s="231">
        <v>1.0</v>
      </c>
      <c r="B376" s="44" t="s">
        <v>4647</v>
      </c>
      <c r="C376" s="44">
        <v>372.0</v>
      </c>
      <c r="D376" s="44">
        <v>10.0</v>
      </c>
      <c r="E376" s="44" t="s">
        <v>306</v>
      </c>
      <c r="F376" s="162" t="str">
        <f>HYPERLINK("https://dunia.tempo.co/read/1239938/laki-laki-yang-bantu-tki-korban-perkosaan-diberi-uang-suap ","sumber")</f>
        <v>sumber</v>
      </c>
      <c r="G376" s="44" t="s">
        <v>33</v>
      </c>
      <c r="H376" s="44">
        <v>219.0</v>
      </c>
      <c r="I376" s="44">
        <v>1.0</v>
      </c>
      <c r="J376" s="44">
        <v>1.0</v>
      </c>
      <c r="K376" s="164" t="s">
        <v>4648</v>
      </c>
      <c r="L376" s="44">
        <v>0.0</v>
      </c>
      <c r="M376" s="44">
        <v>-1.0</v>
      </c>
      <c r="N376" s="166">
        <v>0.0</v>
      </c>
      <c r="O376" s="44">
        <v>0.0</v>
      </c>
      <c r="P376" s="44">
        <v>0.0</v>
      </c>
      <c r="Q376" s="44">
        <v>0.0</v>
      </c>
      <c r="R376" s="44">
        <v>1.0</v>
      </c>
      <c r="S376" s="175"/>
      <c r="T376" s="44">
        <v>0.0</v>
      </c>
      <c r="U376" s="44">
        <v>0.0</v>
      </c>
      <c r="V376" s="44">
        <v>0.0</v>
      </c>
      <c r="W376" s="45"/>
      <c r="X376" s="45"/>
      <c r="Y376" s="45"/>
      <c r="Z376" s="9"/>
      <c r="AA376" s="9"/>
      <c r="AB376" s="9"/>
      <c r="AC376" s="9"/>
      <c r="AD376" s="9"/>
      <c r="AE376" s="9"/>
      <c r="AF376" s="9"/>
    </row>
    <row r="377">
      <c r="A377" s="231">
        <v>1.0</v>
      </c>
      <c r="B377" s="44" t="s">
        <v>4649</v>
      </c>
      <c r="C377" s="44">
        <v>373.0</v>
      </c>
      <c r="D377" s="44">
        <v>5.0</v>
      </c>
      <c r="E377" s="44" t="s">
        <v>310</v>
      </c>
      <c r="F377" s="162" t="str">
        <f>HYPERLINK("https://tirto.id/dpr-dukung-hukum-kebiri-kimia-agar-anak-tak-jadi-korban-seksual-eg3U ","sumber")</f>
        <v>sumber</v>
      </c>
      <c r="G377" s="44" t="s">
        <v>33</v>
      </c>
      <c r="H377" s="44">
        <v>471.0</v>
      </c>
      <c r="I377" s="44">
        <v>4.0</v>
      </c>
      <c r="J377" s="44">
        <v>1.0</v>
      </c>
      <c r="K377" s="164" t="s">
        <v>4650</v>
      </c>
      <c r="L377" s="44">
        <v>0.0</v>
      </c>
      <c r="M377" s="44">
        <v>0.0</v>
      </c>
      <c r="N377" s="166">
        <v>0.0</v>
      </c>
      <c r="O377" s="44">
        <v>0.0</v>
      </c>
      <c r="P377" s="44">
        <v>0.0</v>
      </c>
      <c r="Q377" s="44" t="s">
        <v>61</v>
      </c>
      <c r="R377" s="44" t="s">
        <v>192</v>
      </c>
      <c r="S377" s="175"/>
      <c r="T377" s="44">
        <v>0.0</v>
      </c>
      <c r="U377" s="44">
        <v>0.0</v>
      </c>
      <c r="V377" s="44">
        <v>1.0</v>
      </c>
      <c r="W377" s="45"/>
      <c r="X377" s="45"/>
      <c r="Y377" s="45"/>
      <c r="Z377" s="9"/>
      <c r="AA377" s="9"/>
      <c r="AB377" s="9"/>
      <c r="AC377" s="9"/>
      <c r="AD377" s="9"/>
      <c r="AE377" s="9"/>
      <c r="AF377" s="9"/>
    </row>
    <row r="378">
      <c r="A378" s="254">
        <v>1.0</v>
      </c>
      <c r="B378" s="68" t="s">
        <v>4651</v>
      </c>
      <c r="C378" s="55">
        <v>374.0</v>
      </c>
      <c r="D378" s="55">
        <v>6.0</v>
      </c>
      <c r="E378" s="55" t="s">
        <v>303</v>
      </c>
      <c r="F378" s="171" t="str">
        <f>HYPERLINK("https://regional.kompas.com/read/2019/08/14/07493511/grab-tawarkan-layanan-psikososial-ke-korban-pelecehan-driver-ojol-di ","sumber")</f>
        <v>sumber</v>
      </c>
      <c r="G378" s="55" t="s">
        <v>33</v>
      </c>
      <c r="H378" s="55">
        <v>251.0</v>
      </c>
      <c r="I378" s="55">
        <v>4.0</v>
      </c>
      <c r="J378" s="55">
        <v>1.0</v>
      </c>
      <c r="K378" s="172" t="s">
        <v>4652</v>
      </c>
      <c r="L378" s="55">
        <v>0.0</v>
      </c>
      <c r="M378" s="55">
        <v>0.0</v>
      </c>
      <c r="N378" s="173">
        <v>0.0</v>
      </c>
      <c r="O378" s="55">
        <v>0.0</v>
      </c>
      <c r="P378" s="55">
        <v>0.0</v>
      </c>
      <c r="Q378" s="55">
        <v>0.0</v>
      </c>
      <c r="R378" s="55">
        <v>1.0</v>
      </c>
      <c r="S378" s="174"/>
      <c r="T378" s="55">
        <v>0.0</v>
      </c>
      <c r="U378" s="55">
        <v>0.0</v>
      </c>
      <c r="V378" s="55">
        <v>1.0</v>
      </c>
      <c r="W378" s="46"/>
      <c r="X378" s="46"/>
      <c r="Y378" s="46"/>
      <c r="Z378" s="31"/>
      <c r="AA378" s="31"/>
      <c r="AB378" s="31"/>
      <c r="AC378" s="31"/>
      <c r="AD378" s="31"/>
      <c r="AE378" s="31"/>
      <c r="AF378" s="31"/>
    </row>
    <row r="379">
      <c r="A379" s="231">
        <v>1.0</v>
      </c>
      <c r="B379" s="44" t="s">
        <v>4653</v>
      </c>
      <c r="C379" s="44">
        <v>375.0</v>
      </c>
      <c r="D379" s="44">
        <v>7.0</v>
      </c>
      <c r="E379" s="44" t="s">
        <v>2479</v>
      </c>
      <c r="F379" s="162" t="str">
        <f>HYPERLINK("https://www.tribunnews.com/regional/2019/08/28/karni-ilyas-minta-diterjemahkan-setelah-kakak-pelaku-pemerkosaan-9-anak-ucapkan-pernyataan-berikut ","sumber")</f>
        <v>sumber</v>
      </c>
      <c r="G379" s="44" t="s">
        <v>33</v>
      </c>
      <c r="H379" s="44">
        <v>166.0</v>
      </c>
      <c r="I379" s="44">
        <v>1.0</v>
      </c>
      <c r="J379" s="44">
        <v>1.0</v>
      </c>
      <c r="K379" s="164" t="s">
        <v>4654</v>
      </c>
      <c r="L379" s="44">
        <v>-1.0</v>
      </c>
      <c r="M379" s="44">
        <v>1.0</v>
      </c>
      <c r="N379" s="166">
        <v>0.0</v>
      </c>
      <c r="O379" s="44">
        <v>1.0</v>
      </c>
      <c r="P379" s="44">
        <v>0.0</v>
      </c>
      <c r="Q379" s="44" t="s">
        <v>61</v>
      </c>
      <c r="R379" s="44" t="s">
        <v>61</v>
      </c>
      <c r="S379" s="175"/>
      <c r="T379" s="44">
        <v>0.0</v>
      </c>
      <c r="U379" s="44">
        <v>0.0</v>
      </c>
      <c r="V379" s="44">
        <v>0.0</v>
      </c>
      <c r="W379" s="45"/>
      <c r="X379" s="45"/>
      <c r="Y379" s="45"/>
      <c r="Z379" s="9"/>
      <c r="AA379" s="9"/>
      <c r="AB379" s="9"/>
      <c r="AC379" s="9"/>
      <c r="AD379" s="9"/>
      <c r="AE379" s="9"/>
      <c r="AF379" s="9"/>
    </row>
    <row r="380">
      <c r="A380" s="231">
        <v>1.0</v>
      </c>
      <c r="B380" s="44" t="s">
        <v>4655</v>
      </c>
      <c r="C380" s="44">
        <v>376.0</v>
      </c>
      <c r="D380" s="44">
        <v>2.0</v>
      </c>
      <c r="E380" s="44" t="s">
        <v>2095</v>
      </c>
      <c r="F380" s="162" t="str">
        <f>HYPERLINK("https://www.cnnindonesia.com/nasional/20190830201543-12-426268/polisi-selidiki-pelecehan-seksual-jalanan-di-tangerang ","sumber")</f>
        <v>sumber</v>
      </c>
      <c r="G380" s="44" t="s">
        <v>33</v>
      </c>
      <c r="H380" s="44">
        <v>337.0</v>
      </c>
      <c r="I380" s="44">
        <v>1.0</v>
      </c>
      <c r="J380" s="44">
        <v>1.0</v>
      </c>
      <c r="K380" s="164" t="s">
        <v>4656</v>
      </c>
      <c r="L380" s="44">
        <v>0.0</v>
      </c>
      <c r="M380" s="44">
        <v>-1.0</v>
      </c>
      <c r="N380" s="166">
        <v>0.0</v>
      </c>
      <c r="O380" s="44">
        <v>1.0</v>
      </c>
      <c r="P380" s="44">
        <v>0.0</v>
      </c>
      <c r="Q380" s="44">
        <v>0.0</v>
      </c>
      <c r="R380" s="44">
        <v>1.0</v>
      </c>
      <c r="S380" s="175"/>
      <c r="T380" s="44">
        <v>0.0</v>
      </c>
      <c r="U380" s="44">
        <v>0.0</v>
      </c>
      <c r="V380" s="44">
        <v>0.0</v>
      </c>
      <c r="W380" s="45"/>
      <c r="X380" s="45"/>
      <c r="Y380" s="45"/>
      <c r="Z380" s="9"/>
      <c r="AA380" s="9"/>
      <c r="AB380" s="9"/>
      <c r="AC380" s="9"/>
      <c r="AD380" s="9"/>
      <c r="AE380" s="9"/>
      <c r="AF380" s="9"/>
    </row>
    <row r="381">
      <c r="A381" s="254">
        <v>1.0</v>
      </c>
      <c r="B381" s="68" t="s">
        <v>1782</v>
      </c>
      <c r="C381" s="55">
        <v>377.0</v>
      </c>
      <c r="D381" s="55">
        <v>1.0</v>
      </c>
      <c r="E381" s="344">
        <v>43746.0</v>
      </c>
      <c r="F381" s="171" t="str">
        <f>HYPERLINK("https://news.detik.com/berita/d-4660377/kpai-desak-polisi-tangkap-pelaku-begal-payudara-di-bintaro-tangsel ","sumber")</f>
        <v>sumber</v>
      </c>
      <c r="G381" s="55" t="s">
        <v>33</v>
      </c>
      <c r="H381" s="55">
        <v>297.0</v>
      </c>
      <c r="I381" s="55">
        <v>4.0</v>
      </c>
      <c r="J381" s="55">
        <v>1.0</v>
      </c>
      <c r="K381" s="172" t="s">
        <v>4657</v>
      </c>
      <c r="L381" s="55">
        <v>0.0</v>
      </c>
      <c r="M381" s="55">
        <v>0.0</v>
      </c>
      <c r="N381" s="173">
        <v>0.0</v>
      </c>
      <c r="O381" s="55">
        <v>1.0</v>
      </c>
      <c r="P381" s="55">
        <v>0.0</v>
      </c>
      <c r="Q381" s="55">
        <v>1.0</v>
      </c>
      <c r="R381" s="55">
        <v>1.0</v>
      </c>
      <c r="S381" s="174"/>
      <c r="T381" s="55">
        <v>0.0</v>
      </c>
      <c r="U381" s="55">
        <v>0.0</v>
      </c>
      <c r="V381" s="55">
        <v>1.0</v>
      </c>
      <c r="W381" s="46"/>
      <c r="X381" s="46"/>
      <c r="Y381" s="46"/>
      <c r="Z381" s="31"/>
      <c r="AA381" s="31"/>
      <c r="AB381" s="31"/>
      <c r="AC381" s="31"/>
      <c r="AD381" s="31"/>
      <c r="AE381" s="31"/>
      <c r="AF381" s="31"/>
    </row>
    <row r="382">
      <c r="A382" s="231">
        <v>1.0</v>
      </c>
      <c r="B382" s="44" t="s">
        <v>4658</v>
      </c>
      <c r="C382" s="44">
        <v>378.0</v>
      </c>
      <c r="D382" s="44">
        <v>8.0</v>
      </c>
      <c r="E382" s="44" t="s">
        <v>2095</v>
      </c>
      <c r="F382" s="162" t="str">
        <f>HYPERLINK("https://www.suara.com/entertainment/2019/08/31/174045/bila-hidupnya-tinggal-1-menit-nikita-mirzani-bakal-lakukan-ini ","sumber")</f>
        <v>sumber</v>
      </c>
      <c r="G382" s="44" t="s">
        <v>33</v>
      </c>
      <c r="H382" s="44">
        <v>468.0</v>
      </c>
      <c r="I382" s="44">
        <v>2.0</v>
      </c>
      <c r="J382" s="44">
        <v>1.0</v>
      </c>
      <c r="K382" s="164" t="s">
        <v>4659</v>
      </c>
      <c r="L382" s="44">
        <v>0.0</v>
      </c>
      <c r="M382" s="44">
        <v>0.0</v>
      </c>
      <c r="N382" s="166">
        <v>0.0</v>
      </c>
      <c r="O382" s="44">
        <v>0.0</v>
      </c>
      <c r="P382" s="44">
        <v>0.0</v>
      </c>
      <c r="Q382" s="44">
        <v>2.0</v>
      </c>
      <c r="R382" s="44">
        <v>1.0</v>
      </c>
      <c r="S382" s="175"/>
      <c r="T382" s="44">
        <v>0.0</v>
      </c>
      <c r="U382" s="44">
        <v>0.0</v>
      </c>
      <c r="V382" s="44">
        <v>0.0</v>
      </c>
      <c r="W382" s="45"/>
      <c r="X382" s="45"/>
      <c r="Y382" s="45"/>
      <c r="Z382" s="9"/>
      <c r="AA382" s="9"/>
      <c r="AB382" s="9"/>
      <c r="AC382" s="9"/>
      <c r="AD382" s="9"/>
      <c r="AE382" s="9"/>
      <c r="AF382" s="9"/>
    </row>
    <row r="383">
      <c r="A383" s="254">
        <v>1.0</v>
      </c>
      <c r="B383" s="68" t="s">
        <v>4660</v>
      </c>
      <c r="C383" s="55">
        <v>379.0</v>
      </c>
      <c r="D383" s="55">
        <v>6.0</v>
      </c>
      <c r="E383" s="344">
        <v>43474.0</v>
      </c>
      <c r="F383" s="171" t="str">
        <f>HYPERLINK("https://regional.kompas.com/read/2019/09/01/18261141/baru-keluar-dari-penjara-seorang-ayah-perkosa-anak-tiri-berumur-12-tahun ","sumber")</f>
        <v>sumber</v>
      </c>
      <c r="G383" s="55" t="s">
        <v>33</v>
      </c>
      <c r="H383" s="55">
        <v>136.0</v>
      </c>
      <c r="I383" s="55">
        <v>1.0</v>
      </c>
      <c r="J383" s="55">
        <v>1.0</v>
      </c>
      <c r="K383" s="172" t="s">
        <v>4661</v>
      </c>
      <c r="L383" s="55">
        <v>0.0</v>
      </c>
      <c r="M383" s="55">
        <v>-1.0</v>
      </c>
      <c r="N383" s="173">
        <v>0.0</v>
      </c>
      <c r="O383" s="55">
        <v>1.0</v>
      </c>
      <c r="P383" s="55">
        <v>0.0</v>
      </c>
      <c r="Q383" s="55">
        <v>0.0</v>
      </c>
      <c r="R383" s="55">
        <v>1.0</v>
      </c>
      <c r="S383" s="174"/>
      <c r="T383" s="55">
        <v>0.0</v>
      </c>
      <c r="U383" s="55">
        <v>0.0</v>
      </c>
      <c r="V383" s="55">
        <v>0.0</v>
      </c>
      <c r="W383" s="46"/>
      <c r="X383" s="46"/>
      <c r="Y383" s="46"/>
      <c r="Z383" s="31"/>
      <c r="AA383" s="31"/>
      <c r="AB383" s="31"/>
      <c r="AC383" s="31"/>
      <c r="AD383" s="31"/>
      <c r="AE383" s="31"/>
      <c r="AF383" s="31"/>
    </row>
    <row r="384">
      <c r="A384" s="231">
        <v>1.0</v>
      </c>
      <c r="B384" s="44" t="s">
        <v>4662</v>
      </c>
      <c r="C384" s="44">
        <v>380.0</v>
      </c>
      <c r="D384" s="44">
        <v>3.0</v>
      </c>
      <c r="E384" s="268">
        <v>43474.0</v>
      </c>
      <c r="F384" s="162" t="str">
        <f>HYPERLINK("https://index.okezone.com/read/2019/09/01/612/2099131/pernah-alami-pelecehan-seksual-chia-labrak-pria-ejakulasi-di-transjakarta ","sumber")</f>
        <v>sumber</v>
      </c>
      <c r="G384" s="44" t="s">
        <v>33</v>
      </c>
      <c r="H384" s="44">
        <v>1002.0</v>
      </c>
      <c r="I384" s="44">
        <v>2.0</v>
      </c>
      <c r="J384" s="44">
        <v>1.0</v>
      </c>
      <c r="K384" s="164" t="s">
        <v>4663</v>
      </c>
      <c r="L384" s="44">
        <v>0.0</v>
      </c>
      <c r="M384" s="44">
        <v>0.0</v>
      </c>
      <c r="N384" s="166">
        <v>0.0</v>
      </c>
      <c r="O384" s="44">
        <v>1.0</v>
      </c>
      <c r="P384" s="44">
        <v>-1.0</v>
      </c>
      <c r="Q384" s="44">
        <v>2.0</v>
      </c>
      <c r="R384" s="44">
        <v>1.0</v>
      </c>
      <c r="S384" s="175"/>
      <c r="T384" s="44">
        <v>0.0</v>
      </c>
      <c r="U384" s="44">
        <v>0.0</v>
      </c>
      <c r="V384" s="44">
        <v>1.0</v>
      </c>
      <c r="W384" s="45"/>
      <c r="X384" s="45"/>
      <c r="Y384" s="45"/>
      <c r="Z384" s="9"/>
      <c r="AA384" s="9"/>
      <c r="AB384" s="9"/>
      <c r="AC384" s="9"/>
      <c r="AD384" s="9"/>
      <c r="AE384" s="9"/>
      <c r="AF384" s="9"/>
    </row>
    <row r="385">
      <c r="A385" s="231">
        <v>1.0</v>
      </c>
      <c r="B385" s="44" t="s">
        <v>4664</v>
      </c>
      <c r="C385" s="44">
        <v>381.0</v>
      </c>
      <c r="D385" s="44">
        <v>9.0</v>
      </c>
      <c r="E385" s="268">
        <v>43474.0</v>
      </c>
      <c r="F385" s="162" t="str">
        <f>HYPERLINK("https://nasional.republika.co.id/berita/px5gay383/polisi-selidiki-kasus-pembunuhan-sadis-gadis-baduy ","sumber")</f>
        <v>sumber</v>
      </c>
      <c r="G385" s="44" t="s">
        <v>33</v>
      </c>
      <c r="H385" s="44">
        <v>46.0</v>
      </c>
      <c r="I385" s="44">
        <v>1.0</v>
      </c>
      <c r="J385" s="44">
        <v>1.0</v>
      </c>
      <c r="K385" s="164" t="s">
        <v>4665</v>
      </c>
      <c r="L385" s="44">
        <v>0.0</v>
      </c>
      <c r="M385" s="44">
        <v>-1.0</v>
      </c>
      <c r="N385" s="166">
        <v>0.0</v>
      </c>
      <c r="O385" s="44">
        <v>1.0</v>
      </c>
      <c r="P385" s="44">
        <v>0.0</v>
      </c>
      <c r="Q385" s="44">
        <v>0.0</v>
      </c>
      <c r="R385" s="44">
        <v>1.0</v>
      </c>
      <c r="S385" s="175"/>
      <c r="T385" s="44">
        <v>0.0</v>
      </c>
      <c r="U385" s="44">
        <v>0.0</v>
      </c>
      <c r="V385" s="44">
        <v>0.0</v>
      </c>
      <c r="W385" s="45"/>
      <c r="X385" s="45"/>
      <c r="Y385" s="45"/>
      <c r="Z385" s="9"/>
      <c r="AA385" s="9"/>
      <c r="AB385" s="9"/>
      <c r="AC385" s="9"/>
      <c r="AD385" s="9"/>
      <c r="AE385" s="9"/>
      <c r="AF385" s="9"/>
    </row>
    <row r="386">
      <c r="A386" s="231">
        <v>1.0</v>
      </c>
      <c r="B386" s="44" t="s">
        <v>4666</v>
      </c>
      <c r="C386" s="44">
        <v>382.0</v>
      </c>
      <c r="D386" s="44">
        <v>10.0</v>
      </c>
      <c r="E386" s="268">
        <v>43474.0</v>
      </c>
      <c r="F386" s="162" t="str">
        <f>HYPERLINK("https://metro.tempo.co/read/1242494/disebut-pelacur-nikita-mirzani-laporkan-poppy-maretha-ke-polisi ","sumber")</f>
        <v>sumber</v>
      </c>
      <c r="G386" s="44" t="s">
        <v>33</v>
      </c>
      <c r="H386" s="44">
        <v>352.0</v>
      </c>
      <c r="I386" s="44">
        <v>1.0</v>
      </c>
      <c r="J386" s="44">
        <v>1.0</v>
      </c>
      <c r="K386" s="164" t="s">
        <v>4667</v>
      </c>
      <c r="L386" s="44">
        <v>0.0</v>
      </c>
      <c r="M386" s="44">
        <v>-1.0</v>
      </c>
      <c r="N386" s="166">
        <v>0.0</v>
      </c>
      <c r="O386" s="44">
        <v>0.0</v>
      </c>
      <c r="P386" s="44">
        <v>0.0</v>
      </c>
      <c r="Q386" s="44">
        <v>0.0</v>
      </c>
      <c r="R386" s="44">
        <v>1.0</v>
      </c>
      <c r="S386" s="175"/>
      <c r="T386" s="44">
        <v>0.0</v>
      </c>
      <c r="U386" s="44">
        <v>0.0</v>
      </c>
      <c r="V386" s="44">
        <v>0.0</v>
      </c>
      <c r="W386" s="45"/>
      <c r="X386" s="45"/>
      <c r="Y386" s="45"/>
      <c r="Z386" s="9"/>
      <c r="AA386" s="9"/>
      <c r="AB386" s="9"/>
      <c r="AC386" s="9"/>
      <c r="AD386" s="9"/>
      <c r="AE386" s="9"/>
      <c r="AF386" s="9"/>
    </row>
    <row r="387">
      <c r="A387" s="252">
        <v>1.0</v>
      </c>
      <c r="B387" s="173" t="s">
        <v>4668</v>
      </c>
      <c r="C387" s="55">
        <v>383.0</v>
      </c>
      <c r="D387" s="55">
        <v>7.0</v>
      </c>
      <c r="E387" s="344">
        <v>43474.0</v>
      </c>
      <c r="F387" s="171" t="str">
        <f>HYPERLINK("https://www.tribunnews.com/nasional/2019/09/01/viral-video-bocah-10-tahun-dicabuli-di-bogor-modus-tanya-alamat-polisi-imbau-tak-sebar-foto-korban ","sumber")</f>
        <v>sumber</v>
      </c>
      <c r="G387" s="55" t="s">
        <v>33</v>
      </c>
      <c r="H387" s="55">
        <v>284.0</v>
      </c>
      <c r="I387" s="55">
        <v>1.0</v>
      </c>
      <c r="J387" s="55">
        <v>1.0</v>
      </c>
      <c r="K387" s="172" t="s">
        <v>4669</v>
      </c>
      <c r="L387" s="55">
        <v>0.0</v>
      </c>
      <c r="M387" s="55">
        <v>-1.0</v>
      </c>
      <c r="N387" s="55">
        <v>-1.0</v>
      </c>
      <c r="O387" s="55">
        <v>-1.0</v>
      </c>
      <c r="P387" s="55">
        <v>-1.0</v>
      </c>
      <c r="Q387" s="55" t="s">
        <v>53</v>
      </c>
      <c r="R387" s="55" t="s">
        <v>869</v>
      </c>
      <c r="S387" s="172" t="s">
        <v>4670</v>
      </c>
      <c r="T387" s="55">
        <v>1.0</v>
      </c>
      <c r="U387" s="55">
        <v>0.0</v>
      </c>
      <c r="V387" s="55">
        <v>0.0</v>
      </c>
      <c r="W387" s="46"/>
      <c r="X387" s="46"/>
      <c r="Y387" s="46"/>
      <c r="Z387" s="31"/>
      <c r="AA387" s="31"/>
      <c r="AB387" s="31"/>
      <c r="AC387" s="31"/>
      <c r="AD387" s="31"/>
      <c r="AE387" s="31"/>
      <c r="AF387" s="31"/>
    </row>
    <row r="388">
      <c r="A388" s="43">
        <v>2.0</v>
      </c>
      <c r="B388" s="47" t="s">
        <v>3826</v>
      </c>
      <c r="C388" s="47">
        <v>384.0</v>
      </c>
      <c r="D388" s="48"/>
      <c r="E388" s="48"/>
      <c r="F388" s="156" t="str">
        <f>HYPERLINK("https://www.cnnindonesia.com/olahraga/20190902042736-142-426654/psg-larang-fan-ejek-neymar ","sumber")</f>
        <v>sumber</v>
      </c>
      <c r="G388" s="47" t="s">
        <v>33</v>
      </c>
      <c r="H388" s="47">
        <v>245.0</v>
      </c>
      <c r="I388" s="48"/>
      <c r="J388" s="48"/>
      <c r="K388" s="165"/>
      <c r="L388" s="48"/>
      <c r="M388" s="48"/>
      <c r="N388" s="48"/>
      <c r="O388" s="48"/>
      <c r="P388" s="48"/>
      <c r="Q388" s="48"/>
      <c r="R388" s="48"/>
      <c r="S388" s="165"/>
      <c r="T388" s="48"/>
      <c r="U388" s="48"/>
      <c r="V388" s="48"/>
      <c r="W388" s="48"/>
      <c r="X388" s="48"/>
      <c r="Y388" s="48"/>
      <c r="Z388" s="338"/>
      <c r="AA388" s="51"/>
      <c r="AB388" s="51"/>
      <c r="AC388" s="51"/>
      <c r="AD388" s="51"/>
      <c r="AE388" s="51"/>
      <c r="AF388" s="51"/>
    </row>
    <row r="389">
      <c r="A389" s="231">
        <v>1.0</v>
      </c>
      <c r="B389" s="44" t="s">
        <v>4671</v>
      </c>
      <c r="C389" s="44">
        <v>385.0</v>
      </c>
      <c r="D389" s="44">
        <v>3.0</v>
      </c>
      <c r="E389" s="268">
        <v>43505.0</v>
      </c>
      <c r="F389" s="162" t="str">
        <f>HYPERLINK("https://celebrity.okezone.com/read/2019/09/02/33/2099556/ayah-vanessa-angel-malu-lihat-putrinya-umbar-pose-seksi-di-media-sosial ","sumber")</f>
        <v>sumber</v>
      </c>
      <c r="G389" s="44" t="s">
        <v>33</v>
      </c>
      <c r="H389" s="44">
        <v>351.0</v>
      </c>
      <c r="I389" s="44">
        <v>1.0</v>
      </c>
      <c r="J389" s="44">
        <v>1.0</v>
      </c>
      <c r="K389" s="164" t="s">
        <v>4672</v>
      </c>
      <c r="L389" s="44">
        <v>0.0</v>
      </c>
      <c r="M389" s="44">
        <v>-1.0</v>
      </c>
      <c r="N389" s="166">
        <v>0.0</v>
      </c>
      <c r="O389" s="44">
        <v>0.0</v>
      </c>
      <c r="P389" s="44">
        <v>0.0</v>
      </c>
      <c r="Q389" s="44">
        <v>0.0</v>
      </c>
      <c r="R389" s="44">
        <v>-1.0</v>
      </c>
      <c r="S389" s="175"/>
      <c r="T389" s="44">
        <v>0.0</v>
      </c>
      <c r="U389" s="44">
        <v>0.0</v>
      </c>
      <c r="V389" s="44">
        <v>1.0</v>
      </c>
      <c r="W389" s="45"/>
      <c r="X389" s="45"/>
      <c r="Y389" s="45"/>
      <c r="Z389" s="9"/>
      <c r="AA389" s="9"/>
      <c r="AB389" s="9"/>
      <c r="AC389" s="9"/>
      <c r="AD389" s="9"/>
      <c r="AE389" s="9"/>
      <c r="AF389" s="9"/>
    </row>
    <row r="390">
      <c r="A390" s="43">
        <v>2.0</v>
      </c>
      <c r="B390" s="47" t="s">
        <v>4673</v>
      </c>
      <c r="C390" s="47">
        <v>386.0</v>
      </c>
      <c r="D390" s="47">
        <v>7.0</v>
      </c>
      <c r="E390" s="280">
        <v>43505.0</v>
      </c>
      <c r="F390" s="156" t="str">
        <f>HYPERLINK("https://www.tribunnews.com/seleb/2019/09/02/alasan-elza-syarief-juga-akan-laporkan-hotman-paris-melaney-ricardo-tak-hanya-nikita-mirzani ","sumber")</f>
        <v>sumber</v>
      </c>
      <c r="G390" s="47" t="s">
        <v>33</v>
      </c>
      <c r="H390" s="47">
        <v>155.0</v>
      </c>
      <c r="I390" s="48"/>
      <c r="J390" s="48"/>
      <c r="K390" s="165"/>
      <c r="L390" s="48"/>
      <c r="M390" s="48"/>
      <c r="N390" s="48"/>
      <c r="O390" s="48"/>
      <c r="P390" s="48"/>
      <c r="Q390" s="48"/>
      <c r="R390" s="48"/>
      <c r="S390" s="165"/>
      <c r="T390" s="48"/>
      <c r="U390" s="48"/>
      <c r="V390" s="48"/>
      <c r="W390" s="48"/>
      <c r="X390" s="48"/>
      <c r="Y390" s="48"/>
      <c r="Z390" s="338"/>
      <c r="AA390" s="51"/>
      <c r="AB390" s="51"/>
      <c r="AC390" s="51"/>
      <c r="AD390" s="51"/>
      <c r="AE390" s="51"/>
      <c r="AF390" s="51"/>
    </row>
    <row r="391">
      <c r="A391" s="43">
        <v>2.0</v>
      </c>
      <c r="B391" s="47" t="s">
        <v>4674</v>
      </c>
      <c r="C391" s="47">
        <v>387.0</v>
      </c>
      <c r="D391" s="48"/>
      <c r="E391" s="280">
        <v>43533.0</v>
      </c>
      <c r="F391" s="156" t="str">
        <f>HYPERLINK("https://www.cnnindonesia.com/internasional/20190902180223-106-426894/myanmar-janjikan-adili-tentara-yang-membantai-rohingya ","sumber")</f>
        <v>sumber</v>
      </c>
      <c r="G391" s="47" t="s">
        <v>33</v>
      </c>
      <c r="H391" s="47">
        <v>357.0</v>
      </c>
      <c r="I391" s="48"/>
      <c r="J391" s="48"/>
      <c r="K391" s="165"/>
      <c r="L391" s="48"/>
      <c r="M391" s="48"/>
      <c r="N391" s="48"/>
      <c r="O391" s="48"/>
      <c r="P391" s="48"/>
      <c r="Q391" s="48"/>
      <c r="R391" s="48"/>
      <c r="S391" s="165"/>
      <c r="T391" s="48"/>
      <c r="U391" s="48"/>
      <c r="V391" s="48"/>
      <c r="W391" s="48"/>
      <c r="X391" s="48"/>
      <c r="Y391" s="48"/>
      <c r="Z391" s="338"/>
      <c r="AA391" s="51"/>
      <c r="AB391" s="51"/>
      <c r="AC391" s="51"/>
      <c r="AD391" s="51"/>
      <c r="AE391" s="51"/>
      <c r="AF391" s="51"/>
    </row>
    <row r="392">
      <c r="A392" s="231">
        <v>1.0</v>
      </c>
      <c r="B392" s="44" t="s">
        <v>4675</v>
      </c>
      <c r="C392" s="44">
        <v>389.0</v>
      </c>
      <c r="D392" s="44">
        <v>5.0</v>
      </c>
      <c r="E392" s="268">
        <v>43533.0</v>
      </c>
      <c r="F392" s="162" t="str">
        <f>HYPERLINK("https://tirto.id/dampak-psikologis-hubungan-seks-di-luar-nikah-ehrq ","sumber")</f>
        <v>sumber</v>
      </c>
      <c r="G392" s="44" t="s">
        <v>33</v>
      </c>
      <c r="H392" s="44">
        <v>452.0</v>
      </c>
      <c r="I392" s="44">
        <v>2.0</v>
      </c>
      <c r="J392" s="44">
        <v>1.0</v>
      </c>
      <c r="K392" s="164" t="s">
        <v>4676</v>
      </c>
      <c r="L392" s="44">
        <v>0.0</v>
      </c>
      <c r="M392" s="44">
        <v>0.0</v>
      </c>
      <c r="N392" s="166">
        <v>0.0</v>
      </c>
      <c r="O392" s="44">
        <v>0.0</v>
      </c>
      <c r="P392" s="44">
        <v>0.0</v>
      </c>
      <c r="Q392" s="44">
        <v>0.0</v>
      </c>
      <c r="R392" s="44">
        <v>1.0</v>
      </c>
      <c r="S392" s="175"/>
      <c r="T392" s="44">
        <v>0.0</v>
      </c>
      <c r="U392" s="44">
        <v>0.0</v>
      </c>
      <c r="V392" s="44">
        <v>1.0</v>
      </c>
      <c r="W392" s="45"/>
      <c r="X392" s="45"/>
      <c r="Y392" s="45"/>
      <c r="Z392" s="52"/>
      <c r="AA392" s="9"/>
      <c r="AB392" s="9"/>
      <c r="AC392" s="9"/>
      <c r="AD392" s="9"/>
      <c r="AE392" s="9"/>
      <c r="AF392" s="9"/>
    </row>
    <row r="393">
      <c r="A393" s="43">
        <v>2.0</v>
      </c>
      <c r="B393" s="47" t="s">
        <v>4677</v>
      </c>
      <c r="C393" s="47">
        <v>390.0</v>
      </c>
      <c r="D393" s="48"/>
      <c r="E393" s="280">
        <v>43564.0</v>
      </c>
      <c r="F393" s="156" t="str">
        <f>HYPERLINK("https://news.okezone.com/read/2019/09/03/18/2100280/skandal-pernikahan-antar-ras-dan-pamflet-yang-mengguncang-india-abad-ke-19 ","sumber")</f>
        <v>sumber</v>
      </c>
      <c r="G393" s="47" t="s">
        <v>33</v>
      </c>
      <c r="H393" s="47">
        <v>776.0</v>
      </c>
      <c r="I393" s="48"/>
      <c r="J393" s="48"/>
      <c r="K393" s="165"/>
      <c r="L393" s="48"/>
      <c r="M393" s="48"/>
      <c r="N393" s="48"/>
      <c r="O393" s="48"/>
      <c r="P393" s="48"/>
      <c r="Q393" s="48"/>
      <c r="R393" s="48"/>
      <c r="S393" s="165"/>
      <c r="T393" s="48"/>
      <c r="U393" s="48"/>
      <c r="V393" s="48"/>
      <c r="W393" s="48"/>
      <c r="X393" s="48"/>
      <c r="Y393" s="48"/>
      <c r="Z393" s="338"/>
      <c r="AA393" s="51"/>
      <c r="AB393" s="51"/>
      <c r="AC393" s="51"/>
      <c r="AD393" s="51"/>
      <c r="AE393" s="51"/>
      <c r="AF393" s="51"/>
    </row>
    <row r="394">
      <c r="A394" s="252">
        <v>1.0</v>
      </c>
      <c r="B394" s="173" t="s">
        <v>4678</v>
      </c>
      <c r="C394" s="55">
        <v>391.0</v>
      </c>
      <c r="D394" s="55">
        <v>3.0</v>
      </c>
      <c r="E394" s="55" t="s">
        <v>337</v>
      </c>
      <c r="F394" s="171" t="str">
        <f>HYPERLINK("https://celebrity.okezone.com/read/2019/09/26/33/2109766/atta-halilintar-akhirnya-angkat-suara-jangan-alihkan-isu-ya-mbak ","sumber")</f>
        <v>sumber</v>
      </c>
      <c r="G394" s="55" t="s">
        <v>33</v>
      </c>
      <c r="H394" s="55">
        <v>295.0</v>
      </c>
      <c r="I394" s="55">
        <v>1.0</v>
      </c>
      <c r="J394" s="55">
        <v>1.0</v>
      </c>
      <c r="K394" s="172" t="s">
        <v>4679</v>
      </c>
      <c r="L394" s="55">
        <v>-1.0</v>
      </c>
      <c r="M394" s="55">
        <v>1.0</v>
      </c>
      <c r="N394" s="173">
        <v>0.0</v>
      </c>
      <c r="O394" s="55">
        <v>0.0</v>
      </c>
      <c r="P394" s="55">
        <v>0.0</v>
      </c>
      <c r="Q394" s="55" t="s">
        <v>210</v>
      </c>
      <c r="R394" s="55" t="s">
        <v>780</v>
      </c>
      <c r="S394" s="174"/>
      <c r="T394" s="55">
        <v>0.0</v>
      </c>
      <c r="U394" s="55">
        <v>0.0</v>
      </c>
      <c r="V394" s="55">
        <v>0.0</v>
      </c>
      <c r="W394" s="46"/>
      <c r="X394" s="46"/>
      <c r="Y394" s="46"/>
      <c r="Z394" s="31"/>
      <c r="AA394" s="31"/>
      <c r="AB394" s="31"/>
      <c r="AC394" s="31"/>
      <c r="AD394" s="31"/>
      <c r="AE394" s="31"/>
      <c r="AF394" s="31"/>
    </row>
    <row r="395">
      <c r="A395" s="252">
        <v>1.0</v>
      </c>
      <c r="B395" s="173" t="s">
        <v>339</v>
      </c>
      <c r="C395" s="55">
        <v>392.0</v>
      </c>
      <c r="D395" s="55">
        <v>9.0</v>
      </c>
      <c r="E395" s="55" t="s">
        <v>337</v>
      </c>
      <c r="F395" s="171" t="str">
        <f>HYPERLINK("https://nasional.republika.co.id/berita/pyfoll335/demo-di-cimahi-diwarnai-aksi-selotip-mulut ","sumber")</f>
        <v>sumber</v>
      </c>
      <c r="G395" s="55" t="s">
        <v>33</v>
      </c>
      <c r="H395" s="55">
        <v>300.0</v>
      </c>
      <c r="I395" s="55">
        <v>3.0</v>
      </c>
      <c r="J395" s="55">
        <v>1.0</v>
      </c>
      <c r="K395" s="172" t="s">
        <v>4680</v>
      </c>
      <c r="L395" s="55">
        <v>0.0</v>
      </c>
      <c r="M395" s="55">
        <v>0.0</v>
      </c>
      <c r="N395" s="173">
        <v>0.0</v>
      </c>
      <c r="O395" s="55">
        <v>0.0</v>
      </c>
      <c r="P395" s="55">
        <v>0.0</v>
      </c>
      <c r="Q395" s="55" t="s">
        <v>53</v>
      </c>
      <c r="R395" s="55" t="s">
        <v>1078</v>
      </c>
      <c r="S395" s="174"/>
      <c r="T395" s="55">
        <v>0.0</v>
      </c>
      <c r="U395" s="55">
        <v>0.0</v>
      </c>
      <c r="V395" s="55">
        <v>1.0</v>
      </c>
      <c r="W395" s="46"/>
      <c r="X395" s="46"/>
      <c r="Y395" s="46"/>
      <c r="Z395" s="31"/>
      <c r="AA395" s="31"/>
      <c r="AB395" s="31"/>
      <c r="AC395" s="31"/>
      <c r="AD395" s="31"/>
      <c r="AE395" s="31"/>
      <c r="AF395" s="31"/>
    </row>
    <row r="396">
      <c r="A396" s="43">
        <v>2.0</v>
      </c>
      <c r="B396" s="47" t="s">
        <v>4681</v>
      </c>
      <c r="C396" s="47">
        <v>393.0</v>
      </c>
      <c r="D396" s="48"/>
      <c r="E396" s="47" t="s">
        <v>681</v>
      </c>
      <c r="F396" s="156" t="str">
        <f>HYPERLINK("https://www.cnnindonesia.com/gaya-hidup/20190928064300-277-434878/menguak-rahasia-hidup-warga-korea-utara-lewat-vlog ","sumber")</f>
        <v>sumber</v>
      </c>
      <c r="G396" s="47" t="s">
        <v>33</v>
      </c>
      <c r="H396" s="47">
        <v>564.0</v>
      </c>
      <c r="I396" s="48"/>
      <c r="J396" s="48"/>
      <c r="K396" s="165"/>
      <c r="L396" s="48"/>
      <c r="M396" s="48"/>
      <c r="N396" s="48"/>
      <c r="O396" s="48"/>
      <c r="P396" s="48"/>
      <c r="Q396" s="48"/>
      <c r="R396" s="48"/>
      <c r="S396" s="165"/>
      <c r="T396" s="48"/>
      <c r="U396" s="48"/>
      <c r="V396" s="48"/>
      <c r="W396" s="48"/>
      <c r="X396" s="48"/>
      <c r="Y396" s="48"/>
      <c r="Z396" s="338"/>
      <c r="AA396" s="51"/>
      <c r="AB396" s="51"/>
      <c r="AC396" s="51"/>
      <c r="AD396" s="51"/>
      <c r="AE396" s="51"/>
      <c r="AF396" s="51"/>
    </row>
    <row r="397">
      <c r="A397" s="43">
        <v>2.0</v>
      </c>
      <c r="B397" s="47" t="s">
        <v>2690</v>
      </c>
      <c r="C397" s="47">
        <v>394.0</v>
      </c>
      <c r="D397" s="353">
        <v>5.0</v>
      </c>
      <c r="E397" s="47" t="s">
        <v>2691</v>
      </c>
      <c r="F397" s="156" t="str">
        <f>HYPERLINK("https://tirto.id/kontras-demo-mujahid-212-dengan-aksi-mahasiswa-eiUo ","sumber")</f>
        <v>sumber</v>
      </c>
      <c r="G397" s="47" t="s">
        <v>33</v>
      </c>
      <c r="H397" s="47">
        <v>631.0</v>
      </c>
      <c r="I397" s="48"/>
      <c r="J397" s="48"/>
      <c r="K397" s="165"/>
      <c r="L397" s="48"/>
      <c r="M397" s="48"/>
      <c r="N397" s="48"/>
      <c r="O397" s="48"/>
      <c r="P397" s="48"/>
      <c r="Q397" s="48"/>
      <c r="R397" s="48"/>
      <c r="S397" s="165"/>
      <c r="T397" s="48"/>
      <c r="U397" s="48"/>
      <c r="V397" s="48"/>
      <c r="W397" s="48"/>
      <c r="X397" s="48"/>
      <c r="Y397" s="48"/>
      <c r="Z397" s="338"/>
      <c r="AA397" s="51"/>
      <c r="AB397" s="51"/>
      <c r="AC397" s="51"/>
      <c r="AD397" s="51"/>
      <c r="AE397" s="51"/>
      <c r="AF397" s="51"/>
    </row>
    <row r="398">
      <c r="A398" s="227">
        <v>1.0</v>
      </c>
      <c r="B398" s="271" t="s">
        <v>4682</v>
      </c>
      <c r="C398" s="44">
        <v>395.0</v>
      </c>
      <c r="D398" s="44">
        <v>2.0</v>
      </c>
      <c r="E398" s="268">
        <v>43595.0</v>
      </c>
      <c r="F398" s="162" t="str">
        <f>HYPERLINK("https://www.cnnindonesia.com/internasional/20191005052701-120-436916/demo-di-irak-60-orang-tewas-ulama-tuntut-pemerintah-mundur ","sumber")</f>
        <v>sumber</v>
      </c>
      <c r="G398" s="44" t="s">
        <v>33</v>
      </c>
      <c r="H398" s="44">
        <v>340.0</v>
      </c>
      <c r="I398" s="44">
        <v>1.0</v>
      </c>
      <c r="J398" s="44">
        <v>4.0</v>
      </c>
      <c r="K398" s="164" t="s">
        <v>4683</v>
      </c>
      <c r="L398" s="44">
        <v>-1.0</v>
      </c>
      <c r="M398" s="44">
        <v>-1.0</v>
      </c>
      <c r="N398" s="166">
        <v>0.0</v>
      </c>
      <c r="O398" s="44">
        <v>0.0</v>
      </c>
      <c r="P398" s="44">
        <v>0.0</v>
      </c>
      <c r="Q398" s="44" t="s">
        <v>191</v>
      </c>
      <c r="R398" s="44" t="s">
        <v>192</v>
      </c>
      <c r="S398" s="175"/>
      <c r="T398" s="44">
        <v>0.0</v>
      </c>
      <c r="U398" s="44">
        <v>0.0</v>
      </c>
      <c r="V398" s="44">
        <v>1.0</v>
      </c>
      <c r="W398" s="45"/>
      <c r="X398" s="45"/>
      <c r="Y398" s="45"/>
      <c r="Z398" s="9"/>
      <c r="AA398" s="9"/>
      <c r="AB398" s="9"/>
      <c r="AC398" s="9"/>
      <c r="AD398" s="9"/>
      <c r="AE398" s="9"/>
      <c r="AF398" s="9"/>
    </row>
    <row r="399">
      <c r="A399" s="43">
        <v>2.0</v>
      </c>
      <c r="B399" s="47" t="s">
        <v>4684</v>
      </c>
      <c r="C399" s="47">
        <v>396.0</v>
      </c>
      <c r="D399" s="47">
        <v>4.0</v>
      </c>
      <c r="E399" s="280">
        <v>43626.0</v>
      </c>
      <c r="F399" s="156" t="str">
        <f>HYPERLINK("https://www.liputan6.com/global/read/4079704/pbb-prihatin-desak-demo-irak-yang-tewaskan-99-orang-segera-berhenti ","sumber")</f>
        <v>sumber</v>
      </c>
      <c r="G399" s="47" t="s">
        <v>33</v>
      </c>
      <c r="H399" s="47">
        <v>561.0</v>
      </c>
      <c r="I399" s="48"/>
      <c r="J399" s="47"/>
      <c r="K399" s="165"/>
      <c r="L399" s="48"/>
      <c r="M399" s="48"/>
      <c r="N399" s="48"/>
      <c r="O399" s="48"/>
      <c r="P399" s="48"/>
      <c r="Q399" s="48"/>
      <c r="R399" s="48"/>
      <c r="S399" s="165"/>
      <c r="T399" s="48"/>
      <c r="U399" s="48"/>
      <c r="V399" s="48"/>
      <c r="W399" s="48"/>
      <c r="X399" s="48"/>
      <c r="Y399" s="48"/>
      <c r="Z399" s="338"/>
      <c r="AA399" s="51"/>
      <c r="AB399" s="51"/>
      <c r="AC399" s="51"/>
      <c r="AD399" s="51"/>
      <c r="AE399" s="51"/>
      <c r="AF399" s="51"/>
    </row>
    <row r="400">
      <c r="A400" s="43">
        <v>2.0</v>
      </c>
      <c r="B400" s="47" t="s">
        <v>4685</v>
      </c>
      <c r="C400" s="47">
        <v>397.0</v>
      </c>
      <c r="D400" s="47">
        <v>10.0</v>
      </c>
      <c r="E400" s="47" t="s">
        <v>932</v>
      </c>
      <c r="F400" s="156" t="str">
        <f>HYPERLINK("https://newsletter.tempo.co/read/1273721/cekfakta-12-hoaks-dan-pemblokiran-media-sosial ","sumber")</f>
        <v>sumber</v>
      </c>
      <c r="G400" s="47" t="s">
        <v>33</v>
      </c>
      <c r="H400" s="48"/>
      <c r="I400" s="48"/>
      <c r="J400" s="47"/>
      <c r="K400" s="165"/>
      <c r="L400" s="48"/>
      <c r="M400" s="48"/>
      <c r="N400" s="48"/>
      <c r="O400" s="48"/>
      <c r="P400" s="48"/>
      <c r="Q400" s="48"/>
      <c r="R400" s="48"/>
      <c r="S400" s="165"/>
      <c r="T400" s="48"/>
      <c r="U400" s="48"/>
      <c r="V400" s="48"/>
      <c r="W400" s="48"/>
      <c r="X400" s="48"/>
      <c r="Y400" s="48"/>
      <c r="Z400" s="338"/>
      <c r="AA400" s="51"/>
      <c r="AB400" s="51"/>
      <c r="AC400" s="51"/>
      <c r="AD400" s="51"/>
      <c r="AE400" s="51"/>
      <c r="AF400" s="51"/>
    </row>
    <row r="401">
      <c r="A401" s="43">
        <v>2.0</v>
      </c>
      <c r="B401" s="47" t="s">
        <v>881</v>
      </c>
      <c r="C401" s="47">
        <v>398.0</v>
      </c>
      <c r="D401" s="47">
        <v>3.0</v>
      </c>
      <c r="E401" s="47" t="s">
        <v>882</v>
      </c>
      <c r="F401" s="156" t="str">
        <f>HYPERLINK("https://news.okezone.com/read/2019/11/20/65/2132084/hasil-penelitian-2016-2018-ini-daftar-10-perguruan-tinggi-dengan-kinerja-tertinggi ","sumber")</f>
        <v>sumber</v>
      </c>
      <c r="G401" s="47" t="s">
        <v>33</v>
      </c>
      <c r="H401" s="48"/>
      <c r="I401" s="48"/>
      <c r="J401" s="48"/>
      <c r="K401" s="165"/>
      <c r="L401" s="48"/>
      <c r="M401" s="48"/>
      <c r="N401" s="48"/>
      <c r="O401" s="48"/>
      <c r="P401" s="48"/>
      <c r="Q401" s="48"/>
      <c r="R401" s="48"/>
      <c r="S401" s="165"/>
      <c r="T401" s="48"/>
      <c r="U401" s="48"/>
      <c r="V401" s="48"/>
      <c r="W401" s="48"/>
      <c r="X401" s="48"/>
      <c r="Y401" s="48"/>
      <c r="Z401" s="338"/>
      <c r="AA401" s="51"/>
      <c r="AB401" s="51"/>
      <c r="AC401" s="51"/>
      <c r="AD401" s="51"/>
      <c r="AE401" s="51"/>
      <c r="AF401" s="51"/>
    </row>
    <row r="402">
      <c r="A402" s="43">
        <v>2.0</v>
      </c>
      <c r="B402" s="47" t="s">
        <v>4686</v>
      </c>
      <c r="C402" s="47">
        <v>399.0</v>
      </c>
      <c r="D402" s="47">
        <v>7.0</v>
      </c>
      <c r="E402" s="47" t="s">
        <v>882</v>
      </c>
      <c r="F402" s="156" t="str">
        <f>HYPERLINK("https://www.tribunnews.com/pendidikan/2019/11/20/10-perguruan-tinggi-masuk-daftar-kampus-dengan-penelitian-terbaik-di-indonesia ","sumber")</f>
        <v>sumber</v>
      </c>
      <c r="G402" s="47" t="s">
        <v>33</v>
      </c>
      <c r="H402" s="47">
        <v>308.0</v>
      </c>
      <c r="I402" s="48"/>
      <c r="J402" s="48"/>
      <c r="K402" s="165"/>
      <c r="L402" s="48"/>
      <c r="M402" s="48"/>
      <c r="N402" s="48"/>
      <c r="O402" s="48"/>
      <c r="P402" s="48"/>
      <c r="Q402" s="48"/>
      <c r="R402" s="48"/>
      <c r="S402" s="165"/>
      <c r="T402" s="48"/>
      <c r="U402" s="48"/>
      <c r="V402" s="48"/>
      <c r="W402" s="48"/>
      <c r="X402" s="48"/>
      <c r="Y402" s="48"/>
      <c r="Z402" s="338"/>
      <c r="AA402" s="51"/>
      <c r="AB402" s="51"/>
      <c r="AC402" s="51"/>
      <c r="AD402" s="51"/>
      <c r="AE402" s="51"/>
      <c r="AF402" s="51"/>
    </row>
    <row r="403">
      <c r="A403" s="43">
        <v>2.0</v>
      </c>
      <c r="B403" s="47" t="s">
        <v>4687</v>
      </c>
      <c r="C403" s="47">
        <v>400.0</v>
      </c>
      <c r="D403" s="47">
        <v>7.0</v>
      </c>
      <c r="E403" s="47" t="s">
        <v>884</v>
      </c>
      <c r="F403" s="156" t="str">
        <f>HYPERLINK("https://www.tribunnews.com/nasional/2019/11/22/siti-nur-azizah-politik-saya-seperti-makan-kacang-sangrai ","sumber")</f>
        <v>sumber</v>
      </c>
      <c r="G403" s="47" t="s">
        <v>33</v>
      </c>
      <c r="H403" s="47">
        <v>417.0</v>
      </c>
      <c r="I403" s="48"/>
      <c r="J403" s="48"/>
      <c r="K403" s="165"/>
      <c r="L403" s="48"/>
      <c r="M403" s="48"/>
      <c r="N403" s="48"/>
      <c r="O403" s="48"/>
      <c r="P403" s="48"/>
      <c r="Q403" s="48"/>
      <c r="R403" s="48"/>
      <c r="S403" s="165"/>
      <c r="T403" s="48"/>
      <c r="U403" s="48"/>
      <c r="V403" s="48"/>
      <c r="W403" s="48"/>
      <c r="X403" s="48"/>
      <c r="Y403" s="48"/>
      <c r="Z403" s="338"/>
      <c r="AA403" s="51"/>
      <c r="AB403" s="51"/>
      <c r="AC403" s="51"/>
      <c r="AD403" s="51"/>
      <c r="AE403" s="51"/>
      <c r="AF403" s="51"/>
    </row>
    <row r="404">
      <c r="A404" s="43">
        <v>2.0</v>
      </c>
      <c r="B404" s="47" t="s">
        <v>4688</v>
      </c>
      <c r="C404" s="47">
        <v>401.0</v>
      </c>
      <c r="D404" s="47">
        <v>2.0</v>
      </c>
      <c r="E404" s="354">
        <v>43811.0</v>
      </c>
      <c r="F404" s="156" t="str">
        <f>HYPERLINK("https://www.cnnindonesia.com/internasional/20191212170458-120-456433/serangan-roket-kembali-hantam-pangkalan-militer-as-di-irak ","sumber")</f>
        <v>sumber</v>
      </c>
      <c r="G404" s="47" t="s">
        <v>33</v>
      </c>
      <c r="H404" s="47">
        <v>289.0</v>
      </c>
      <c r="I404" s="47"/>
      <c r="J404" s="47"/>
      <c r="K404" s="157"/>
      <c r="L404" s="48"/>
      <c r="M404" s="48"/>
      <c r="N404" s="48"/>
      <c r="O404" s="48"/>
      <c r="P404" s="48"/>
      <c r="Q404" s="48"/>
      <c r="R404" s="48"/>
      <c r="S404" s="165"/>
      <c r="T404" s="48"/>
      <c r="U404" s="48"/>
      <c r="V404" s="48"/>
      <c r="W404" s="48"/>
      <c r="X404" s="48"/>
      <c r="Y404" s="48"/>
      <c r="Z404" s="338"/>
      <c r="AA404" s="51"/>
      <c r="AB404" s="51"/>
      <c r="AC404" s="51"/>
      <c r="AD404" s="51"/>
      <c r="AE404" s="51"/>
      <c r="AF404" s="51"/>
    </row>
    <row r="405">
      <c r="A405" s="43">
        <v>2.0</v>
      </c>
      <c r="B405" s="47" t="s">
        <v>4689</v>
      </c>
      <c r="C405" s="47">
        <v>402.0</v>
      </c>
      <c r="D405" s="47">
        <v>7.0</v>
      </c>
      <c r="E405" s="354">
        <v>43811.0</v>
      </c>
      <c r="F405" s="156" t="str">
        <f>HYPERLINK("https://www.tribunnews.com/internasional/2019/12/12/opini-uu-kewarganegaraan-baru-india-bertentangan-dengan-konstitusi ","sumber")</f>
        <v>sumber</v>
      </c>
      <c r="G405" s="47" t="s">
        <v>33</v>
      </c>
      <c r="H405" s="47">
        <v>261.0</v>
      </c>
      <c r="I405" s="48"/>
      <c r="J405" s="48"/>
      <c r="K405" s="165"/>
      <c r="L405" s="48"/>
      <c r="M405" s="48"/>
      <c r="N405" s="48"/>
      <c r="O405" s="48"/>
      <c r="P405" s="48"/>
      <c r="Q405" s="48"/>
      <c r="R405" s="48"/>
      <c r="S405" s="165"/>
      <c r="T405" s="48"/>
      <c r="U405" s="48"/>
      <c r="V405" s="48"/>
      <c r="W405" s="48"/>
      <c r="X405" s="48"/>
      <c r="Y405" s="48"/>
      <c r="Z405" s="338"/>
      <c r="AA405" s="51"/>
      <c r="AB405" s="51"/>
      <c r="AC405" s="51"/>
      <c r="AD405" s="51"/>
      <c r="AE405" s="51"/>
      <c r="AF405" s="51"/>
    </row>
    <row r="406">
      <c r="A406" s="43">
        <v>2.0</v>
      </c>
      <c r="B406" s="47" t="s">
        <v>1810</v>
      </c>
      <c r="C406" s="47">
        <v>403.0</v>
      </c>
      <c r="D406" s="47">
        <v>9.0</v>
      </c>
      <c r="E406" s="47" t="s">
        <v>907</v>
      </c>
      <c r="F406" s="156" t="str">
        <f>HYPERLINK("https://trendtek.republika.co.id/berita/q2n42n368/arkeolog-temukan-candi-bangsa-romawi-kuno-di-italia ","sumber")</f>
        <v>sumber</v>
      </c>
      <c r="G406" s="47" t="s">
        <v>33</v>
      </c>
      <c r="H406" s="47">
        <v>481.0</v>
      </c>
      <c r="I406" s="48"/>
      <c r="J406" s="48"/>
      <c r="K406" s="165"/>
      <c r="L406" s="48"/>
      <c r="M406" s="48"/>
      <c r="N406" s="48"/>
      <c r="O406" s="48"/>
      <c r="P406" s="48"/>
      <c r="Q406" s="48"/>
      <c r="R406" s="48"/>
      <c r="S406" s="165"/>
      <c r="T406" s="48"/>
      <c r="U406" s="48"/>
      <c r="V406" s="48"/>
      <c r="W406" s="48"/>
      <c r="X406" s="48"/>
      <c r="Y406" s="48"/>
      <c r="Z406" s="338"/>
      <c r="AA406" s="51"/>
      <c r="AB406" s="51"/>
      <c r="AC406" s="51"/>
      <c r="AD406" s="51"/>
      <c r="AE406" s="51"/>
      <c r="AF406" s="51"/>
    </row>
    <row r="407">
      <c r="A407" s="231">
        <v>1.0</v>
      </c>
      <c r="B407" s="44" t="s">
        <v>4690</v>
      </c>
      <c r="C407" s="44">
        <v>404.0</v>
      </c>
      <c r="D407" s="44">
        <v>2.0</v>
      </c>
      <c r="E407" s="44" t="s">
        <v>899</v>
      </c>
      <c r="F407" s="162" t="str">
        <f>HYPERLINK("https://www.cnnindonesia.com/nasional/20191221132651-20-458943/pbnu-sebut-pengusiran-haddad-alwi-termasuk-vandalisme ","sumber")</f>
        <v>sumber</v>
      </c>
      <c r="G407" s="44" t="s">
        <v>33</v>
      </c>
      <c r="H407" s="44">
        <v>410.0</v>
      </c>
      <c r="I407" s="44">
        <v>1.0</v>
      </c>
      <c r="J407" s="44">
        <v>4.0</v>
      </c>
      <c r="K407" s="164" t="s">
        <v>4691</v>
      </c>
      <c r="L407" s="44">
        <v>0.0</v>
      </c>
      <c r="M407" s="44">
        <v>-1.0</v>
      </c>
      <c r="N407" s="166">
        <v>0.0</v>
      </c>
      <c r="O407" s="44">
        <v>0.0</v>
      </c>
      <c r="P407" s="44">
        <v>0.0</v>
      </c>
      <c r="Q407" s="44" t="s">
        <v>61</v>
      </c>
      <c r="R407" s="44" t="s">
        <v>192</v>
      </c>
      <c r="S407" s="175"/>
      <c r="T407" s="44">
        <v>0.0</v>
      </c>
      <c r="U407" s="44">
        <v>0.0</v>
      </c>
      <c r="V407" s="44">
        <v>0.0</v>
      </c>
      <c r="W407" s="45"/>
      <c r="X407" s="45"/>
      <c r="Y407" s="45"/>
      <c r="Z407" s="9"/>
      <c r="AA407" s="9"/>
      <c r="AB407" s="9"/>
      <c r="AC407" s="9"/>
      <c r="AD407" s="9"/>
      <c r="AE407" s="9"/>
      <c r="AF407" s="9"/>
    </row>
    <row r="408">
      <c r="A408" s="231">
        <v>1.0</v>
      </c>
      <c r="B408" s="44" t="s">
        <v>4692</v>
      </c>
      <c r="C408" s="44">
        <v>405.0</v>
      </c>
      <c r="D408" s="44">
        <v>8.0</v>
      </c>
      <c r="E408" s="44" t="s">
        <v>902</v>
      </c>
      <c r="F408" s="162" t="str">
        <f>HYPERLINK("https://jabar.suara.com/read/2019/12/22/141118/haddad-alwi-dipersekusi-gara-gara-tanya-kalau-cinta-rasul-angkat-tanganmu ","sumber")</f>
        <v>sumber</v>
      </c>
      <c r="G408" s="44" t="s">
        <v>33</v>
      </c>
      <c r="H408" s="44">
        <v>589.0</v>
      </c>
      <c r="I408" s="44">
        <v>1.0</v>
      </c>
      <c r="J408" s="44">
        <v>4.0</v>
      </c>
      <c r="K408" s="164" t="s">
        <v>4693</v>
      </c>
      <c r="L408" s="44">
        <v>0.0</v>
      </c>
      <c r="M408" s="44">
        <v>-1.0</v>
      </c>
      <c r="N408" s="166">
        <v>0.0</v>
      </c>
      <c r="O408" s="44">
        <v>0.0</v>
      </c>
      <c r="P408" s="44">
        <v>0.0</v>
      </c>
      <c r="Q408" s="44">
        <v>0.0</v>
      </c>
      <c r="R408" s="44">
        <v>-1.0</v>
      </c>
      <c r="S408" s="175"/>
      <c r="T408" s="44">
        <v>0.0</v>
      </c>
      <c r="U408" s="44">
        <v>0.0</v>
      </c>
      <c r="V408" s="44">
        <v>0.0</v>
      </c>
      <c r="W408" s="45"/>
      <c r="X408" s="45"/>
      <c r="Y408" s="45"/>
      <c r="Z408" s="9"/>
      <c r="AA408" s="9"/>
      <c r="AB408" s="9"/>
      <c r="AC408" s="9"/>
      <c r="AD408" s="9"/>
      <c r="AE408" s="9"/>
      <c r="AF408" s="9"/>
    </row>
    <row r="409">
      <c r="A409" s="231">
        <v>1.0</v>
      </c>
      <c r="B409" s="44" t="s">
        <v>901</v>
      </c>
      <c r="C409" s="44">
        <v>406.0</v>
      </c>
      <c r="D409" s="44">
        <v>10.0</v>
      </c>
      <c r="E409" s="44" t="s">
        <v>902</v>
      </c>
      <c r="F409" s="162" t="str">
        <f>HYPERLINK("https://nasional.tempo.co/read/1286593/haddad-alwi-vs-basim-laskah-fpi-ikut-bersalawat ","sumber")</f>
        <v>sumber</v>
      </c>
      <c r="G409" s="44" t="s">
        <v>33</v>
      </c>
      <c r="H409" s="44">
        <v>267.0</v>
      </c>
      <c r="I409" s="44">
        <v>1.0</v>
      </c>
      <c r="J409" s="44">
        <v>4.0</v>
      </c>
      <c r="K409" s="164" t="s">
        <v>4694</v>
      </c>
      <c r="L409" s="44">
        <v>0.0</v>
      </c>
      <c r="M409" s="44">
        <v>1.0</v>
      </c>
      <c r="N409" s="166">
        <v>0.0</v>
      </c>
      <c r="O409" s="44">
        <v>0.0</v>
      </c>
      <c r="P409" s="44">
        <v>0.0</v>
      </c>
      <c r="Q409" s="44" t="s">
        <v>61</v>
      </c>
      <c r="R409" s="44" t="s">
        <v>173</v>
      </c>
      <c r="S409" s="175"/>
      <c r="T409" s="44">
        <v>0.0</v>
      </c>
      <c r="U409" s="44">
        <v>0.0</v>
      </c>
      <c r="V409" s="44">
        <v>0.0</v>
      </c>
      <c r="W409" s="45"/>
      <c r="X409" s="45"/>
      <c r="Y409" s="45"/>
      <c r="Z409" s="9"/>
      <c r="AA409" s="9"/>
      <c r="AB409" s="9"/>
      <c r="AC409" s="9"/>
      <c r="AD409" s="9"/>
      <c r="AE409" s="9"/>
      <c r="AF409" s="9"/>
    </row>
    <row r="410">
      <c r="A410" s="231">
        <v>1.0</v>
      </c>
      <c r="B410" s="44" t="s">
        <v>2712</v>
      </c>
      <c r="C410" s="44">
        <v>407.0</v>
      </c>
      <c r="D410" s="44">
        <v>5.0</v>
      </c>
      <c r="E410" s="44" t="s">
        <v>902</v>
      </c>
      <c r="F410" s="162" t="str">
        <f>HYPERLINK("https://tirto.id/polri-tindak-tegas-aksi-razia-ormas-saat-natal-kok-baru-sekarang-eoie ","sumber")</f>
        <v>sumber</v>
      </c>
      <c r="G410" s="44" t="s">
        <v>33</v>
      </c>
      <c r="H410" s="44">
        <v>370.0</v>
      </c>
      <c r="I410" s="44">
        <v>4.0</v>
      </c>
      <c r="J410" s="44">
        <v>4.0</v>
      </c>
      <c r="K410" s="164" t="s">
        <v>4695</v>
      </c>
      <c r="L410" s="44">
        <v>0.0</v>
      </c>
      <c r="M410" s="44">
        <v>0.0</v>
      </c>
      <c r="N410" s="166">
        <v>0.0</v>
      </c>
      <c r="O410" s="44">
        <v>0.0</v>
      </c>
      <c r="P410" s="44">
        <v>0.0</v>
      </c>
      <c r="Q410" s="44" t="s">
        <v>61</v>
      </c>
      <c r="R410" s="44" t="s">
        <v>192</v>
      </c>
      <c r="S410" s="175"/>
      <c r="T410" s="44">
        <v>0.0</v>
      </c>
      <c r="U410" s="44">
        <v>0.0</v>
      </c>
      <c r="V410" s="44">
        <v>1.0</v>
      </c>
      <c r="W410" s="45"/>
      <c r="X410" s="45"/>
      <c r="Y410" s="45"/>
      <c r="Z410" s="9"/>
      <c r="AA410" s="9"/>
      <c r="AB410" s="9"/>
      <c r="AC410" s="9"/>
      <c r="AD410" s="9"/>
      <c r="AE410" s="9"/>
      <c r="AF410" s="9"/>
    </row>
    <row r="411">
      <c r="A411" s="231">
        <v>1.0</v>
      </c>
      <c r="B411" s="44" t="s">
        <v>4696</v>
      </c>
      <c r="C411" s="44">
        <v>408.0</v>
      </c>
      <c r="D411" s="44">
        <v>4.0</v>
      </c>
      <c r="E411" s="44" t="s">
        <v>1076</v>
      </c>
      <c r="F411" s="162" t="str">
        <f>HYPERLINK("https://www.liputan6.com/news/read/4141486/ucapkan-selamat-natal-warga-beragam-komunitas-kunjungi-gereja-st-theresia ","sumber")</f>
        <v>sumber</v>
      </c>
      <c r="G411" s="44" t="s">
        <v>33</v>
      </c>
      <c r="H411" s="44">
        <v>576.0</v>
      </c>
      <c r="I411" s="44">
        <v>3.0</v>
      </c>
      <c r="J411" s="44">
        <v>4.0</v>
      </c>
      <c r="K411" s="164" t="s">
        <v>4697</v>
      </c>
      <c r="L411" s="44">
        <v>0.0</v>
      </c>
      <c r="M411" s="44">
        <v>0.0</v>
      </c>
      <c r="N411" s="166">
        <v>0.0</v>
      </c>
      <c r="O411" s="44">
        <v>0.0</v>
      </c>
      <c r="P411" s="44">
        <v>0.0</v>
      </c>
      <c r="Q411" s="44" t="s">
        <v>374</v>
      </c>
      <c r="R411" s="44" t="s">
        <v>1058</v>
      </c>
      <c r="S411" s="175"/>
      <c r="T411" s="44">
        <v>0.0</v>
      </c>
      <c r="U411" s="44">
        <v>0.0</v>
      </c>
      <c r="V411" s="44">
        <v>1.0</v>
      </c>
      <c r="W411" s="45"/>
      <c r="X411" s="45"/>
      <c r="Y411" s="45"/>
      <c r="Z411" s="9"/>
      <c r="AA411" s="9"/>
      <c r="AB411" s="9"/>
      <c r="AC411" s="9"/>
      <c r="AD411" s="9"/>
      <c r="AE411" s="9"/>
      <c r="AF411" s="9"/>
    </row>
    <row r="412">
      <c r="A412" s="43">
        <v>2.0</v>
      </c>
      <c r="B412" s="47" t="s">
        <v>4698</v>
      </c>
      <c r="C412" s="47">
        <v>409.0</v>
      </c>
      <c r="D412" s="47">
        <v>7.0</v>
      </c>
      <c r="E412" s="47" t="s">
        <v>1005</v>
      </c>
      <c r="F412" s="156" t="str">
        <f>HYPERLINK("https://www.tribunnews.com/sains/2019/12/27/tiga-peneliti-terpilih-irn-diajak-scientific-tour-ke-singapura ","sumber")</f>
        <v>sumber</v>
      </c>
      <c r="G412" s="47" t="s">
        <v>33</v>
      </c>
      <c r="H412" s="47">
        <v>226.0</v>
      </c>
      <c r="I412" s="48"/>
      <c r="J412" s="48"/>
      <c r="K412" s="165"/>
      <c r="L412" s="48"/>
      <c r="M412" s="48"/>
      <c r="N412" s="48"/>
      <c r="O412" s="48"/>
      <c r="P412" s="48"/>
      <c r="Q412" s="48"/>
      <c r="R412" s="48"/>
      <c r="S412" s="165"/>
      <c r="T412" s="48"/>
      <c r="U412" s="48"/>
      <c r="V412" s="48"/>
      <c r="W412" s="48"/>
      <c r="X412" s="48"/>
      <c r="Y412" s="48"/>
      <c r="Z412" s="338"/>
      <c r="AA412" s="51"/>
      <c r="AB412" s="51"/>
      <c r="AC412" s="51"/>
      <c r="AD412" s="51"/>
      <c r="AE412" s="51"/>
      <c r="AF412" s="51"/>
    </row>
    <row r="413">
      <c r="A413" s="231">
        <v>1.0</v>
      </c>
      <c r="B413" s="44" t="s">
        <v>4699</v>
      </c>
      <c r="C413" s="44">
        <v>410.0</v>
      </c>
      <c r="D413" s="44">
        <v>3.0</v>
      </c>
      <c r="E413" s="268">
        <v>43534.0</v>
      </c>
      <c r="F413" s="162" t="str">
        <f>HYPERLINK("https://news.okezone.com/read/2019/10/02/18/2112147/bocah-usia-12-ngaku-bunuh-gadis-9-tahun-lalu-gantung-jasadnya-di-pohon ","sumber")</f>
        <v>sumber</v>
      </c>
      <c r="G413" s="44" t="s">
        <v>33</v>
      </c>
      <c r="H413" s="44">
        <v>612.0</v>
      </c>
      <c r="I413" s="44">
        <v>1.0</v>
      </c>
      <c r="J413" s="44">
        <v>1.0</v>
      </c>
      <c r="K413" s="164" t="s">
        <v>4700</v>
      </c>
      <c r="L413" s="44">
        <v>0.0</v>
      </c>
      <c r="M413" s="44">
        <v>-1.0</v>
      </c>
      <c r="N413" s="166">
        <v>0.0</v>
      </c>
      <c r="O413" s="44">
        <v>0.0</v>
      </c>
      <c r="P413" s="44">
        <v>0.0</v>
      </c>
      <c r="Q413" s="44" t="s">
        <v>61</v>
      </c>
      <c r="R413" s="44" t="s">
        <v>192</v>
      </c>
      <c r="S413" s="175"/>
      <c r="T413" s="44">
        <v>0.0</v>
      </c>
      <c r="U413" s="44">
        <v>0.0</v>
      </c>
      <c r="V413" s="44">
        <v>0.0</v>
      </c>
      <c r="W413" s="45"/>
      <c r="X413" s="45"/>
      <c r="Y413" s="45"/>
      <c r="Z413" s="9"/>
      <c r="AA413" s="9"/>
      <c r="AB413" s="9"/>
      <c r="AC413" s="9"/>
      <c r="AD413" s="9"/>
      <c r="AE413" s="9"/>
      <c r="AF413" s="9"/>
    </row>
    <row r="414">
      <c r="A414" s="231">
        <v>1.0</v>
      </c>
      <c r="B414" s="44" t="s">
        <v>4701</v>
      </c>
      <c r="C414" s="44">
        <v>411.0</v>
      </c>
      <c r="D414" s="44">
        <v>1.0</v>
      </c>
      <c r="E414" s="268">
        <v>43595.0</v>
      </c>
      <c r="F414" s="162" t="str">
        <f>HYPERLINK("https://news.detik.com/berita-jawa-timur/d-4734785/penyandang-disabilitas-jadi-tokoh-utama-drama-kolosal-peringatan-hut-tni ","sumber")</f>
        <v>sumber</v>
      </c>
      <c r="G414" s="44" t="s">
        <v>33</v>
      </c>
      <c r="H414" s="44">
        <v>366.0</v>
      </c>
      <c r="I414" s="44">
        <v>2.0</v>
      </c>
      <c r="J414" s="44">
        <v>2.0</v>
      </c>
      <c r="K414" s="164" t="s">
        <v>4702</v>
      </c>
      <c r="L414" s="44">
        <v>0.0</v>
      </c>
      <c r="M414" s="44">
        <v>0.0</v>
      </c>
      <c r="N414" s="166">
        <v>0.0</v>
      </c>
      <c r="O414" s="44">
        <v>0.0</v>
      </c>
      <c r="P414" s="44">
        <v>0.0</v>
      </c>
      <c r="Q414" s="44">
        <v>0.0</v>
      </c>
      <c r="R414" s="44">
        <v>0.0</v>
      </c>
      <c r="S414" s="175"/>
      <c r="T414" s="44">
        <v>0.0</v>
      </c>
      <c r="U414" s="44">
        <v>0.0</v>
      </c>
      <c r="V414" s="44">
        <v>0.0</v>
      </c>
      <c r="W414" s="45"/>
      <c r="X414" s="45"/>
      <c r="Y414" s="45"/>
      <c r="Z414" s="9"/>
      <c r="AA414" s="9"/>
      <c r="AB414" s="9"/>
      <c r="AC414" s="9"/>
      <c r="AD414" s="9"/>
      <c r="AE414" s="9"/>
      <c r="AF414" s="9"/>
    </row>
    <row r="415">
      <c r="A415" s="43">
        <v>2.0</v>
      </c>
      <c r="B415" s="47" t="s">
        <v>4703</v>
      </c>
      <c r="C415" s="47">
        <v>412.0</v>
      </c>
      <c r="D415" s="47">
        <v>7.0</v>
      </c>
      <c r="E415" s="280">
        <v>43595.0</v>
      </c>
      <c r="F415" s="156" t="str">
        <f>HYPERLINK("https://www.tribunnews.com/seleb/2019/10/05/the-peanut-butter-falcon-kisah-impian-pria-down-syndrome-yang-jadi-kenyataan ","sumber")</f>
        <v>sumber</v>
      </c>
      <c r="G415" s="47" t="s">
        <v>33</v>
      </c>
      <c r="H415" s="47">
        <v>278.0</v>
      </c>
      <c r="I415" s="48"/>
      <c r="J415" s="48"/>
      <c r="K415" s="165"/>
      <c r="L415" s="48"/>
      <c r="M415" s="48"/>
      <c r="N415" s="48"/>
      <c r="O415" s="48"/>
      <c r="P415" s="48"/>
      <c r="Q415" s="48"/>
      <c r="R415" s="48"/>
      <c r="S415" s="165"/>
      <c r="T415" s="48"/>
      <c r="U415" s="48"/>
      <c r="V415" s="48"/>
      <c r="W415" s="48"/>
      <c r="X415" s="48"/>
      <c r="Y415" s="48"/>
      <c r="Z415" s="338"/>
      <c r="AA415" s="51"/>
      <c r="AB415" s="51"/>
      <c r="AC415" s="51"/>
      <c r="AD415" s="51"/>
      <c r="AE415" s="51"/>
      <c r="AF415" s="51"/>
    </row>
    <row r="416">
      <c r="A416" s="231">
        <v>1.0</v>
      </c>
      <c r="B416" s="44" t="s">
        <v>4704</v>
      </c>
      <c r="C416" s="44">
        <v>413.0</v>
      </c>
      <c r="D416" s="44">
        <v>2.0</v>
      </c>
      <c r="E416" s="268">
        <v>43656.0</v>
      </c>
      <c r="F416" s="162" t="str">
        <f>HYPERLINK("https://www.cnnindonesia.com/internasional/20191007144718-134-437464/pelaku-penikaman-di-paris-diduga-terlibat-gerakan-salafi ","sumber")</f>
        <v>sumber</v>
      </c>
      <c r="G416" s="44" t="s">
        <v>33</v>
      </c>
      <c r="H416" s="44">
        <v>344.0</v>
      </c>
      <c r="I416" s="44">
        <v>1.0</v>
      </c>
      <c r="J416" s="44">
        <v>2.0</v>
      </c>
      <c r="K416" s="164"/>
      <c r="L416" s="44">
        <v>0.0</v>
      </c>
      <c r="M416" s="44">
        <v>-1.0</v>
      </c>
      <c r="N416" s="166">
        <v>0.0</v>
      </c>
      <c r="O416" s="44">
        <v>0.0</v>
      </c>
      <c r="P416" s="44">
        <v>0.0</v>
      </c>
      <c r="Q416" s="44"/>
      <c r="R416" s="44"/>
      <c r="S416" s="175"/>
      <c r="T416" s="44">
        <v>0.0</v>
      </c>
      <c r="U416" s="44">
        <v>0.0</v>
      </c>
      <c r="V416" s="44">
        <v>0.0</v>
      </c>
      <c r="W416" s="45"/>
      <c r="X416" s="45"/>
      <c r="Y416" s="45"/>
      <c r="Z416" s="9"/>
      <c r="AA416" s="9"/>
      <c r="AB416" s="9"/>
      <c r="AC416" s="9"/>
      <c r="AD416" s="9"/>
      <c r="AE416" s="9"/>
      <c r="AF416" s="9"/>
    </row>
    <row r="417">
      <c r="A417" s="231">
        <v>1.0</v>
      </c>
      <c r="B417" s="44" t="s">
        <v>3879</v>
      </c>
      <c r="C417" s="44">
        <v>414.0</v>
      </c>
      <c r="D417" s="44">
        <v>3.0</v>
      </c>
      <c r="E417" s="268">
        <v>43656.0</v>
      </c>
      <c r="F417" s="162" t="str">
        <f>HYPERLINK("https://lifestyle.okezone.com/read/2019/10/07/481/2113936/banyak-pasien-gangguan-jiwa-bunuh-diri-meski-sudah-terapi-kenapa ","sumber")</f>
        <v>sumber</v>
      </c>
      <c r="G417" s="44" t="s">
        <v>33</v>
      </c>
      <c r="H417" s="44">
        <v>390.0</v>
      </c>
      <c r="I417" s="44">
        <v>4.0</v>
      </c>
      <c r="J417" s="44">
        <v>2.0</v>
      </c>
      <c r="K417" s="164" t="s">
        <v>4705</v>
      </c>
      <c r="L417" s="44">
        <v>0.0</v>
      </c>
      <c r="M417" s="44">
        <v>0.0</v>
      </c>
      <c r="N417" s="166">
        <v>0.0</v>
      </c>
      <c r="O417" s="44">
        <v>0.0</v>
      </c>
      <c r="P417" s="44">
        <v>0.0</v>
      </c>
      <c r="Q417" s="44">
        <v>0.0</v>
      </c>
      <c r="R417" s="44">
        <v>1.0</v>
      </c>
      <c r="S417" s="175"/>
      <c r="T417" s="44">
        <v>0.0</v>
      </c>
      <c r="U417" s="44">
        <v>0.0</v>
      </c>
      <c r="V417" s="44">
        <v>1.0</v>
      </c>
      <c r="W417" s="45"/>
      <c r="X417" s="45"/>
      <c r="Y417" s="45"/>
      <c r="Z417" s="9"/>
      <c r="AA417" s="9"/>
      <c r="AB417" s="9"/>
      <c r="AC417" s="9"/>
      <c r="AD417" s="9"/>
      <c r="AE417" s="9"/>
      <c r="AF417" s="9"/>
    </row>
    <row r="418">
      <c r="A418" s="43">
        <v>2.0</v>
      </c>
      <c r="B418" s="47" t="s">
        <v>4706</v>
      </c>
      <c r="C418" s="47">
        <v>415.0</v>
      </c>
      <c r="D418" s="47">
        <v>7.0</v>
      </c>
      <c r="E418" s="280">
        <v>43656.0</v>
      </c>
      <c r="F418" s="156" t="str">
        <f>HYPERLINK("https://www.tribunnews.com/internasional/2019/10/07/kisah-ibu-jual-anaknya-yang-berumur-2-tahun-demi-mobil-sport-malah-kena-denda-rp-500-juta ","sumber")</f>
        <v>sumber</v>
      </c>
      <c r="G418" s="47" t="s">
        <v>33</v>
      </c>
      <c r="H418" s="47">
        <v>200.0</v>
      </c>
      <c r="I418" s="48"/>
      <c r="J418" s="48"/>
      <c r="K418" s="165"/>
      <c r="L418" s="48"/>
      <c r="M418" s="48"/>
      <c r="N418" s="48"/>
      <c r="O418" s="48"/>
      <c r="P418" s="48"/>
      <c r="Q418" s="48"/>
      <c r="R418" s="48"/>
      <c r="S418" s="165"/>
      <c r="T418" s="48"/>
      <c r="U418" s="48"/>
      <c r="V418" s="48"/>
      <c r="W418" s="48"/>
      <c r="X418" s="48"/>
      <c r="Y418" s="48"/>
      <c r="Z418" s="338"/>
      <c r="AA418" s="51"/>
      <c r="AB418" s="51"/>
      <c r="AC418" s="51"/>
      <c r="AD418" s="51"/>
      <c r="AE418" s="51"/>
      <c r="AF418" s="51"/>
    </row>
    <row r="419">
      <c r="A419" s="43">
        <v>2.0</v>
      </c>
      <c r="B419" s="47" t="s">
        <v>4707</v>
      </c>
      <c r="C419" s="47">
        <v>416.0</v>
      </c>
      <c r="D419" s="47">
        <v>2.0</v>
      </c>
      <c r="E419" s="280">
        <v>43687.0</v>
      </c>
      <c r="F419" s="156" t="str">
        <f>HYPERLINK("https://www.cnnindonesia.com/internasional/20191008161226-106-437800/jurnalis-ditembak-indonesia-masih-tunggu-jawaban-hong-kong ","sumber")</f>
        <v>sumber</v>
      </c>
      <c r="G419" s="47" t="s">
        <v>33</v>
      </c>
      <c r="H419" s="47">
        <v>292.0</v>
      </c>
      <c r="I419" s="48"/>
      <c r="J419" s="48"/>
      <c r="K419" s="165"/>
      <c r="L419" s="48"/>
      <c r="M419" s="48"/>
      <c r="N419" s="48"/>
      <c r="O419" s="48"/>
      <c r="P419" s="48"/>
      <c r="Q419" s="48"/>
      <c r="R419" s="48"/>
      <c r="S419" s="165"/>
      <c r="T419" s="48"/>
      <c r="U419" s="48"/>
      <c r="V419" s="48"/>
      <c r="W419" s="48"/>
      <c r="X419" s="48"/>
      <c r="Y419" s="48"/>
      <c r="Z419" s="338"/>
      <c r="AA419" s="51"/>
      <c r="AB419" s="51"/>
      <c r="AC419" s="51"/>
      <c r="AD419" s="51"/>
      <c r="AE419" s="51"/>
      <c r="AF419" s="51"/>
    </row>
    <row r="420">
      <c r="A420" s="231">
        <v>1.0</v>
      </c>
      <c r="B420" s="44" t="s">
        <v>4708</v>
      </c>
      <c r="C420" s="44">
        <v>417.0</v>
      </c>
      <c r="D420" s="44">
        <v>1.0</v>
      </c>
      <c r="E420" s="268">
        <v>43687.0</v>
      </c>
      <c r="F420" s="162" t="str">
        <f>HYPERLINK("https://health.detik.com/berita-detikhealth/d-4738443/beragam-manfaat-ganja-medis-yang-pernah-diteliti-obat-kanker-hingga-autoimun ","sumber")</f>
        <v>sumber</v>
      </c>
      <c r="G420" s="44" t="s">
        <v>33</v>
      </c>
      <c r="H420" s="44">
        <v>365.0</v>
      </c>
      <c r="I420" s="44">
        <v>4.0</v>
      </c>
      <c r="J420" s="44">
        <v>2.0</v>
      </c>
      <c r="K420" s="164" t="s">
        <v>4709</v>
      </c>
      <c r="L420" s="44">
        <v>-1.0</v>
      </c>
      <c r="M420" s="44">
        <v>0.0</v>
      </c>
      <c r="N420" s="166">
        <v>0.0</v>
      </c>
      <c r="O420" s="44">
        <v>0.0</v>
      </c>
      <c r="P420" s="44">
        <v>0.0</v>
      </c>
      <c r="Q420" s="44">
        <v>0.0</v>
      </c>
      <c r="R420" s="44">
        <v>1.0</v>
      </c>
      <c r="S420" s="175"/>
      <c r="T420" s="44">
        <v>0.0</v>
      </c>
      <c r="U420" s="44">
        <v>0.0</v>
      </c>
      <c r="V420" s="44">
        <v>1.0</v>
      </c>
      <c r="W420" s="45"/>
      <c r="X420" s="45"/>
      <c r="Y420" s="45"/>
      <c r="Z420" s="9"/>
      <c r="AA420" s="9"/>
      <c r="AB420" s="9"/>
      <c r="AC420" s="9"/>
      <c r="AD420" s="9"/>
      <c r="AE420" s="9"/>
      <c r="AF420" s="9"/>
    </row>
    <row r="421">
      <c r="A421" s="231">
        <v>1.0</v>
      </c>
      <c r="B421" s="44" t="s">
        <v>4710</v>
      </c>
      <c r="C421" s="44">
        <v>418.0</v>
      </c>
      <c r="D421" s="44">
        <v>7.0</v>
      </c>
      <c r="E421" s="268">
        <v>43687.0</v>
      </c>
      <c r="F421" s="162" t="str">
        <f>HYPERLINK("https://www.tribunnews.com/regional/2019/10/08/diduga-kehabisan-obat-gangguan-jiwa-pria-di-gresik-ini-tega-bacok-istri-dan-tewaskan-menantu ","sumber")</f>
        <v>sumber</v>
      </c>
      <c r="G421" s="44" t="s">
        <v>33</v>
      </c>
      <c r="H421" s="44">
        <v>102.0</v>
      </c>
      <c r="I421" s="44">
        <v>1.0</v>
      </c>
      <c r="J421" s="44">
        <v>2.0</v>
      </c>
      <c r="K421" s="164" t="s">
        <v>4711</v>
      </c>
      <c r="L421" s="44">
        <v>0.0</v>
      </c>
      <c r="M421" s="44">
        <v>1.0</v>
      </c>
      <c r="N421" s="44">
        <v>-1.0</v>
      </c>
      <c r="O421" s="44">
        <v>0.0</v>
      </c>
      <c r="P421" s="44">
        <v>-1.0</v>
      </c>
      <c r="Q421" s="44" t="s">
        <v>202</v>
      </c>
      <c r="R421" s="44" t="s">
        <v>4712</v>
      </c>
      <c r="S421" s="175"/>
      <c r="T421" s="44">
        <v>0.0</v>
      </c>
      <c r="U421" s="44">
        <v>0.0</v>
      </c>
      <c r="V421" s="44">
        <v>0.0</v>
      </c>
      <c r="W421" s="45"/>
      <c r="X421" s="45"/>
      <c r="Y421" s="45"/>
      <c r="Z421" s="9"/>
      <c r="AA421" s="9"/>
      <c r="AB421" s="9"/>
      <c r="AC421" s="9"/>
      <c r="AD421" s="9"/>
      <c r="AE421" s="9"/>
      <c r="AF421" s="9"/>
    </row>
    <row r="422">
      <c r="A422" s="231">
        <v>1.0</v>
      </c>
      <c r="B422" s="44" t="s">
        <v>4713</v>
      </c>
      <c r="C422" s="44">
        <v>419.0</v>
      </c>
      <c r="D422" s="44">
        <v>8.0</v>
      </c>
      <c r="E422" s="268">
        <v>43718.0</v>
      </c>
      <c r="F422" s="162" t="str">
        <f>HYPERLINK("https://www.suara.com/health/2019/10/09/183500/aku-tertawa-di-pemakaman-nenek-kisah-nyata-pengidap-pba-seperti-joker ","sumber")</f>
        <v>sumber</v>
      </c>
      <c r="G422" s="44" t="s">
        <v>33</v>
      </c>
      <c r="H422" s="44">
        <v>209.0</v>
      </c>
      <c r="I422" s="44">
        <v>2.0</v>
      </c>
      <c r="J422" s="44">
        <v>2.0</v>
      </c>
      <c r="K422" s="164" t="s">
        <v>4714</v>
      </c>
      <c r="L422" s="44">
        <v>-1.0</v>
      </c>
      <c r="M422" s="44">
        <v>0.0</v>
      </c>
      <c r="N422" s="166">
        <v>0.0</v>
      </c>
      <c r="O422" s="44">
        <v>0.0</v>
      </c>
      <c r="P422" s="44">
        <v>0.0</v>
      </c>
      <c r="Q422" s="44">
        <v>2.0</v>
      </c>
      <c r="R422" s="44">
        <v>1.0</v>
      </c>
      <c r="S422" s="175"/>
      <c r="T422" s="44">
        <v>0.0</v>
      </c>
      <c r="U422" s="44">
        <v>0.0</v>
      </c>
      <c r="V422" s="44">
        <v>1.0</v>
      </c>
      <c r="W422" s="45"/>
      <c r="X422" s="45"/>
      <c r="Y422" s="45"/>
      <c r="Z422" s="9"/>
      <c r="AA422" s="9"/>
      <c r="AB422" s="9"/>
      <c r="AC422" s="9"/>
      <c r="AD422" s="9"/>
      <c r="AE422" s="9"/>
      <c r="AF422" s="9"/>
    </row>
    <row r="423">
      <c r="A423" s="231">
        <v>1.0</v>
      </c>
      <c r="B423" s="44" t="s">
        <v>4715</v>
      </c>
      <c r="C423" s="44">
        <v>420.0</v>
      </c>
      <c r="D423" s="44">
        <v>6.0</v>
      </c>
      <c r="E423" s="355">
        <v>43748.0</v>
      </c>
      <c r="F423" s="162" t="str">
        <f>HYPERLINK("https://megapolitan.kompas.com/read/2019/10/10/08121531/usai-terima-somasi-bpjs-kesehatan-hapus-foto-joker-di-facebook ","sumber")</f>
        <v>sumber</v>
      </c>
      <c r="G423" s="44" t="s">
        <v>33</v>
      </c>
      <c r="H423" s="44">
        <v>172.0</v>
      </c>
      <c r="I423" s="44">
        <v>1.0</v>
      </c>
      <c r="J423" s="44">
        <v>2.0</v>
      </c>
      <c r="K423" s="164" t="s">
        <v>4716</v>
      </c>
      <c r="L423" s="44">
        <v>0.0</v>
      </c>
      <c r="M423" s="44">
        <v>1.0</v>
      </c>
      <c r="N423" s="166">
        <v>0.0</v>
      </c>
      <c r="O423" s="44">
        <v>0.0</v>
      </c>
      <c r="P423" s="44">
        <v>0.0</v>
      </c>
      <c r="Q423" s="44" t="s">
        <v>214</v>
      </c>
      <c r="R423" s="44" t="s">
        <v>192</v>
      </c>
      <c r="S423" s="175"/>
      <c r="T423" s="44">
        <v>0.0</v>
      </c>
      <c r="U423" s="44">
        <v>0.0</v>
      </c>
      <c r="V423" s="44">
        <v>0.0</v>
      </c>
      <c r="W423" s="45"/>
      <c r="X423" s="45"/>
      <c r="Y423" s="45"/>
      <c r="Z423" s="9"/>
      <c r="AA423" s="9"/>
      <c r="AB423" s="9"/>
      <c r="AC423" s="9"/>
      <c r="AD423" s="9"/>
      <c r="AE423" s="9"/>
      <c r="AF423" s="9"/>
    </row>
    <row r="424">
      <c r="A424" s="231">
        <v>1.0</v>
      </c>
      <c r="B424" s="44" t="s">
        <v>4717</v>
      </c>
      <c r="C424" s="44">
        <v>421.0</v>
      </c>
      <c r="D424" s="44">
        <v>2.0</v>
      </c>
      <c r="E424" s="44" t="s">
        <v>932</v>
      </c>
      <c r="F424" s="162" t="str">
        <f>HYPERLINK("https://www.cnnindonesia.com/nasional/20191118191203-12-449464/pembina-pramuka-cabuli-15-siswa-divonis-kebiri-kimia ","sumber")</f>
        <v>sumber</v>
      </c>
      <c r="G424" s="44" t="s">
        <v>33</v>
      </c>
      <c r="H424" s="44">
        <v>389.0</v>
      </c>
      <c r="I424" s="44">
        <v>1.0</v>
      </c>
      <c r="J424" s="44">
        <v>1.0</v>
      </c>
      <c r="K424" s="164" t="s">
        <v>4718</v>
      </c>
      <c r="L424" s="44">
        <v>0.0</v>
      </c>
      <c r="M424" s="44">
        <v>1.0</v>
      </c>
      <c r="N424" s="166">
        <v>0.0</v>
      </c>
      <c r="O424" s="44">
        <v>0.0</v>
      </c>
      <c r="P424" s="44">
        <v>0.0</v>
      </c>
      <c r="Q424" s="44" t="s">
        <v>61</v>
      </c>
      <c r="R424" s="44" t="s">
        <v>61</v>
      </c>
      <c r="S424" s="175"/>
      <c r="T424" s="44">
        <v>0.0</v>
      </c>
      <c r="U424" s="44">
        <v>0.0</v>
      </c>
      <c r="V424" s="44">
        <v>0.0</v>
      </c>
      <c r="W424" s="45"/>
      <c r="X424" s="45"/>
      <c r="Y424" s="45"/>
      <c r="Z424" s="9"/>
      <c r="AA424" s="9"/>
      <c r="AB424" s="9"/>
      <c r="AC424" s="9"/>
      <c r="AD424" s="9"/>
      <c r="AE424" s="9"/>
      <c r="AF424" s="9"/>
    </row>
    <row r="425">
      <c r="A425" s="231">
        <v>1.0</v>
      </c>
      <c r="B425" s="44" t="s">
        <v>4719</v>
      </c>
      <c r="C425" s="44">
        <v>422.0</v>
      </c>
      <c r="D425" s="44">
        <v>7.0</v>
      </c>
      <c r="E425" s="44" t="s">
        <v>932</v>
      </c>
      <c r="F425" s="162" t="str">
        <f>HYPERLINK("https://www.tribunnews.com/nasional/2019/11/18/begini-contoh-surat-lamaran-cpns-kemenkumham-2019-buat-lulusan-sma-d3-s1-dan-s2 ","sumber")</f>
        <v>sumber</v>
      </c>
      <c r="G425" s="44" t="s">
        <v>33</v>
      </c>
      <c r="H425" s="44">
        <v>284.0</v>
      </c>
      <c r="I425" s="44">
        <v>4.0</v>
      </c>
      <c r="J425" s="44">
        <v>2.0</v>
      </c>
      <c r="K425" s="164"/>
      <c r="L425" s="44">
        <v>0.0</v>
      </c>
      <c r="M425" s="44">
        <v>0.0</v>
      </c>
      <c r="N425" s="166">
        <v>0.0</v>
      </c>
      <c r="O425" s="44">
        <v>0.0</v>
      </c>
      <c r="P425" s="44">
        <v>0.0</v>
      </c>
      <c r="Q425" s="44"/>
      <c r="R425" s="44"/>
      <c r="S425" s="175"/>
      <c r="T425" s="44">
        <v>0.0</v>
      </c>
      <c r="U425" s="44">
        <v>0.0</v>
      </c>
      <c r="V425" s="44">
        <v>1.0</v>
      </c>
      <c r="W425" s="45"/>
      <c r="X425" s="45"/>
      <c r="Y425" s="45"/>
      <c r="Z425" s="9"/>
      <c r="AA425" s="9"/>
      <c r="AB425" s="9"/>
      <c r="AC425" s="9"/>
      <c r="AD425" s="9"/>
      <c r="AE425" s="9"/>
      <c r="AF425" s="9"/>
    </row>
    <row r="426">
      <c r="A426" s="43">
        <v>2.0</v>
      </c>
      <c r="B426" s="47" t="s">
        <v>4720</v>
      </c>
      <c r="C426" s="47">
        <v>423.0</v>
      </c>
      <c r="D426" s="47">
        <v>10.0</v>
      </c>
      <c r="E426" s="47" t="s">
        <v>936</v>
      </c>
      <c r="F426" s="156" t="str">
        <f>HYPERLINK("https://bisnis.tempo.co/read/1274203/di-balik-kisah-viral-pramugara-lion-air-suapi-penumpang-lansia ","sumber")</f>
        <v>sumber</v>
      </c>
      <c r="G426" s="47" t="s">
        <v>33</v>
      </c>
      <c r="H426" s="47">
        <v>238.0</v>
      </c>
      <c r="I426" s="48"/>
      <c r="J426" s="48"/>
      <c r="K426" s="165"/>
      <c r="L426" s="48"/>
      <c r="M426" s="48"/>
      <c r="N426" s="48"/>
      <c r="O426" s="48"/>
      <c r="P426" s="48"/>
      <c r="Q426" s="48"/>
      <c r="R426" s="48"/>
      <c r="S426" s="165"/>
      <c r="T426" s="48"/>
      <c r="U426" s="48"/>
      <c r="V426" s="48"/>
      <c r="W426" s="48"/>
      <c r="X426" s="48"/>
      <c r="Y426" s="48"/>
      <c r="Z426" s="338"/>
      <c r="AA426" s="51"/>
      <c r="AB426" s="51"/>
      <c r="AC426" s="51"/>
      <c r="AD426" s="51"/>
      <c r="AE426" s="51"/>
      <c r="AF426" s="51"/>
    </row>
    <row r="427">
      <c r="A427" s="231">
        <v>1.0</v>
      </c>
      <c r="B427" s="44" t="s">
        <v>4721</v>
      </c>
      <c r="C427" s="44">
        <v>424.0</v>
      </c>
      <c r="D427" s="44">
        <v>5.0</v>
      </c>
      <c r="E427" s="44" t="s">
        <v>882</v>
      </c>
      <c r="F427" s="162" t="str">
        <f>HYPERLINK("https://tirto.id/ombudsman-ri-kritik-persyaratan-cpns-yang-diskriminasif-el1U ","sumber")</f>
        <v>sumber</v>
      </c>
      <c r="G427" s="44" t="s">
        <v>33</v>
      </c>
      <c r="H427" s="44">
        <v>378.0</v>
      </c>
      <c r="I427" s="44">
        <v>4.0</v>
      </c>
      <c r="J427" s="44">
        <v>3.0</v>
      </c>
      <c r="K427" s="164" t="s">
        <v>4722</v>
      </c>
      <c r="L427" s="44">
        <v>0.0</v>
      </c>
      <c r="M427" s="44">
        <v>0.0</v>
      </c>
      <c r="N427" s="166">
        <v>0.0</v>
      </c>
      <c r="O427" s="44">
        <v>0.0</v>
      </c>
      <c r="P427" s="44">
        <v>0.0</v>
      </c>
      <c r="Q427" s="44">
        <v>0.0</v>
      </c>
      <c r="R427" s="44">
        <v>1.0</v>
      </c>
      <c r="S427" s="175"/>
      <c r="T427" s="44">
        <v>0.0</v>
      </c>
      <c r="U427" s="44">
        <v>0.0</v>
      </c>
      <c r="V427" s="44">
        <v>1.0</v>
      </c>
      <c r="W427" s="45"/>
      <c r="X427" s="45"/>
      <c r="Y427" s="45"/>
      <c r="Z427" s="9"/>
      <c r="AA427" s="9"/>
      <c r="AB427" s="9"/>
      <c r="AC427" s="9"/>
      <c r="AD427" s="9"/>
      <c r="AE427" s="9"/>
      <c r="AF427" s="9"/>
    </row>
    <row r="428">
      <c r="A428" s="231">
        <v>1.0</v>
      </c>
      <c r="B428" s="44" t="s">
        <v>4723</v>
      </c>
      <c r="C428" s="44">
        <v>425.0</v>
      </c>
      <c r="D428" s="44">
        <v>7.0</v>
      </c>
      <c r="E428" s="44" t="s">
        <v>882</v>
      </c>
      <c r="F428" s="162" t="str">
        <f>HYPERLINK("https://www.tribunnews.com/internasional/2019/11/20/20-november-diperingarti-sebagai-hari-anak-universal-apa-bedanya-dengan-hari-anak-internasional ","sumber")</f>
        <v>sumber</v>
      </c>
      <c r="G428" s="44" t="s">
        <v>33</v>
      </c>
      <c r="H428" s="44">
        <v>146.0</v>
      </c>
      <c r="I428" s="44">
        <v>3.0</v>
      </c>
      <c r="J428" s="44">
        <v>2.0</v>
      </c>
      <c r="K428" s="164"/>
      <c r="L428" s="44">
        <v>-1.0</v>
      </c>
      <c r="M428" s="44">
        <v>0.0</v>
      </c>
      <c r="N428" s="166">
        <v>0.0</v>
      </c>
      <c r="O428" s="44">
        <v>0.0</v>
      </c>
      <c r="P428" s="44">
        <v>0.0</v>
      </c>
      <c r="Q428" s="44"/>
      <c r="R428" s="44"/>
      <c r="S428" s="175"/>
      <c r="T428" s="44">
        <v>0.0</v>
      </c>
      <c r="U428" s="44">
        <v>0.0</v>
      </c>
      <c r="V428" s="44">
        <v>1.0</v>
      </c>
      <c r="W428" s="45"/>
      <c r="X428" s="45"/>
      <c r="Y428" s="45"/>
      <c r="Z428" s="9"/>
      <c r="AA428" s="9"/>
      <c r="AB428" s="9"/>
      <c r="AC428" s="9"/>
      <c r="AD428" s="9"/>
      <c r="AE428" s="9"/>
      <c r="AF428" s="9"/>
    </row>
    <row r="429">
      <c r="A429" s="231">
        <v>1.0</v>
      </c>
      <c r="B429" s="44" t="s">
        <v>3895</v>
      </c>
      <c r="C429" s="44">
        <v>426.0</v>
      </c>
      <c r="D429" s="44">
        <v>1.0</v>
      </c>
      <c r="E429" s="44" t="s">
        <v>944</v>
      </c>
      <c r="F429" s="162" t="str">
        <f>HYPERLINK("https://health.detik.com/berita-detikhealth/d-4792539/tak-perlu-malu-punya-anak-autis-ini-pesan-dian-sastrowardoyo ","sumber")</f>
        <v>sumber</v>
      </c>
      <c r="G429" s="44" t="s">
        <v>33</v>
      </c>
      <c r="H429" s="44">
        <v>277.0</v>
      </c>
      <c r="I429" s="44">
        <v>2.0</v>
      </c>
      <c r="J429" s="44">
        <v>2.0</v>
      </c>
      <c r="K429" s="164" t="s">
        <v>4724</v>
      </c>
      <c r="L429" s="44">
        <v>0.0</v>
      </c>
      <c r="M429" s="44">
        <v>0.0</v>
      </c>
      <c r="N429" s="166">
        <v>0.0</v>
      </c>
      <c r="O429" s="44">
        <v>0.0</v>
      </c>
      <c r="P429" s="44">
        <v>0.0</v>
      </c>
      <c r="Q429" s="44">
        <v>0.0</v>
      </c>
      <c r="R429" s="44">
        <v>1.0</v>
      </c>
      <c r="S429" s="175"/>
      <c r="T429" s="44">
        <v>0.0</v>
      </c>
      <c r="U429" s="44">
        <v>0.0</v>
      </c>
      <c r="V429" s="44">
        <v>1.0</v>
      </c>
      <c r="W429" s="45"/>
      <c r="X429" s="45"/>
      <c r="Y429" s="45"/>
      <c r="Z429" s="9"/>
      <c r="AA429" s="9"/>
      <c r="AB429" s="9"/>
      <c r="AC429" s="9"/>
      <c r="AD429" s="9"/>
      <c r="AE429" s="9"/>
      <c r="AF429" s="9"/>
    </row>
    <row r="430">
      <c r="A430" s="189">
        <v>1.0</v>
      </c>
      <c r="B430" s="245" t="s">
        <v>4725</v>
      </c>
      <c r="C430" s="55">
        <v>427.0</v>
      </c>
      <c r="D430" s="55">
        <v>3.0</v>
      </c>
      <c r="E430" s="55" t="s">
        <v>944</v>
      </c>
      <c r="F430" s="171" t="str">
        <f>HYPERLINK("https://index.okezone.com/read/2019/11/21/612/2132853/dari-ria-ricis-hingga-nikita-mirzani-pamer-saldo-atm-tanda-gangguan-jiwa","sumber")</f>
        <v>sumber</v>
      </c>
      <c r="G430" s="55" t="s">
        <v>33</v>
      </c>
      <c r="H430" s="55">
        <v>671.0</v>
      </c>
      <c r="I430" s="55">
        <v>5.0</v>
      </c>
      <c r="J430" s="55">
        <v>2.0</v>
      </c>
      <c r="K430" s="172" t="s">
        <v>4726</v>
      </c>
      <c r="L430" s="55">
        <v>0.0</v>
      </c>
      <c r="M430" s="55">
        <v>0.0</v>
      </c>
      <c r="N430" s="173">
        <v>0.0</v>
      </c>
      <c r="O430" s="55">
        <v>0.0</v>
      </c>
      <c r="P430" s="55">
        <v>0.0</v>
      </c>
      <c r="Q430" s="55">
        <v>0.0</v>
      </c>
      <c r="R430" s="55">
        <v>1.0</v>
      </c>
      <c r="S430" s="174"/>
      <c r="T430" s="55">
        <v>0.0</v>
      </c>
      <c r="U430" s="55">
        <v>0.0</v>
      </c>
      <c r="V430" s="55">
        <v>1.0</v>
      </c>
      <c r="W430" s="46"/>
      <c r="X430" s="46"/>
      <c r="Y430" s="46"/>
      <c r="Z430" s="31"/>
      <c r="AA430" s="31"/>
      <c r="AB430" s="31"/>
      <c r="AC430" s="31"/>
      <c r="AD430" s="31"/>
      <c r="AE430" s="31"/>
      <c r="AF430" s="31"/>
    </row>
    <row r="431">
      <c r="A431" s="43">
        <v>2.0</v>
      </c>
      <c r="B431" s="47" t="s">
        <v>4727</v>
      </c>
      <c r="C431" s="47">
        <v>428.0</v>
      </c>
      <c r="D431" s="47">
        <v>4.0</v>
      </c>
      <c r="E431" s="47" t="s">
        <v>884</v>
      </c>
      <c r="F431" s="156" t="str">
        <f>HYPERLINK("https://www.liputan6.com/news/read/4117188/stafsus-milenial-pdip-sebut-jokowi-hadirkan-ekonomi-kerakyatan-berbasis-inovasi ","sumber")</f>
        <v>sumber</v>
      </c>
      <c r="G431" s="47" t="s">
        <v>33</v>
      </c>
      <c r="H431" s="47">
        <v>326.0</v>
      </c>
      <c r="I431" s="48"/>
      <c r="J431" s="48"/>
      <c r="K431" s="165"/>
      <c r="L431" s="48"/>
      <c r="M431" s="48"/>
      <c r="N431" s="48"/>
      <c r="O431" s="48"/>
      <c r="P431" s="48"/>
      <c r="Q431" s="48"/>
      <c r="R431" s="48"/>
      <c r="S431" s="165"/>
      <c r="T431" s="48"/>
      <c r="U431" s="48"/>
      <c r="V431" s="48"/>
      <c r="W431" s="48"/>
      <c r="X431" s="48"/>
      <c r="Y431" s="48"/>
      <c r="Z431" s="338"/>
      <c r="AA431" s="51"/>
      <c r="AB431" s="51"/>
      <c r="AC431" s="51"/>
      <c r="AD431" s="51"/>
      <c r="AE431" s="51"/>
      <c r="AF431" s="51"/>
    </row>
    <row r="432" ht="14.25" customHeight="1">
      <c r="A432" s="43">
        <v>2.0</v>
      </c>
      <c r="B432" s="47" t="s">
        <v>4728</v>
      </c>
      <c r="C432" s="47">
        <v>429.0</v>
      </c>
      <c r="D432" s="47">
        <v>4.0</v>
      </c>
      <c r="E432" s="47" t="s">
        <v>950</v>
      </c>
      <c r="F432" s="156" t="str">
        <f>HYPERLINK("https://www.liputan6.com/global/read/4117145/bahan-makanan-warga-jawa-timur-tercemar-limbah-plastik-australia-jadi-sorotan ","sumber")</f>
        <v>sumber</v>
      </c>
      <c r="G432" s="47" t="s">
        <v>33</v>
      </c>
      <c r="H432" s="47">
        <v>808.0</v>
      </c>
      <c r="I432" s="48"/>
      <c r="J432" s="48"/>
      <c r="K432" s="165"/>
      <c r="L432" s="48"/>
      <c r="M432" s="48"/>
      <c r="N432" s="48"/>
      <c r="O432" s="48"/>
      <c r="P432" s="48"/>
      <c r="Q432" s="48"/>
      <c r="R432" s="48"/>
      <c r="S432" s="165"/>
      <c r="T432" s="48"/>
      <c r="U432" s="48"/>
      <c r="V432" s="48"/>
      <c r="W432" s="48"/>
      <c r="X432" s="48"/>
      <c r="Y432" s="48"/>
      <c r="Z432" s="338"/>
      <c r="AA432" s="51"/>
      <c r="AB432" s="51"/>
      <c r="AC432" s="51"/>
      <c r="AD432" s="51"/>
      <c r="AE432" s="51"/>
      <c r="AF432" s="51"/>
    </row>
    <row r="433">
      <c r="A433" s="189">
        <v>1.0</v>
      </c>
      <c r="B433" s="245" t="s">
        <v>4729</v>
      </c>
      <c r="C433" s="55">
        <v>430.0</v>
      </c>
      <c r="D433" s="55">
        <v>2.0</v>
      </c>
      <c r="E433" s="55" t="s">
        <v>958</v>
      </c>
      <c r="F433" s="171" t="str">
        <f>HYPERLINK("https://www.cnnindonesia.com/teknologi/20191122103644-190-450535/cara-spesial-driver-grab-tunarungu-pahami-pelanggan","sumber")</f>
        <v>sumber</v>
      </c>
      <c r="G433" s="55" t="s">
        <v>33</v>
      </c>
      <c r="H433" s="55">
        <v>299.0</v>
      </c>
      <c r="I433" s="55">
        <v>4.0</v>
      </c>
      <c r="J433" s="55">
        <v>1.0</v>
      </c>
      <c r="K433" s="172" t="s">
        <v>4730</v>
      </c>
      <c r="L433" s="55">
        <v>0.0</v>
      </c>
      <c r="M433" s="55">
        <v>0.0</v>
      </c>
      <c r="N433" s="173">
        <v>0.0</v>
      </c>
      <c r="O433" s="55">
        <v>0.0</v>
      </c>
      <c r="P433" s="55">
        <v>0.0</v>
      </c>
      <c r="Q433" s="55">
        <v>2.0</v>
      </c>
      <c r="R433" s="55">
        <v>1.0</v>
      </c>
      <c r="S433" s="174"/>
      <c r="T433" s="55">
        <v>0.0</v>
      </c>
      <c r="U433" s="55">
        <v>0.0</v>
      </c>
      <c r="V433" s="55">
        <v>1.0</v>
      </c>
      <c r="W433" s="46"/>
      <c r="X433" s="46"/>
      <c r="Y433" s="46"/>
      <c r="Z433" s="31"/>
      <c r="AA433" s="31"/>
      <c r="AB433" s="31"/>
      <c r="AC433" s="31"/>
      <c r="AD433" s="31"/>
      <c r="AE433" s="31"/>
      <c r="AF433" s="31"/>
    </row>
    <row r="434">
      <c r="A434" s="231">
        <v>1.0</v>
      </c>
      <c r="B434" s="44" t="s">
        <v>4731</v>
      </c>
      <c r="C434" s="44">
        <v>431.0</v>
      </c>
      <c r="D434" s="44">
        <v>8.0</v>
      </c>
      <c r="E434" s="44" t="s">
        <v>958</v>
      </c>
      <c r="F434" s="162" t="str">
        <f>HYPERLINK("https://jatim.suara.com/read/2019/11/24/212514/ngamuk-tanpa-sebab-pria-stres-tusuk-anggota-tni-hingga-tewas ","sumber")</f>
        <v>sumber</v>
      </c>
      <c r="G434" s="44" t="s">
        <v>33</v>
      </c>
      <c r="H434" s="44">
        <v>256.0</v>
      </c>
      <c r="I434" s="44">
        <v>1.0</v>
      </c>
      <c r="J434" s="44">
        <v>2.0</v>
      </c>
      <c r="K434" s="164" t="s">
        <v>4732</v>
      </c>
      <c r="L434" s="44">
        <v>0.0</v>
      </c>
      <c r="M434" s="44">
        <v>-1.0</v>
      </c>
      <c r="N434" s="166">
        <v>0.0</v>
      </c>
      <c r="O434" s="44">
        <v>0.0</v>
      </c>
      <c r="P434" s="44">
        <v>0.0</v>
      </c>
      <c r="Q434" s="44">
        <v>0.0</v>
      </c>
      <c r="R434" s="44">
        <v>0.0</v>
      </c>
      <c r="S434" s="175"/>
      <c r="T434" s="44">
        <v>0.0</v>
      </c>
      <c r="U434" s="44">
        <v>0.0</v>
      </c>
      <c r="V434" s="44">
        <v>0.0</v>
      </c>
      <c r="W434" s="45"/>
      <c r="X434" s="45"/>
      <c r="Y434" s="45"/>
      <c r="Z434" s="9"/>
      <c r="AA434" s="9"/>
      <c r="AB434" s="9"/>
      <c r="AC434" s="9"/>
      <c r="AD434" s="9"/>
      <c r="AE434" s="9"/>
      <c r="AF434" s="9"/>
    </row>
    <row r="435">
      <c r="A435" s="189">
        <v>1.0</v>
      </c>
      <c r="B435" s="245" t="s">
        <v>4733</v>
      </c>
      <c r="C435" s="55">
        <v>432.0</v>
      </c>
      <c r="D435" s="55">
        <v>6.0</v>
      </c>
      <c r="E435" s="55" t="s">
        <v>958</v>
      </c>
      <c r="F435" s="171" t="str">
        <f>HYPERLINK("https://www.kompas.com/tren/read/2019/11/24/182200365/studi-temukan-satu-dari-tujuh-anak-berpotensi-alami-penyakit-mental","sumber")</f>
        <v>sumber</v>
      </c>
      <c r="G435" s="55" t="s">
        <v>33</v>
      </c>
      <c r="H435" s="55">
        <v>176.0</v>
      </c>
      <c r="I435" s="55">
        <v>5.0</v>
      </c>
      <c r="J435" s="55">
        <v>2.0</v>
      </c>
      <c r="K435" s="172" t="s">
        <v>4734</v>
      </c>
      <c r="L435" s="55">
        <v>0.0</v>
      </c>
      <c r="M435" s="55">
        <v>0.0</v>
      </c>
      <c r="N435" s="173">
        <v>0.0</v>
      </c>
      <c r="O435" s="55">
        <v>0.0</v>
      </c>
      <c r="P435" s="55">
        <v>0.0</v>
      </c>
      <c r="Q435" s="55">
        <v>0.0</v>
      </c>
      <c r="R435" s="55">
        <v>1.0</v>
      </c>
      <c r="S435" s="174"/>
      <c r="T435" s="55">
        <v>0.0</v>
      </c>
      <c r="U435" s="55">
        <v>0.0</v>
      </c>
      <c r="V435" s="55">
        <v>1.0</v>
      </c>
      <c r="W435" s="46"/>
      <c r="X435" s="46"/>
      <c r="Y435" s="46"/>
      <c r="Z435" s="31"/>
      <c r="AA435" s="31"/>
      <c r="AB435" s="31"/>
      <c r="AC435" s="31"/>
      <c r="AD435" s="31"/>
      <c r="AE435" s="31"/>
      <c r="AF435" s="31"/>
    </row>
    <row r="436">
      <c r="A436" s="189">
        <v>1.0</v>
      </c>
      <c r="B436" s="245" t="s">
        <v>4735</v>
      </c>
      <c r="C436" s="55">
        <v>433.0</v>
      </c>
      <c r="D436" s="55">
        <v>3.0</v>
      </c>
      <c r="E436" s="55" t="s">
        <v>932</v>
      </c>
      <c r="F436" s="171" t="str">
        <f>HYPERLINK("https://index.okezone.com/read/2019/11/18/614/2131137/viral-video-pemuda-disabilitas-salat-bikin-netizen-menangis","sumber")</f>
        <v>sumber</v>
      </c>
      <c r="G436" s="55" t="s">
        <v>33</v>
      </c>
      <c r="H436" s="55">
        <v>355.0</v>
      </c>
      <c r="I436" s="55">
        <v>2.0</v>
      </c>
      <c r="J436" s="55">
        <v>2.0</v>
      </c>
      <c r="K436" s="172" t="s">
        <v>4736</v>
      </c>
      <c r="L436" s="55">
        <v>-1.0</v>
      </c>
      <c r="M436" s="55">
        <v>0.0</v>
      </c>
      <c r="N436" s="173">
        <v>0.0</v>
      </c>
      <c r="O436" s="55">
        <v>0.0</v>
      </c>
      <c r="P436" s="55">
        <v>0.0</v>
      </c>
      <c r="Q436" s="55" t="s">
        <v>89</v>
      </c>
      <c r="R436" s="55" t="s">
        <v>1058</v>
      </c>
      <c r="S436" s="172" t="s">
        <v>4737</v>
      </c>
      <c r="T436" s="55">
        <v>1.0</v>
      </c>
      <c r="U436" s="55">
        <v>0.0</v>
      </c>
      <c r="V436" s="55">
        <v>0.0</v>
      </c>
      <c r="W436" s="46"/>
      <c r="X436" s="46"/>
      <c r="Y436" s="46"/>
      <c r="Z436" s="31"/>
      <c r="AA436" s="31"/>
      <c r="AB436" s="31"/>
      <c r="AC436" s="31"/>
      <c r="AD436" s="31"/>
      <c r="AE436" s="31"/>
      <c r="AF436" s="31"/>
    </row>
    <row r="437">
      <c r="A437" s="43">
        <v>2.0</v>
      </c>
      <c r="B437" s="47" t="s">
        <v>4738</v>
      </c>
      <c r="C437" s="47">
        <v>434.0</v>
      </c>
      <c r="D437" s="47">
        <v>4.0</v>
      </c>
      <c r="E437" s="47" t="s">
        <v>4739</v>
      </c>
      <c r="F437" s="156" t="str">
        <f>HYPERLINK("https://www.liputan6.com/global/read/4119150/mendagri-baru-bolivia-janji-akan-penjarakan-evo-morales-30-tahun ","sumber")</f>
        <v>sumber</v>
      </c>
      <c r="G437" s="47" t="s">
        <v>33</v>
      </c>
      <c r="H437" s="47">
        <v>572.0</v>
      </c>
      <c r="I437" s="48"/>
      <c r="J437" s="48"/>
      <c r="K437" s="165"/>
      <c r="L437" s="48"/>
      <c r="M437" s="48"/>
      <c r="N437" s="48"/>
      <c r="O437" s="48"/>
      <c r="P437" s="48"/>
      <c r="Q437" s="48"/>
      <c r="R437" s="48"/>
      <c r="S437" s="165"/>
      <c r="T437" s="48"/>
      <c r="U437" s="48"/>
      <c r="V437" s="48"/>
      <c r="W437" s="48"/>
      <c r="X437" s="48"/>
      <c r="Y437" s="48"/>
      <c r="Z437" s="338"/>
      <c r="AA437" s="51"/>
      <c r="AB437" s="51"/>
      <c r="AC437" s="51"/>
      <c r="AD437" s="51"/>
      <c r="AE437" s="51"/>
      <c r="AF437" s="51"/>
    </row>
    <row r="438">
      <c r="A438" s="43">
        <v>2.0</v>
      </c>
      <c r="B438" s="47" t="s">
        <v>4740</v>
      </c>
      <c r="C438" s="47">
        <v>435.0</v>
      </c>
      <c r="D438" s="47">
        <v>3.0</v>
      </c>
      <c r="E438" s="47" t="s">
        <v>4739</v>
      </c>
      <c r="F438" s="156" t="str">
        <f>HYPERLINK("https://celebrity.okezone.com/read/2019/11/26/33/2134478/ustadz-riza-muhammad-merasa-diperlakukan-layaknya-teroris-saat-di-hongkong ","sumber")</f>
        <v>sumber</v>
      </c>
      <c r="G438" s="47" t="s">
        <v>33</v>
      </c>
      <c r="H438" s="47">
        <v>540.0</v>
      </c>
      <c r="I438" s="48"/>
      <c r="J438" s="48"/>
      <c r="K438" s="165"/>
      <c r="L438" s="48"/>
      <c r="M438" s="48"/>
      <c r="N438" s="48"/>
      <c r="O438" s="48"/>
      <c r="P438" s="48"/>
      <c r="Q438" s="48"/>
      <c r="R438" s="48"/>
      <c r="S438" s="165"/>
      <c r="T438" s="48"/>
      <c r="U438" s="48"/>
      <c r="V438" s="48"/>
      <c r="W438" s="48"/>
      <c r="X438" s="48"/>
      <c r="Y438" s="48"/>
      <c r="Z438" s="338"/>
      <c r="AA438" s="51"/>
      <c r="AB438" s="51"/>
      <c r="AC438" s="51"/>
      <c r="AD438" s="51"/>
      <c r="AE438" s="51"/>
      <c r="AF438" s="51"/>
    </row>
    <row r="439">
      <c r="A439" s="43">
        <v>2.0</v>
      </c>
      <c r="B439" s="47" t="s">
        <v>4741</v>
      </c>
      <c r="C439" s="47">
        <v>436.0</v>
      </c>
      <c r="D439" s="47">
        <v>6.0</v>
      </c>
      <c r="E439" s="354">
        <v>43811.0</v>
      </c>
      <c r="F439" s="156" t="str">
        <f>HYPERLINK("https://health.kompas.com/read/2019/12/12/100000468/sedang-tidak-fit-hati-hati-jilatan-anjing-bisa-bikin-infeksi ","sumber")</f>
        <v>sumber</v>
      </c>
      <c r="G439" s="47" t="s">
        <v>33</v>
      </c>
      <c r="H439" s="47">
        <v>201.0</v>
      </c>
      <c r="I439" s="48"/>
      <c r="J439" s="48"/>
      <c r="K439" s="165"/>
      <c r="L439" s="48"/>
      <c r="M439" s="48"/>
      <c r="N439" s="48"/>
      <c r="O439" s="48"/>
      <c r="P439" s="48"/>
      <c r="Q439" s="48"/>
      <c r="R439" s="48"/>
      <c r="S439" s="165"/>
      <c r="T439" s="48"/>
      <c r="U439" s="48"/>
      <c r="V439" s="48"/>
      <c r="W439" s="48"/>
      <c r="X439" s="48"/>
      <c r="Y439" s="48"/>
      <c r="Z439" s="338"/>
      <c r="AA439" s="51"/>
      <c r="AB439" s="51"/>
      <c r="AC439" s="51"/>
      <c r="AD439" s="51"/>
      <c r="AE439" s="51"/>
      <c r="AF439" s="51"/>
    </row>
    <row r="440">
      <c r="A440" s="231">
        <v>1.0</v>
      </c>
      <c r="B440" s="44" t="s">
        <v>4742</v>
      </c>
      <c r="C440" s="44">
        <v>437.0</v>
      </c>
      <c r="D440" s="44">
        <v>6.0</v>
      </c>
      <c r="E440" s="44" t="s">
        <v>907</v>
      </c>
      <c r="F440" s="162" t="str">
        <f>HYPERLINK("https://money.kompas.com/read/2019/12/17/190115326/resmi-grab-luncurkan-grabgerak-untuk-penyandang-disabilitas ","sumber")</f>
        <v>sumber</v>
      </c>
      <c r="G440" s="44" t="s">
        <v>33</v>
      </c>
      <c r="H440" s="44">
        <v>255.0</v>
      </c>
      <c r="I440" s="44">
        <v>4.0</v>
      </c>
      <c r="J440" s="44">
        <v>2.0</v>
      </c>
      <c r="K440" s="164" t="s">
        <v>4743</v>
      </c>
      <c r="L440" s="44">
        <v>0.0</v>
      </c>
      <c r="M440" s="44">
        <v>0.0</v>
      </c>
      <c r="N440" s="166">
        <v>0.0</v>
      </c>
      <c r="O440" s="44">
        <v>0.0</v>
      </c>
      <c r="P440" s="44">
        <v>0.0</v>
      </c>
      <c r="Q440" s="44" t="s">
        <v>53</v>
      </c>
      <c r="R440" s="44" t="s">
        <v>392</v>
      </c>
      <c r="S440" s="175"/>
      <c r="T440" s="44">
        <v>0.0</v>
      </c>
      <c r="U440" s="44">
        <v>0.0</v>
      </c>
      <c r="V440" s="44">
        <v>1.0</v>
      </c>
      <c r="W440" s="45"/>
      <c r="X440" s="45"/>
      <c r="Y440" s="45"/>
      <c r="Z440" s="9"/>
      <c r="AA440" s="9"/>
      <c r="AB440" s="9"/>
      <c r="AC440" s="9"/>
      <c r="AD440" s="9"/>
      <c r="AE440" s="9"/>
      <c r="AF440" s="9"/>
    </row>
    <row r="441">
      <c r="A441" s="231">
        <v>1.0</v>
      </c>
      <c r="B441" s="44" t="s">
        <v>4744</v>
      </c>
      <c r="C441" s="44">
        <v>438.0</v>
      </c>
      <c r="D441" s="44">
        <v>10.0</v>
      </c>
      <c r="E441" s="44" t="s">
        <v>907</v>
      </c>
      <c r="F441" s="162" t="str">
        <f>HYPERLINK("https://difabel.tempo.co/read/1284597/arif-setyo-budi-difabel-satu-kaki-yang-jago-breakdance ","sumber")</f>
        <v>sumber</v>
      </c>
      <c r="G441" s="44" t="s">
        <v>33</v>
      </c>
      <c r="H441" s="44">
        <v>516.0</v>
      </c>
      <c r="I441" s="44">
        <v>2.0</v>
      </c>
      <c r="J441" s="44">
        <v>2.0</v>
      </c>
      <c r="K441" s="164" t="s">
        <v>4745</v>
      </c>
      <c r="L441" s="44">
        <v>0.0</v>
      </c>
      <c r="M441" s="44">
        <v>0.0</v>
      </c>
      <c r="N441" s="166">
        <v>0.0</v>
      </c>
      <c r="O441" s="44">
        <v>0.0</v>
      </c>
      <c r="P441" s="44">
        <v>0.0</v>
      </c>
      <c r="Q441" s="44">
        <v>2.0</v>
      </c>
      <c r="R441" s="44">
        <v>1.0</v>
      </c>
      <c r="S441" s="175"/>
      <c r="T441" s="44">
        <v>0.0</v>
      </c>
      <c r="U441" s="44">
        <v>0.0</v>
      </c>
      <c r="V441" s="44">
        <v>0.0</v>
      </c>
      <c r="W441" s="45"/>
      <c r="X441" s="45"/>
      <c r="Y441" s="45"/>
      <c r="Z441" s="9"/>
      <c r="AA441" s="9"/>
      <c r="AB441" s="9"/>
      <c r="AC441" s="9"/>
      <c r="AD441" s="9"/>
      <c r="AE441" s="9"/>
      <c r="AF441" s="9"/>
    </row>
    <row r="442">
      <c r="A442" s="43">
        <v>2.0</v>
      </c>
      <c r="B442" s="47" t="s">
        <v>4746</v>
      </c>
      <c r="C442" s="47">
        <v>439.0</v>
      </c>
      <c r="D442" s="47">
        <v>3.0</v>
      </c>
      <c r="E442" s="47" t="s">
        <v>893</v>
      </c>
      <c r="F442" s="156" t="str">
        <f>HYPERLINK("https://lifestyle.okezone.com/read/2019/12/18/406/2143414/5-potret-liburan-nikita-willy-di-amerika-bertualang-ke-gletser-hingga-berendam ","sumber")</f>
        <v>sumber</v>
      </c>
      <c r="G442" s="47" t="s">
        <v>33</v>
      </c>
      <c r="H442" s="47">
        <v>423.0</v>
      </c>
      <c r="I442" s="48"/>
      <c r="J442" s="48"/>
      <c r="K442" s="165"/>
      <c r="L442" s="48"/>
      <c r="M442" s="48"/>
      <c r="N442" s="48"/>
      <c r="O442" s="48"/>
      <c r="P442" s="48"/>
      <c r="Q442" s="48"/>
      <c r="R442" s="48"/>
      <c r="S442" s="165"/>
      <c r="T442" s="48"/>
      <c r="U442" s="48"/>
      <c r="V442" s="48"/>
      <c r="W442" s="48"/>
      <c r="X442" s="48"/>
      <c r="Y442" s="48"/>
      <c r="Z442" s="338"/>
      <c r="AA442" s="51"/>
      <c r="AB442" s="51"/>
      <c r="AC442" s="51"/>
      <c r="AD442" s="51"/>
      <c r="AE442" s="51"/>
      <c r="AF442" s="51"/>
    </row>
    <row r="443">
      <c r="A443" s="189">
        <v>1.0</v>
      </c>
      <c r="B443" s="245" t="s">
        <v>4747</v>
      </c>
      <c r="C443" s="55">
        <v>440.0</v>
      </c>
      <c r="D443" s="55">
        <v>9.0</v>
      </c>
      <c r="E443" s="55" t="s">
        <v>964</v>
      </c>
      <c r="F443" s="171" t="str">
        <f>HYPERLINK("https://www.tribunnews.com/regional/2019/12/19/dari-cerita-viralnya-pria-stroke-dianiaya-istri-benarkah-mengasuh-orang-sakit-rentan-alami-stres","sumber")</f>
        <v>sumber</v>
      </c>
      <c r="G443" s="55" t="s">
        <v>33</v>
      </c>
      <c r="H443" s="55">
        <v>130.0</v>
      </c>
      <c r="I443" s="55">
        <v>1.0</v>
      </c>
      <c r="J443" s="55">
        <v>2.0</v>
      </c>
      <c r="K443" s="172" t="s">
        <v>4748</v>
      </c>
      <c r="L443" s="55">
        <v>-1.0</v>
      </c>
      <c r="M443" s="55">
        <v>-1.0</v>
      </c>
      <c r="N443" s="55">
        <v>-1.0</v>
      </c>
      <c r="O443" s="55">
        <v>0.0</v>
      </c>
      <c r="P443" s="55">
        <v>0.0</v>
      </c>
      <c r="Q443" s="55">
        <v>0.0</v>
      </c>
      <c r="R443" s="55">
        <v>0.0</v>
      </c>
      <c r="S443" s="172" t="s">
        <v>2250</v>
      </c>
      <c r="T443" s="55">
        <v>1.0</v>
      </c>
      <c r="U443" s="55">
        <v>0.0</v>
      </c>
      <c r="V443" s="55">
        <v>0.0</v>
      </c>
      <c r="W443" s="46"/>
      <c r="X443" s="46"/>
      <c r="Y443" s="46"/>
      <c r="Z443" s="31"/>
      <c r="AA443" s="31"/>
      <c r="AB443" s="31"/>
      <c r="AC443" s="31"/>
      <c r="AD443" s="31"/>
      <c r="AE443" s="31"/>
      <c r="AF443" s="31"/>
    </row>
    <row r="444">
      <c r="A444" s="189">
        <v>1.0</v>
      </c>
      <c r="B444" s="245" t="s">
        <v>4749</v>
      </c>
      <c r="C444" s="55">
        <v>441.0</v>
      </c>
      <c r="D444" s="55">
        <v>6.0</v>
      </c>
      <c r="E444" s="55" t="s">
        <v>896</v>
      </c>
      <c r="F444" s="171" t="str">
        <f>HYPERLINK("https://money.kompas.com/read/2019/12/20/202508026/pgn-buka-kesempatan-kerja-bagi-penyandang-disabilitas","sumber")</f>
        <v>sumber</v>
      </c>
      <c r="G444" s="55" t="s">
        <v>33</v>
      </c>
      <c r="H444" s="55">
        <v>218.0</v>
      </c>
      <c r="I444" s="55">
        <v>4.0</v>
      </c>
      <c r="J444" s="55">
        <v>2.0</v>
      </c>
      <c r="K444" s="172" t="s">
        <v>4750</v>
      </c>
      <c r="L444" s="55">
        <v>0.0</v>
      </c>
      <c r="M444" s="55">
        <v>0.0</v>
      </c>
      <c r="N444" s="173">
        <v>0.0</v>
      </c>
      <c r="O444" s="55">
        <v>0.0</v>
      </c>
      <c r="P444" s="55">
        <v>0.0</v>
      </c>
      <c r="Q444" s="55" t="s">
        <v>210</v>
      </c>
      <c r="R444" s="55" t="s">
        <v>192</v>
      </c>
      <c r="S444" s="174"/>
      <c r="T444" s="55">
        <v>0.0</v>
      </c>
      <c r="U444" s="55">
        <v>0.0</v>
      </c>
      <c r="V444" s="55">
        <v>1.0</v>
      </c>
      <c r="W444" s="46"/>
      <c r="X444" s="46"/>
      <c r="Y444" s="46"/>
      <c r="Z444" s="31"/>
      <c r="AA444" s="31"/>
      <c r="AB444" s="31"/>
      <c r="AC444" s="31"/>
      <c r="AD444" s="31"/>
      <c r="AE444" s="31"/>
      <c r="AF444" s="31"/>
    </row>
    <row r="445">
      <c r="A445" s="231">
        <v>1.0</v>
      </c>
      <c r="B445" s="44" t="s">
        <v>4751</v>
      </c>
      <c r="C445" s="44">
        <v>442.0</v>
      </c>
      <c r="D445" s="44">
        <v>6.0</v>
      </c>
      <c r="E445" s="44" t="s">
        <v>899</v>
      </c>
      <c r="F445" s="162" t="str">
        <f>HYPERLINK("https://regional.kompas.com/read/2019/12/21/07010001/25-formasi-lowongan-cpns-2019-di-sleman-sama-sekali-tak-ada-peminatnya ","sumber")</f>
        <v>sumber</v>
      </c>
      <c r="G445" s="44" t="s">
        <v>33</v>
      </c>
      <c r="H445" s="44">
        <v>315.0</v>
      </c>
      <c r="I445" s="44">
        <v>4.0</v>
      </c>
      <c r="J445" s="44">
        <v>2.0</v>
      </c>
      <c r="K445" s="164" t="s">
        <v>4752</v>
      </c>
      <c r="L445" s="44">
        <v>-1.0</v>
      </c>
      <c r="M445" s="44">
        <v>0.0</v>
      </c>
      <c r="N445" s="166">
        <v>0.0</v>
      </c>
      <c r="O445" s="44">
        <v>0.0</v>
      </c>
      <c r="P445" s="44">
        <v>0.0</v>
      </c>
      <c r="Q445" s="44">
        <v>0.0</v>
      </c>
      <c r="R445" s="44">
        <v>1.0</v>
      </c>
      <c r="S445" s="175"/>
      <c r="T445" s="44">
        <v>0.0</v>
      </c>
      <c r="U445" s="44">
        <v>0.0</v>
      </c>
      <c r="V445" s="44">
        <v>1.0</v>
      </c>
      <c r="W445" s="45"/>
      <c r="X445" s="45"/>
      <c r="Y445" s="45"/>
      <c r="Z445" s="9"/>
      <c r="AA445" s="9"/>
      <c r="AB445" s="9"/>
      <c r="AC445" s="9"/>
      <c r="AD445" s="9"/>
      <c r="AE445" s="9"/>
      <c r="AF445" s="9"/>
    </row>
    <row r="446">
      <c r="A446" s="231">
        <v>1.0</v>
      </c>
      <c r="B446" s="44" t="s">
        <v>4753</v>
      </c>
      <c r="C446" s="44">
        <v>443.0</v>
      </c>
      <c r="D446" s="44">
        <v>7.0</v>
      </c>
      <c r="E446" s="44" t="s">
        <v>1076</v>
      </c>
      <c r="F446" s="162" t="str">
        <f>HYPERLINK("https://www.tribunnews.com/regional/2019/12/25/cerita-tragis-sanima-wanita-hamil-7-bulan-disiksa-suami-dan-anak-hingga-buta-dan-meninggal-dunia ","sumber")</f>
        <v>sumber</v>
      </c>
      <c r="G446" s="44" t="s">
        <v>33</v>
      </c>
      <c r="H446" s="44">
        <v>209.0</v>
      </c>
      <c r="I446" s="44">
        <v>1.0</v>
      </c>
      <c r="J446" s="44">
        <v>1.0</v>
      </c>
      <c r="K446" s="164" t="s">
        <v>4754</v>
      </c>
      <c r="L446" s="44">
        <v>0.0</v>
      </c>
      <c r="M446" s="44">
        <v>-1.0</v>
      </c>
      <c r="N446" s="44">
        <v>-1.0</v>
      </c>
      <c r="O446" s="44">
        <v>0.0</v>
      </c>
      <c r="P446" s="44">
        <v>-1.0</v>
      </c>
      <c r="Q446" s="44">
        <v>0.0</v>
      </c>
      <c r="R446" s="44">
        <v>0.0</v>
      </c>
      <c r="S446" s="175"/>
      <c r="T446" s="44">
        <v>0.0</v>
      </c>
      <c r="U446" s="44">
        <v>0.0</v>
      </c>
      <c r="V446" s="44">
        <v>1.0</v>
      </c>
      <c r="W446" s="45"/>
      <c r="X446" s="45"/>
      <c r="Y446" s="45"/>
      <c r="Z446" s="9"/>
      <c r="AA446" s="9"/>
      <c r="AB446" s="9"/>
      <c r="AC446" s="9"/>
      <c r="AD446" s="9"/>
      <c r="AE446" s="9"/>
      <c r="AF446" s="9"/>
    </row>
    <row r="447">
      <c r="A447" s="43">
        <v>2.0</v>
      </c>
      <c r="B447" s="47" t="s">
        <v>4755</v>
      </c>
      <c r="C447" s="47">
        <v>444.0</v>
      </c>
      <c r="D447" s="47">
        <v>1.0</v>
      </c>
      <c r="E447" s="47" t="s">
        <v>1005</v>
      </c>
      <c r="F447" s="156" t="str">
        <f>HYPERLINK("https://hot.detik.com/celeb/d-4837488/deddy-corbuzeir-anggap-uya-kuya-seperti-acar-di-nasi-goreng-kenapa ","sumber")</f>
        <v>sumber</v>
      </c>
      <c r="G447" s="47" t="s">
        <v>33</v>
      </c>
      <c r="H447" s="47">
        <v>1499.0</v>
      </c>
      <c r="I447" s="48"/>
      <c r="J447" s="48"/>
      <c r="K447" s="157"/>
      <c r="L447" s="48"/>
      <c r="M447" s="48"/>
      <c r="N447" s="48"/>
      <c r="O447" s="48"/>
      <c r="P447" s="48"/>
      <c r="Q447" s="48"/>
      <c r="R447" s="48"/>
      <c r="S447" s="165"/>
      <c r="T447" s="48"/>
      <c r="U447" s="48"/>
      <c r="V447" s="48"/>
      <c r="W447" s="48"/>
      <c r="X447" s="48"/>
      <c r="Y447" s="48"/>
      <c r="Z447" s="338"/>
      <c r="AA447" s="51"/>
      <c r="AB447" s="51"/>
      <c r="AC447" s="51"/>
      <c r="AD447" s="51"/>
      <c r="AE447" s="51"/>
      <c r="AF447" s="51"/>
    </row>
    <row r="448">
      <c r="A448" s="43">
        <v>2.0</v>
      </c>
      <c r="B448" s="47" t="s">
        <v>4756</v>
      </c>
      <c r="C448" s="47">
        <v>445.0</v>
      </c>
      <c r="D448" s="47">
        <v>7.0</v>
      </c>
      <c r="E448" s="47" t="s">
        <v>1080</v>
      </c>
      <c r="F448" s="156" t="str">
        <f>HYPERLINK("https://www.tribunnews.com/nasional/2019/12/28/dua-polisi-aktif-diduga-pelaku-penyiram-air-keras-terhadap-novel-baswedan-jadi-tersangka ","sumber")</f>
        <v>sumber</v>
      </c>
      <c r="G448" s="47" t="s">
        <v>33</v>
      </c>
      <c r="H448" s="48"/>
      <c r="I448" s="48"/>
      <c r="J448" s="48"/>
      <c r="K448" s="157"/>
      <c r="L448" s="48"/>
      <c r="M448" s="48"/>
      <c r="N448" s="48"/>
      <c r="O448" s="48"/>
      <c r="P448" s="48"/>
      <c r="Q448" s="48"/>
      <c r="R448" s="48"/>
      <c r="S448" s="165"/>
      <c r="T448" s="48"/>
      <c r="U448" s="48"/>
      <c r="V448" s="48"/>
      <c r="W448" s="48"/>
      <c r="X448" s="48"/>
      <c r="Y448" s="48"/>
      <c r="Z448" s="338"/>
      <c r="AA448" s="51"/>
      <c r="AB448" s="51"/>
      <c r="AC448" s="51"/>
      <c r="AD448" s="51"/>
      <c r="AE448" s="51"/>
      <c r="AF448" s="51"/>
    </row>
    <row r="449">
      <c r="A449" s="43">
        <v>2.0</v>
      </c>
      <c r="B449" s="47" t="s">
        <v>4757</v>
      </c>
      <c r="C449" s="47">
        <v>446.0</v>
      </c>
      <c r="D449" s="47">
        <v>1.0</v>
      </c>
      <c r="E449" s="47" t="s">
        <v>973</v>
      </c>
      <c r="F449" s="156" t="str">
        <f>HYPERLINK("https://health.detik.com/berita-detikhealth/d-4838980/iklan-diskon-hingga-90-persen-menjamur-penyebab-impulsif-dan-gila-belanja ","sumber")</f>
        <v>sumber</v>
      </c>
      <c r="G449" s="47" t="s">
        <v>33</v>
      </c>
      <c r="H449" s="48"/>
      <c r="I449" s="48"/>
      <c r="J449" s="48"/>
      <c r="K449" s="165"/>
      <c r="L449" s="48"/>
      <c r="M449" s="48"/>
      <c r="N449" s="48"/>
      <c r="O449" s="48"/>
      <c r="P449" s="48"/>
      <c r="Q449" s="48"/>
      <c r="R449" s="48"/>
      <c r="S449" s="165"/>
      <c r="T449" s="48"/>
      <c r="U449" s="48"/>
      <c r="V449" s="48"/>
      <c r="W449" s="48"/>
      <c r="X449" s="48"/>
      <c r="Y449" s="48"/>
      <c r="Z449" s="338"/>
      <c r="AA449" s="51"/>
      <c r="AB449" s="51"/>
      <c r="AC449" s="51"/>
      <c r="AD449" s="51"/>
      <c r="AE449" s="51"/>
      <c r="AF449" s="51"/>
    </row>
    <row r="450">
      <c r="A450" s="231">
        <v>1.0</v>
      </c>
      <c r="B450" s="44" t="s">
        <v>4758</v>
      </c>
      <c r="C450" s="44">
        <v>447.0</v>
      </c>
      <c r="D450" s="44">
        <v>10.0</v>
      </c>
      <c r="E450" s="268">
        <v>43534.0</v>
      </c>
      <c r="F450" s="162" t="str">
        <f>HYPERLINK("https://cantik.tempo.co/read/1255577/stella-mccartney-dan-adidas-buat-bra-khusus-mastektomi ","sumber")</f>
        <v>sumber</v>
      </c>
      <c r="G450" s="44" t="s">
        <v>33</v>
      </c>
      <c r="H450" s="44">
        <v>213.0</v>
      </c>
      <c r="I450" s="44">
        <v>4.0</v>
      </c>
      <c r="J450" s="44">
        <v>1.0</v>
      </c>
      <c r="K450" s="164" t="s">
        <v>4759</v>
      </c>
      <c r="L450" s="44">
        <v>0.0</v>
      </c>
      <c r="M450" s="44">
        <v>0.0</v>
      </c>
      <c r="N450" s="166">
        <v>0.0</v>
      </c>
      <c r="O450" s="44">
        <v>0.0</v>
      </c>
      <c r="P450" s="44">
        <v>0.0</v>
      </c>
      <c r="Q450" s="44">
        <v>0.0</v>
      </c>
      <c r="R450" s="44">
        <v>1.0</v>
      </c>
      <c r="S450" s="175"/>
      <c r="T450" s="44">
        <v>0.0</v>
      </c>
      <c r="U450" s="44">
        <v>0.0</v>
      </c>
      <c r="V450" s="44">
        <v>0.0</v>
      </c>
      <c r="W450" s="45"/>
      <c r="X450" s="45"/>
      <c r="Y450" s="45"/>
      <c r="Z450" s="9"/>
      <c r="AA450" s="9"/>
      <c r="AB450" s="9"/>
      <c r="AC450" s="9"/>
      <c r="AD450" s="9"/>
      <c r="AE450" s="9"/>
      <c r="AF450" s="9"/>
    </row>
    <row r="451">
      <c r="A451" s="43">
        <v>2.0</v>
      </c>
      <c r="B451" s="47" t="s">
        <v>4760</v>
      </c>
      <c r="C451" s="47">
        <v>448.0</v>
      </c>
      <c r="D451" s="47">
        <v>7.0</v>
      </c>
      <c r="E451" s="280">
        <v>43565.0</v>
      </c>
      <c r="F451" s="156" t="str">
        <f>HYPERLINK("https://www.tribunnews.com/seleb/2019/10/04/patuh-pada-ibu-robby-purba-akhirnya-ungkap-kriteria-khusus-perempuan-yang-bisa-dinikahinya ","sumber")</f>
        <v>sumber</v>
      </c>
      <c r="G451" s="47" t="s">
        <v>33</v>
      </c>
      <c r="H451" s="48"/>
      <c r="I451" s="48"/>
      <c r="J451" s="48"/>
      <c r="K451" s="165"/>
      <c r="L451" s="48"/>
      <c r="M451" s="48"/>
      <c r="N451" s="48"/>
      <c r="O451" s="48"/>
      <c r="P451" s="48"/>
      <c r="Q451" s="48"/>
      <c r="R451" s="48"/>
      <c r="S451" s="165"/>
      <c r="T451" s="48"/>
      <c r="U451" s="48"/>
      <c r="V451" s="48"/>
      <c r="W451" s="48"/>
      <c r="X451" s="48"/>
      <c r="Y451" s="48"/>
      <c r="Z451" s="338"/>
      <c r="AA451" s="51"/>
      <c r="AB451" s="51"/>
      <c r="AC451" s="51"/>
      <c r="AD451" s="51"/>
      <c r="AE451" s="51"/>
      <c r="AF451" s="51"/>
    </row>
    <row r="452">
      <c r="A452" s="189">
        <v>1.0</v>
      </c>
      <c r="B452" s="245" t="s">
        <v>4761</v>
      </c>
      <c r="C452" s="55">
        <v>449.0</v>
      </c>
      <c r="D452" s="55">
        <v>8.0</v>
      </c>
      <c r="E452" s="55" t="s">
        <v>4762</v>
      </c>
      <c r="F452" s="171" t="str">
        <f>HYPERLINK("https://www.suara.com/health/2019/11/23/083500/tidak-cuma-lelaki-dan-perempuan-ada-18-identitas-gender-di-thailand","sumber")</f>
        <v>sumber</v>
      </c>
      <c r="G452" s="55" t="s">
        <v>33</v>
      </c>
      <c r="H452" s="55">
        <v>208.0</v>
      </c>
      <c r="I452" s="55">
        <v>5.0</v>
      </c>
      <c r="J452" s="55">
        <v>3.0</v>
      </c>
      <c r="K452" s="210" t="s">
        <v>4763</v>
      </c>
      <c r="L452" s="55">
        <v>0.0</v>
      </c>
      <c r="M452" s="55">
        <v>0.0</v>
      </c>
      <c r="N452" s="173">
        <v>0.0</v>
      </c>
      <c r="O452" s="55">
        <v>0.0</v>
      </c>
      <c r="P452" s="55">
        <v>0.0</v>
      </c>
      <c r="Q452" s="55">
        <v>1.0</v>
      </c>
      <c r="R452" s="55">
        <v>1.0</v>
      </c>
      <c r="S452" s="174"/>
      <c r="T452" s="55">
        <v>0.0</v>
      </c>
      <c r="U452" s="55">
        <v>0.0</v>
      </c>
      <c r="V452" s="55">
        <v>1.0</v>
      </c>
      <c r="W452" s="46"/>
      <c r="X452" s="46"/>
      <c r="Y452" s="46"/>
      <c r="Z452" s="31"/>
      <c r="AA452" s="31"/>
      <c r="AB452" s="31"/>
      <c r="AC452" s="31"/>
      <c r="AD452" s="31"/>
      <c r="AE452" s="31"/>
      <c r="AF452" s="31"/>
    </row>
    <row r="453">
      <c r="A453" s="231">
        <v>1.0</v>
      </c>
      <c r="B453" s="44" t="s">
        <v>4764</v>
      </c>
      <c r="C453" s="44">
        <v>450.0</v>
      </c>
      <c r="D453" s="44">
        <v>3.0</v>
      </c>
      <c r="E453" s="268">
        <v>43626.0</v>
      </c>
      <c r="F453" s="162" t="str">
        <f>HYPERLINK("https://celebrity.okezone.com/read/2019/10/05/33/2113358/keceplosan-lucinta-luna-akui-sebagai-laki-laki ","sumber")</f>
        <v>sumber</v>
      </c>
      <c r="G453" s="44" t="s">
        <v>33</v>
      </c>
      <c r="H453" s="44">
        <v>492.0</v>
      </c>
      <c r="I453" s="44">
        <v>2.0</v>
      </c>
      <c r="J453" s="44">
        <v>3.0</v>
      </c>
      <c r="K453" s="164" t="s">
        <v>4765</v>
      </c>
      <c r="L453" s="44">
        <v>0.0</v>
      </c>
      <c r="M453" s="44">
        <v>0.0</v>
      </c>
      <c r="N453" s="166">
        <v>0.0</v>
      </c>
      <c r="O453" s="44">
        <v>0.0</v>
      </c>
      <c r="P453" s="44">
        <v>-1.0</v>
      </c>
      <c r="Q453" s="44" t="s">
        <v>53</v>
      </c>
      <c r="R453" s="44" t="s">
        <v>53</v>
      </c>
      <c r="S453" s="175"/>
      <c r="T453" s="44">
        <v>0.0</v>
      </c>
      <c r="U453" s="44">
        <v>0.0</v>
      </c>
      <c r="V453" s="44">
        <v>1.0</v>
      </c>
      <c r="W453" s="45"/>
      <c r="X453" s="45"/>
      <c r="Y453" s="45"/>
      <c r="Z453" s="9"/>
      <c r="AA453" s="9"/>
      <c r="AB453" s="9"/>
      <c r="AC453" s="9"/>
      <c r="AD453" s="9"/>
      <c r="AE453" s="9"/>
      <c r="AF453" s="9"/>
    </row>
    <row r="454">
      <c r="A454" s="231">
        <v>1.0</v>
      </c>
      <c r="B454" s="44" t="s">
        <v>4766</v>
      </c>
      <c r="C454" s="44">
        <v>451.0</v>
      </c>
      <c r="D454" s="44">
        <v>2.0</v>
      </c>
      <c r="E454" s="268">
        <v>43656.0</v>
      </c>
      <c r="F454" s="162" t="str">
        <f>HYPERLINK("https://www.cnnindonesia.com/gaya-hidup/20191006162901-269-437250/museum-vagina-pertama-di-dunia-bakal-buka-di-london ","sumber")</f>
        <v>sumber</v>
      </c>
      <c r="G454" s="44" t="s">
        <v>33</v>
      </c>
      <c r="H454" s="44">
        <v>363.0</v>
      </c>
      <c r="I454" s="44">
        <v>2.0</v>
      </c>
      <c r="J454" s="44">
        <v>1.0</v>
      </c>
      <c r="K454" s="164" t="s">
        <v>4767</v>
      </c>
      <c r="L454" s="44">
        <v>0.0</v>
      </c>
      <c r="M454" s="44">
        <v>0.0</v>
      </c>
      <c r="N454" s="166">
        <v>0.0</v>
      </c>
      <c r="O454" s="44">
        <v>0.0</v>
      </c>
      <c r="P454" s="44">
        <v>0.0</v>
      </c>
      <c r="Q454" s="44" t="s">
        <v>131</v>
      </c>
      <c r="R454" s="44" t="s">
        <v>392</v>
      </c>
      <c r="S454" s="175"/>
      <c r="T454" s="44">
        <v>0.0</v>
      </c>
      <c r="U454" s="44">
        <v>0.0</v>
      </c>
      <c r="V454" s="44">
        <v>0.0</v>
      </c>
      <c r="W454" s="45"/>
      <c r="X454" s="45"/>
      <c r="Y454" s="45"/>
      <c r="Z454" s="9"/>
      <c r="AA454" s="9"/>
      <c r="AB454" s="9"/>
      <c r="AC454" s="9"/>
      <c r="AD454" s="9"/>
      <c r="AE454" s="9"/>
      <c r="AF454" s="9"/>
    </row>
    <row r="455">
      <c r="A455" s="231">
        <v>1.0</v>
      </c>
      <c r="B455" s="44" t="s">
        <v>1896</v>
      </c>
      <c r="C455" s="44">
        <v>452.0</v>
      </c>
      <c r="D455" s="44">
        <v>1.0</v>
      </c>
      <c r="E455" s="268">
        <v>43718.0</v>
      </c>
      <c r="F455" s="162" t="str">
        <f>HYPERLINK("https://news.detik.com/berita-jawa-barat/d-4739071/bongkar-prostitusi-vila-bunga-cianjur-polisi-jawab-tantangan-warganet ","sumber")</f>
        <v>sumber</v>
      </c>
      <c r="G455" s="44" t="s">
        <v>33</v>
      </c>
      <c r="H455" s="44">
        <v>351.0</v>
      </c>
      <c r="I455" s="44">
        <v>1.0</v>
      </c>
      <c r="J455" s="44">
        <v>1.0</v>
      </c>
      <c r="K455" s="164" t="s">
        <v>4768</v>
      </c>
      <c r="L455" s="44">
        <v>0.0</v>
      </c>
      <c r="M455" s="44">
        <v>-1.0</v>
      </c>
      <c r="N455" s="166">
        <v>0.0</v>
      </c>
      <c r="O455" s="44">
        <v>0.0</v>
      </c>
      <c r="P455" s="44">
        <v>0.0</v>
      </c>
      <c r="Q455" s="44">
        <v>0.0</v>
      </c>
      <c r="R455" s="44">
        <v>0.0</v>
      </c>
      <c r="S455" s="175"/>
      <c r="T455" s="44">
        <v>0.0</v>
      </c>
      <c r="U455" s="44">
        <v>0.0</v>
      </c>
      <c r="V455" s="44">
        <v>0.0</v>
      </c>
      <c r="W455" s="45"/>
      <c r="X455" s="45"/>
      <c r="Y455" s="45"/>
      <c r="Z455" s="9"/>
      <c r="AA455" s="9"/>
      <c r="AB455" s="9"/>
      <c r="AC455" s="9"/>
      <c r="AD455" s="9"/>
      <c r="AE455" s="9"/>
      <c r="AF455" s="9"/>
    </row>
    <row r="456">
      <c r="A456" s="231">
        <v>1.0</v>
      </c>
      <c r="B456" s="44" t="s">
        <v>4769</v>
      </c>
      <c r="C456" s="44">
        <v>453.0</v>
      </c>
      <c r="D456" s="44">
        <v>6.0</v>
      </c>
      <c r="E456" s="355">
        <v>43748.0</v>
      </c>
      <c r="F456" s="162" t="str">
        <f>HYPERLINK("https://regional.kompas.com/read/2019/10/10/10535231/polisi-ungkap-jaringan-prostitusi-yang-jajakan-ladyboy ","sumber")</f>
        <v>sumber</v>
      </c>
      <c r="G456" s="44" t="s">
        <v>33</v>
      </c>
      <c r="H456" s="44">
        <v>291.0</v>
      </c>
      <c r="I456" s="44">
        <v>1.0</v>
      </c>
      <c r="J456" s="44">
        <v>3.0</v>
      </c>
      <c r="K456" s="356" t="s">
        <v>4768</v>
      </c>
      <c r="L456" s="44">
        <v>0.0</v>
      </c>
      <c r="M456" s="44">
        <v>-1.0</v>
      </c>
      <c r="N456" s="166">
        <v>0.0</v>
      </c>
      <c r="O456" s="44">
        <v>0.0</v>
      </c>
      <c r="P456" s="44">
        <v>0.0</v>
      </c>
      <c r="Q456" s="44">
        <v>0.0</v>
      </c>
      <c r="R456" s="44">
        <v>0.0</v>
      </c>
      <c r="S456" s="175"/>
      <c r="T456" s="44">
        <v>0.0</v>
      </c>
      <c r="U456" s="44">
        <v>0.0</v>
      </c>
      <c r="V456" s="44">
        <v>0.0</v>
      </c>
      <c r="W456" s="45"/>
      <c r="X456" s="45"/>
      <c r="Y456" s="45"/>
      <c r="Z456" s="9"/>
      <c r="AA456" s="9"/>
      <c r="AB456" s="9"/>
      <c r="AC456" s="9"/>
      <c r="AD456" s="9"/>
      <c r="AE456" s="9"/>
      <c r="AF456" s="9"/>
    </row>
    <row r="457">
      <c r="A457" s="231">
        <v>1.0</v>
      </c>
      <c r="B457" s="44" t="s">
        <v>3300</v>
      </c>
      <c r="C457" s="44">
        <v>454.0</v>
      </c>
      <c r="D457" s="44">
        <v>5.0</v>
      </c>
      <c r="E457" s="44" t="s">
        <v>932</v>
      </c>
      <c r="F457" s="162" t="str">
        <f>HYPERLINK("https://tirto.id/bentuk-bentuk-pelecehan-seksual-rayuan-hingga-perkosaan-elTB ","sumber")</f>
        <v>sumber</v>
      </c>
      <c r="G457" s="44" t="s">
        <v>33</v>
      </c>
      <c r="H457" s="44">
        <v>1006.0</v>
      </c>
      <c r="I457" s="44">
        <v>5.0</v>
      </c>
      <c r="J457" s="44">
        <v>1.0</v>
      </c>
      <c r="K457" s="164" t="s">
        <v>4770</v>
      </c>
      <c r="L457" s="44">
        <v>0.0</v>
      </c>
      <c r="M457" s="44">
        <v>0.0</v>
      </c>
      <c r="N457" s="166">
        <v>0.0</v>
      </c>
      <c r="O457" s="44">
        <v>0.0</v>
      </c>
      <c r="P457" s="44">
        <v>0.0</v>
      </c>
      <c r="Q457" s="44" t="s">
        <v>214</v>
      </c>
      <c r="R457" s="44" t="s">
        <v>192</v>
      </c>
      <c r="S457" s="175"/>
      <c r="T457" s="44">
        <v>0.0</v>
      </c>
      <c r="U457" s="44">
        <v>0.0</v>
      </c>
      <c r="V457" s="44">
        <v>1.0</v>
      </c>
      <c r="W457" s="45"/>
      <c r="X457" s="45"/>
      <c r="Y457" s="45"/>
      <c r="Z457" s="9"/>
      <c r="AA457" s="9"/>
      <c r="AB457" s="9"/>
      <c r="AC457" s="9"/>
      <c r="AD457" s="9"/>
      <c r="AE457" s="9"/>
      <c r="AF457" s="9"/>
    </row>
    <row r="458">
      <c r="A458" s="231">
        <v>1.0</v>
      </c>
      <c r="B458" s="44" t="s">
        <v>4771</v>
      </c>
      <c r="C458" s="44">
        <v>455.0</v>
      </c>
      <c r="D458" s="44">
        <v>1.0</v>
      </c>
      <c r="E458" s="44" t="s">
        <v>944</v>
      </c>
      <c r="F458" s="162" t="str">
        <f>HYPERLINK("https://hot.detik.com/celeb/d-4793219/kenal-seminggu-lalu-nikah-kania-bintang-pantura-berakhir-bonyok ","sumber")</f>
        <v>sumber</v>
      </c>
      <c r="G458" s="44" t="s">
        <v>33</v>
      </c>
      <c r="H458" s="44">
        <v>347.0</v>
      </c>
      <c r="I458" s="44">
        <v>1.0</v>
      </c>
      <c r="J458" s="44">
        <v>1.0</v>
      </c>
      <c r="K458" s="164" t="s">
        <v>4772</v>
      </c>
      <c r="L458" s="44">
        <v>0.0</v>
      </c>
      <c r="M458" s="44">
        <v>-1.0</v>
      </c>
      <c r="N458" s="166">
        <v>0.0</v>
      </c>
      <c r="O458" s="44">
        <v>0.0</v>
      </c>
      <c r="P458" s="44">
        <v>-1.0</v>
      </c>
      <c r="Q458" s="44">
        <v>2.0</v>
      </c>
      <c r="R458" s="44">
        <v>1.0</v>
      </c>
      <c r="S458" s="175"/>
      <c r="T458" s="44">
        <v>0.0</v>
      </c>
      <c r="U458" s="44">
        <v>0.0</v>
      </c>
      <c r="V458" s="44">
        <v>0.0</v>
      </c>
      <c r="W458" s="45"/>
      <c r="X458" s="45"/>
      <c r="Y458" s="45"/>
      <c r="Z458" s="9"/>
      <c r="AA458" s="9"/>
      <c r="AB458" s="9"/>
      <c r="AC458" s="9"/>
      <c r="AD458" s="9"/>
      <c r="AE458" s="9"/>
      <c r="AF458" s="9"/>
    </row>
    <row r="459">
      <c r="A459" s="231">
        <v>1.0</v>
      </c>
      <c r="B459" s="44" t="s">
        <v>4773</v>
      </c>
      <c r="C459" s="44">
        <v>456.0</v>
      </c>
      <c r="D459" s="44">
        <v>3.0</v>
      </c>
      <c r="E459" s="44" t="s">
        <v>884</v>
      </c>
      <c r="F459" s="162" t="str">
        <f>HYPERLINK("https://economy.okezone.com/read/2019/11/22/320/2133391/lgbt-tak-bisa-jadi-pns-kejaksaan-agung-menpanrb-mereka-mau-yang-sempurna ","sumber")</f>
        <v>sumber</v>
      </c>
      <c r="G459" s="44" t="s">
        <v>33</v>
      </c>
      <c r="H459" s="44">
        <v>292.0</v>
      </c>
      <c r="I459" s="44">
        <v>3.0</v>
      </c>
      <c r="J459" s="44">
        <v>3.0</v>
      </c>
      <c r="K459" s="164" t="s">
        <v>4774</v>
      </c>
      <c r="L459" s="44">
        <v>0.0</v>
      </c>
      <c r="M459" s="44">
        <v>0.0</v>
      </c>
      <c r="N459" s="166">
        <v>0.0</v>
      </c>
      <c r="O459" s="44">
        <v>0.0</v>
      </c>
      <c r="P459" s="44">
        <v>0.0</v>
      </c>
      <c r="Q459" s="44">
        <v>0.0</v>
      </c>
      <c r="R459" s="44">
        <v>-1.0</v>
      </c>
      <c r="S459" s="175"/>
      <c r="T459" s="44">
        <v>0.0</v>
      </c>
      <c r="U459" s="44">
        <v>0.0</v>
      </c>
      <c r="V459" s="44">
        <v>1.0</v>
      </c>
      <c r="W459" s="45"/>
      <c r="X459" s="45"/>
      <c r="Y459" s="45"/>
      <c r="Z459" s="9"/>
      <c r="AA459" s="9"/>
      <c r="AB459" s="9"/>
      <c r="AC459" s="9"/>
      <c r="AD459" s="9"/>
      <c r="AE459" s="9"/>
      <c r="AF459" s="9"/>
    </row>
    <row r="460">
      <c r="A460" s="231">
        <v>1.0</v>
      </c>
      <c r="B460" s="44" t="s">
        <v>4775</v>
      </c>
      <c r="C460" s="44">
        <v>457.0</v>
      </c>
      <c r="D460" s="44">
        <v>5.0</v>
      </c>
      <c r="E460" s="44" t="s">
        <v>884</v>
      </c>
      <c r="F460" s="162" t="str">
        <f>HYPERLINK("https://tirto.id/20-calon-anggota-komnas-perempuan-lolos-dari-tahap-wawancara-emaB ","sumber")</f>
        <v>sumber</v>
      </c>
      <c r="G460" s="44" t="s">
        <v>33</v>
      </c>
      <c r="H460" s="44">
        <v>278.0</v>
      </c>
      <c r="I460" s="44">
        <v>5.0</v>
      </c>
      <c r="J460" s="44">
        <v>1.0</v>
      </c>
      <c r="K460" s="164" t="s">
        <v>4776</v>
      </c>
      <c r="L460" s="44">
        <v>0.0</v>
      </c>
      <c r="M460" s="44">
        <v>0.0</v>
      </c>
      <c r="N460" s="166">
        <v>0.0</v>
      </c>
      <c r="O460" s="44">
        <v>0.0</v>
      </c>
      <c r="P460" s="44">
        <v>0.0</v>
      </c>
      <c r="Q460" s="44">
        <v>0.0</v>
      </c>
      <c r="R460" s="44">
        <v>1.0</v>
      </c>
      <c r="S460" s="175"/>
      <c r="T460" s="44">
        <v>0.0</v>
      </c>
      <c r="U460" s="44">
        <v>0.0</v>
      </c>
      <c r="V460" s="44">
        <v>1.0</v>
      </c>
      <c r="W460" s="45"/>
      <c r="X460" s="45"/>
      <c r="Y460" s="45"/>
      <c r="Z460" s="9"/>
      <c r="AA460" s="9"/>
      <c r="AB460" s="9"/>
      <c r="AC460" s="9"/>
      <c r="AD460" s="9"/>
      <c r="AE460" s="9"/>
      <c r="AF460" s="9"/>
    </row>
    <row r="461">
      <c r="A461" s="189">
        <v>1.0</v>
      </c>
      <c r="B461" s="245" t="s">
        <v>4777</v>
      </c>
      <c r="C461" s="55">
        <v>458.0</v>
      </c>
      <c r="D461" s="55">
        <v>7.0</v>
      </c>
      <c r="E461" s="55" t="s">
        <v>884</v>
      </c>
      <c r="F461" s="171" t="str">
        <f>HYPERLINK("https://www.tribunnews.com/nasional/2019/11/22/komnas-ham-nilai-syarat-daftar-cpns-di-kejagung-bertentangan-dengan-prinsip-ham-dan-uud-1945","sumber")</f>
        <v>sumber</v>
      </c>
      <c r="G461" s="55" t="s">
        <v>33</v>
      </c>
      <c r="H461" s="55">
        <v>281.0</v>
      </c>
      <c r="I461" s="55">
        <v>4.0</v>
      </c>
      <c r="J461" s="55">
        <v>3.0</v>
      </c>
      <c r="K461" s="172" t="s">
        <v>4778</v>
      </c>
      <c r="L461" s="55">
        <v>0.0</v>
      </c>
      <c r="M461" s="55">
        <v>0.0</v>
      </c>
      <c r="N461" s="173">
        <v>0.0</v>
      </c>
      <c r="O461" s="55">
        <v>0.0</v>
      </c>
      <c r="P461" s="55">
        <v>0.0</v>
      </c>
      <c r="Q461" s="55" t="s">
        <v>61</v>
      </c>
      <c r="R461" s="55" t="s">
        <v>780</v>
      </c>
      <c r="S461" s="174"/>
      <c r="T461" s="55">
        <v>0.0</v>
      </c>
      <c r="U461" s="55">
        <v>0.0</v>
      </c>
      <c r="V461" s="55">
        <v>1.0</v>
      </c>
      <c r="W461" s="46"/>
      <c r="X461" s="46"/>
      <c r="Y461" s="46"/>
      <c r="Z461" s="31"/>
      <c r="AA461" s="31"/>
      <c r="AB461" s="31"/>
      <c r="AC461" s="31"/>
      <c r="AD461" s="31"/>
      <c r="AE461" s="31"/>
      <c r="AF461" s="31"/>
    </row>
    <row r="462">
      <c r="A462" s="231">
        <v>1.0</v>
      </c>
      <c r="B462" s="44" t="s">
        <v>4779</v>
      </c>
      <c r="C462" s="44">
        <v>459.0</v>
      </c>
      <c r="D462" s="44">
        <v>5.0</v>
      </c>
      <c r="E462" s="44" t="s">
        <v>950</v>
      </c>
      <c r="F462" s="162" t="str">
        <f>HYPERLINK("https://tirto.id/amnesty-minta-persyaratan-diskriminatif-cpns-2019-dicabut-embF ","sumber")</f>
        <v>sumber</v>
      </c>
      <c r="G462" s="44" t="s">
        <v>33</v>
      </c>
      <c r="H462" s="44">
        <v>244.0</v>
      </c>
      <c r="I462" s="44">
        <v>4.0</v>
      </c>
      <c r="J462" s="44">
        <v>3.0</v>
      </c>
      <c r="K462" s="164" t="s">
        <v>4776</v>
      </c>
      <c r="L462" s="44">
        <v>0.0</v>
      </c>
      <c r="M462" s="44">
        <v>0.0</v>
      </c>
      <c r="N462" s="166">
        <v>0.0</v>
      </c>
      <c r="O462" s="44">
        <v>0.0</v>
      </c>
      <c r="P462" s="44">
        <v>0.0</v>
      </c>
      <c r="Q462" s="44">
        <v>0.0</v>
      </c>
      <c r="R462" s="44">
        <v>1.0</v>
      </c>
      <c r="S462" s="175"/>
      <c r="T462" s="44">
        <v>0.0</v>
      </c>
      <c r="U462" s="44">
        <v>0.0</v>
      </c>
      <c r="V462" s="44">
        <v>1.0</v>
      </c>
      <c r="W462" s="45"/>
      <c r="X462" s="45"/>
      <c r="Y462" s="45"/>
      <c r="Z462" s="9"/>
      <c r="AA462" s="9"/>
      <c r="AB462" s="9"/>
      <c r="AC462" s="9"/>
      <c r="AD462" s="9"/>
      <c r="AE462" s="9"/>
      <c r="AF462" s="9"/>
    </row>
    <row r="463">
      <c r="A463" s="231">
        <v>1.0</v>
      </c>
      <c r="B463" s="44" t="s">
        <v>4780</v>
      </c>
      <c r="C463" s="44">
        <v>460.0</v>
      </c>
      <c r="D463" s="44">
        <v>2.0</v>
      </c>
      <c r="E463" s="44" t="s">
        <v>960</v>
      </c>
      <c r="F463" s="162" t="str">
        <f>HYPERLINK("https://www.cnnindonesia.com/nasional/20191125064748-20-451117/masa-pendaftaran-cpns-diperpanjang-hingga-30-november ","sumber")</f>
        <v>sumber</v>
      </c>
      <c r="G463" s="44" t="s">
        <v>33</v>
      </c>
      <c r="H463" s="44">
        <v>298.0</v>
      </c>
      <c r="I463" s="44">
        <v>4.0</v>
      </c>
      <c r="J463" s="44">
        <v>3.0</v>
      </c>
      <c r="K463" s="164" t="s">
        <v>4781</v>
      </c>
      <c r="L463" s="44">
        <v>0.0</v>
      </c>
      <c r="M463" s="44">
        <v>0.0</v>
      </c>
      <c r="N463" s="166">
        <v>0.0</v>
      </c>
      <c r="O463" s="44">
        <v>0.0</v>
      </c>
      <c r="P463" s="44">
        <v>0.0</v>
      </c>
      <c r="Q463" s="44">
        <v>0.0</v>
      </c>
      <c r="R463" s="44">
        <v>0.0</v>
      </c>
      <c r="S463" s="175"/>
      <c r="T463" s="44">
        <v>0.0</v>
      </c>
      <c r="U463" s="44">
        <v>0.0</v>
      </c>
      <c r="V463" s="44">
        <v>1.0</v>
      </c>
      <c r="W463" s="45"/>
      <c r="X463" s="45"/>
      <c r="Y463" s="45"/>
      <c r="Z463" s="9"/>
      <c r="AA463" s="9"/>
      <c r="AB463" s="9"/>
      <c r="AC463" s="9"/>
      <c r="AD463" s="9"/>
      <c r="AE463" s="9"/>
      <c r="AF463" s="9"/>
    </row>
    <row r="464">
      <c r="A464" s="231">
        <v>1.0</v>
      </c>
      <c r="B464" s="44" t="s">
        <v>4782</v>
      </c>
      <c r="C464" s="44">
        <v>461.0</v>
      </c>
      <c r="D464" s="44">
        <v>4.0</v>
      </c>
      <c r="E464" s="44" t="s">
        <v>4783</v>
      </c>
      <c r="F464" s="162" t="str">
        <f>HYPERLINK("https://www.liputan6.com/global/read/4132887/kamus-merriam-webster-nobatkan-kata-they-sebagai-word-of-the-year-2019 ","sumber")</f>
        <v>sumber</v>
      </c>
      <c r="G464" s="44" t="s">
        <v>33</v>
      </c>
      <c r="H464" s="44">
        <v>318.0</v>
      </c>
      <c r="I464" s="44">
        <v>5.0</v>
      </c>
      <c r="J464" s="44">
        <v>3.0</v>
      </c>
      <c r="K464" s="164"/>
      <c r="L464" s="44">
        <v>0.0</v>
      </c>
      <c r="M464" s="44">
        <v>0.0</v>
      </c>
      <c r="N464" s="166">
        <v>0.0</v>
      </c>
      <c r="O464" s="44">
        <v>0.0</v>
      </c>
      <c r="P464" s="44">
        <v>0.0</v>
      </c>
      <c r="Q464" s="44"/>
      <c r="R464" s="44"/>
      <c r="S464" s="175"/>
      <c r="T464" s="44">
        <v>0.0</v>
      </c>
      <c r="U464" s="44">
        <v>0.0</v>
      </c>
      <c r="V464" s="44">
        <v>1.0</v>
      </c>
      <c r="W464" s="45"/>
      <c r="X464" s="45"/>
      <c r="Y464" s="45"/>
      <c r="Z464" s="9"/>
      <c r="AA464" s="9"/>
      <c r="AB464" s="9"/>
      <c r="AC464" s="9"/>
      <c r="AD464" s="9"/>
      <c r="AE464" s="9"/>
      <c r="AF464" s="9"/>
    </row>
    <row r="465">
      <c r="A465" s="231">
        <v>1.0</v>
      </c>
      <c r="B465" s="44" t="s">
        <v>4784</v>
      </c>
      <c r="C465" s="44">
        <v>462.0</v>
      </c>
      <c r="D465" s="44">
        <v>10.0</v>
      </c>
      <c r="E465" s="44" t="s">
        <v>1010</v>
      </c>
      <c r="F465" s="162" t="str">
        <f>HYPERLINK("https://dunia.tempo.co/read/1283919/lukisan-pahlawan-meksiko-emiliano-zapata-picu-kontroversi ","sumber")</f>
        <v>sumber</v>
      </c>
      <c r="G465" s="44" t="s">
        <v>33</v>
      </c>
      <c r="H465" s="44">
        <v>295.0</v>
      </c>
      <c r="I465" s="44">
        <v>1.0</v>
      </c>
      <c r="J465" s="44">
        <v>3.0</v>
      </c>
      <c r="K465" s="164" t="s">
        <v>4785</v>
      </c>
      <c r="L465" s="44">
        <v>0.0</v>
      </c>
      <c r="M465" s="44">
        <v>1.0</v>
      </c>
      <c r="N465" s="166">
        <v>0.0</v>
      </c>
      <c r="O465" s="44">
        <v>0.0</v>
      </c>
      <c r="P465" s="44">
        <v>0.0</v>
      </c>
      <c r="Q465" s="44" t="s">
        <v>61</v>
      </c>
      <c r="R465" s="44" t="s">
        <v>214</v>
      </c>
      <c r="S465" s="175"/>
      <c r="T465" s="44">
        <v>0.0</v>
      </c>
      <c r="U465" s="44">
        <v>0.0</v>
      </c>
      <c r="V465" s="44">
        <v>1.0</v>
      </c>
      <c r="W465" s="45"/>
      <c r="X465" s="45"/>
      <c r="Y465" s="45"/>
      <c r="Z465" s="9"/>
      <c r="AA465" s="9"/>
      <c r="AB465" s="9"/>
      <c r="AC465" s="9"/>
      <c r="AD465" s="9"/>
      <c r="AE465" s="9"/>
      <c r="AF465" s="9"/>
    </row>
    <row r="466">
      <c r="A466" s="231">
        <v>1.0</v>
      </c>
      <c r="B466" s="44" t="s">
        <v>4786</v>
      </c>
      <c r="C466" s="44">
        <v>463.0</v>
      </c>
      <c r="D466" s="44">
        <v>3.0</v>
      </c>
      <c r="E466" s="44" t="s">
        <v>4787</v>
      </c>
      <c r="F466" s="162" t="str">
        <f>HYPERLINK("https://news.okezone.com/read/2019/12/16/18/2142244/tanpa-memberi-tahu-orang-tua-kami-jalankan-bisnis-rahasia-pornografi-gay ","sumber")</f>
        <v>sumber</v>
      </c>
      <c r="G466" s="44" t="s">
        <v>33</v>
      </c>
      <c r="H466" s="44">
        <v>1025.0</v>
      </c>
      <c r="I466" s="44">
        <v>2.0</v>
      </c>
      <c r="J466" s="44">
        <v>3.0</v>
      </c>
      <c r="K466" s="164" t="s">
        <v>4788</v>
      </c>
      <c r="L466" s="44">
        <v>0.0</v>
      </c>
      <c r="M466" s="44">
        <v>0.0</v>
      </c>
      <c r="N466" s="166">
        <v>0.0</v>
      </c>
      <c r="O466" s="44">
        <v>0.0</v>
      </c>
      <c r="P466" s="44">
        <v>0.0</v>
      </c>
      <c r="Q466" s="44" t="s">
        <v>138</v>
      </c>
      <c r="R466" s="44" t="s">
        <v>862</v>
      </c>
      <c r="S466" s="175"/>
      <c r="T466" s="44">
        <v>0.0</v>
      </c>
      <c r="U466" s="44">
        <v>0.0</v>
      </c>
      <c r="V466" s="44">
        <v>0.0</v>
      </c>
      <c r="W466" s="45"/>
      <c r="X466" s="45"/>
      <c r="Y466" s="45"/>
      <c r="Z466" s="9"/>
      <c r="AA466" s="9"/>
      <c r="AB466" s="9"/>
      <c r="AC466" s="9"/>
      <c r="AD466" s="9"/>
      <c r="AE466" s="9"/>
      <c r="AF466" s="9"/>
    </row>
    <row r="467">
      <c r="A467" s="231">
        <v>1.0</v>
      </c>
      <c r="B467" s="44" t="s">
        <v>4789</v>
      </c>
      <c r="C467" s="44">
        <v>464.0</v>
      </c>
      <c r="D467" s="44">
        <v>3.0</v>
      </c>
      <c r="E467" s="44" t="s">
        <v>907</v>
      </c>
      <c r="F467" s="162" t="str">
        <f>HYPERLINK("https://index.okezone.com/read/2019/12/16/612/2142685/pengakuan-mantan-stripper-kulit-hitam-biasa-show-untuk-mafia-hingga-tentara ","sumber")</f>
        <v>sumber</v>
      </c>
      <c r="G467" s="44" t="s">
        <v>33</v>
      </c>
      <c r="H467" s="44">
        <v>1764.0</v>
      </c>
      <c r="I467" s="44">
        <v>2.0</v>
      </c>
      <c r="J467" s="44">
        <v>1.0</v>
      </c>
      <c r="K467" s="164" t="s">
        <v>4790</v>
      </c>
      <c r="L467" s="44">
        <v>0.0</v>
      </c>
      <c r="M467" s="44">
        <v>0.0</v>
      </c>
      <c r="N467" s="166">
        <v>0.0</v>
      </c>
      <c r="O467" s="44">
        <v>0.0</v>
      </c>
      <c r="P467" s="44">
        <v>0.0</v>
      </c>
      <c r="Q467" s="44">
        <v>2.0</v>
      </c>
      <c r="R467" s="44">
        <v>1.0</v>
      </c>
      <c r="S467" s="175"/>
      <c r="T467" s="44">
        <v>0.0</v>
      </c>
      <c r="U467" s="44">
        <v>0.0</v>
      </c>
      <c r="V467" s="44">
        <v>1.0</v>
      </c>
      <c r="W467" s="45"/>
      <c r="X467" s="45"/>
      <c r="Y467" s="45"/>
      <c r="Z467" s="9"/>
      <c r="AA467" s="9"/>
      <c r="AB467" s="9"/>
      <c r="AC467" s="9"/>
      <c r="AD467" s="9"/>
      <c r="AE467" s="9"/>
      <c r="AF467" s="9"/>
    </row>
    <row r="468">
      <c r="A468" s="43">
        <v>2.0</v>
      </c>
      <c r="B468" s="47" t="s">
        <v>4791</v>
      </c>
      <c r="C468" s="47">
        <v>465.0</v>
      </c>
      <c r="D468" s="47">
        <v>1.0</v>
      </c>
      <c r="E468" s="47" t="s">
        <v>893</v>
      </c>
      <c r="F468" s="156" t="str">
        <f>HYPERLINK("https://hot.detik.com/movie/d-4827097/the-rise-of-skywalker-jadi-film-star-wars-yang-ditunggu-mike-lewis ","sumber")</f>
        <v>sumber</v>
      </c>
      <c r="G468" s="47" t="s">
        <v>33</v>
      </c>
      <c r="H468" s="48"/>
      <c r="I468" s="48"/>
      <c r="J468" s="48"/>
      <c r="K468" s="165"/>
      <c r="L468" s="48"/>
      <c r="M468" s="48"/>
      <c r="N468" s="48"/>
      <c r="O468" s="48"/>
      <c r="P468" s="48"/>
      <c r="Q468" s="48"/>
      <c r="R468" s="48"/>
      <c r="S468" s="165"/>
      <c r="T468" s="48"/>
      <c r="U468" s="48"/>
      <c r="V468" s="48"/>
      <c r="W468" s="48"/>
      <c r="X468" s="48"/>
      <c r="Y468" s="48"/>
      <c r="Z468" s="338"/>
      <c r="AA468" s="51"/>
      <c r="AB468" s="51"/>
      <c r="AC468" s="51"/>
      <c r="AD468" s="51"/>
      <c r="AE468" s="51"/>
      <c r="AF468" s="51"/>
    </row>
    <row r="469">
      <c r="A469" s="231">
        <v>1.0</v>
      </c>
      <c r="B469" s="44" t="s">
        <v>4792</v>
      </c>
      <c r="C469" s="44">
        <v>466.0</v>
      </c>
      <c r="D469" s="44">
        <v>6.0</v>
      </c>
      <c r="E469" s="44" t="s">
        <v>893</v>
      </c>
      <c r="F469" s="162" t="str">
        <f>HYPERLINK("https://megapolitan.kompas.com/read/2019/12/18/17293451/438-persen-pengidap-hiv-aids-di-indonesia-belum-terdata ","sumber")</f>
        <v>sumber</v>
      </c>
      <c r="G469" s="44" t="s">
        <v>33</v>
      </c>
      <c r="H469" s="44">
        <v>263.0</v>
      </c>
      <c r="I469" s="44">
        <v>5.0</v>
      </c>
      <c r="J469" s="44">
        <v>3.0</v>
      </c>
      <c r="K469" s="164" t="s">
        <v>4793</v>
      </c>
      <c r="L469" s="44">
        <v>0.0</v>
      </c>
      <c r="M469" s="44">
        <v>0.0</v>
      </c>
      <c r="N469" s="166">
        <v>0.0</v>
      </c>
      <c r="O469" s="44">
        <v>0.0</v>
      </c>
      <c r="P469" s="44">
        <v>0.0</v>
      </c>
      <c r="Q469" s="44">
        <v>0.0</v>
      </c>
      <c r="R469" s="44">
        <v>-1.0</v>
      </c>
      <c r="S469" s="175"/>
      <c r="T469" s="44">
        <v>0.0</v>
      </c>
      <c r="U469" s="44">
        <v>0.0</v>
      </c>
      <c r="V469" s="44">
        <v>1.0</v>
      </c>
      <c r="W469" s="45"/>
      <c r="X469" s="45"/>
      <c r="Y469" s="45"/>
      <c r="Z469" s="9"/>
      <c r="AA469" s="9"/>
      <c r="AB469" s="9"/>
      <c r="AC469" s="9"/>
      <c r="AD469" s="9"/>
      <c r="AE469" s="9"/>
      <c r="AF469" s="9"/>
    </row>
    <row r="470">
      <c r="A470" s="43">
        <v>2.0</v>
      </c>
      <c r="B470" s="47" t="s">
        <v>4794</v>
      </c>
      <c r="C470" s="47">
        <v>467.0</v>
      </c>
      <c r="D470" s="47">
        <v>10.0</v>
      </c>
      <c r="E470" s="47" t="s">
        <v>893</v>
      </c>
      <c r="F470" s="156" t="str">
        <f>HYPERLINK("https://bisnis.tempo.co/read/1285209/bea-cukai-dan-kemendag-musnahkan-barang-impor-ilegal-rp-15-m ","sumber")</f>
        <v>sumber</v>
      </c>
      <c r="G470" s="47" t="s">
        <v>33</v>
      </c>
      <c r="H470" s="48"/>
      <c r="I470" s="48"/>
      <c r="J470" s="48"/>
      <c r="K470" s="165"/>
      <c r="L470" s="48"/>
      <c r="M470" s="48"/>
      <c r="N470" s="48"/>
      <c r="O470" s="48"/>
      <c r="P470" s="48"/>
      <c r="Q470" s="48"/>
      <c r="R470" s="48"/>
      <c r="S470" s="165"/>
      <c r="T470" s="48"/>
      <c r="U470" s="48"/>
      <c r="V470" s="48"/>
      <c r="W470" s="48"/>
      <c r="X470" s="48"/>
      <c r="Y470" s="48"/>
      <c r="Z470" s="338"/>
      <c r="AA470" s="51"/>
      <c r="AB470" s="51"/>
      <c r="AC470" s="51"/>
      <c r="AD470" s="51"/>
      <c r="AE470" s="51"/>
      <c r="AF470" s="51"/>
    </row>
    <row r="471">
      <c r="A471" s="189">
        <v>1.0</v>
      </c>
      <c r="B471" s="245" t="s">
        <v>4795</v>
      </c>
      <c r="C471" s="55">
        <v>468.0</v>
      </c>
      <c r="D471" s="55">
        <v>1.0</v>
      </c>
      <c r="E471" s="55" t="s">
        <v>896</v>
      </c>
      <c r="F471" s="171" t="str">
        <f>HYPERLINK("https://hot.detik.com/book/d-4829860/jk-rowling-diserang-komunitas-lgbt-kenapa","sumber")</f>
        <v>sumber</v>
      </c>
      <c r="G471" s="55" t="s">
        <v>33</v>
      </c>
      <c r="H471" s="55">
        <v>1162.0</v>
      </c>
      <c r="I471" s="55">
        <v>1.0</v>
      </c>
      <c r="J471" s="55">
        <v>3.0</v>
      </c>
      <c r="K471" s="172" t="s">
        <v>4796</v>
      </c>
      <c r="L471" s="55">
        <v>-1.0</v>
      </c>
      <c r="M471" s="55">
        <v>1.0</v>
      </c>
      <c r="N471" s="173">
        <v>0.0</v>
      </c>
      <c r="O471" s="55">
        <v>0.0</v>
      </c>
      <c r="P471" s="55">
        <v>0.0</v>
      </c>
      <c r="Q471" s="55" t="s">
        <v>61</v>
      </c>
      <c r="R471" s="55" t="s">
        <v>173</v>
      </c>
      <c r="S471" s="174"/>
      <c r="T471" s="55">
        <v>0.0</v>
      </c>
      <c r="U471" s="55">
        <v>0.0</v>
      </c>
      <c r="V471" s="55">
        <v>0.0</v>
      </c>
      <c r="W471" s="46"/>
      <c r="X471" s="46"/>
      <c r="Y471" s="46"/>
      <c r="Z471" s="31"/>
      <c r="AA471" s="31"/>
      <c r="AB471" s="31"/>
      <c r="AC471" s="31"/>
      <c r="AD471" s="31"/>
      <c r="AE471" s="31"/>
      <c r="AF471" s="31"/>
    </row>
    <row r="472">
      <c r="A472" s="231">
        <v>1.0</v>
      </c>
      <c r="B472" s="44" t="s">
        <v>4797</v>
      </c>
      <c r="C472" s="44">
        <v>469.0</v>
      </c>
      <c r="D472" s="44">
        <v>4.0</v>
      </c>
      <c r="E472" s="44" t="s">
        <v>1076</v>
      </c>
      <c r="F472" s="162" t="str">
        <f>HYPERLINK("https://www.liputan6.com/global/read/4141870/pesan-natal-paus-fransiskus-tuhan-terus-mencintai-bahkan-yang-terburuk-dari-kita ","sumber")</f>
        <v>sumber</v>
      </c>
      <c r="G472" s="44" t="s">
        <v>33</v>
      </c>
      <c r="H472" s="44">
        <v>238.0</v>
      </c>
      <c r="I472" s="44">
        <v>3.0</v>
      </c>
      <c r="J472" s="44">
        <v>3.0</v>
      </c>
      <c r="K472" s="164" t="s">
        <v>4798</v>
      </c>
      <c r="L472" s="44">
        <v>0.0</v>
      </c>
      <c r="M472" s="44">
        <v>0.0</v>
      </c>
      <c r="N472" s="166">
        <v>0.0</v>
      </c>
      <c r="O472" s="44">
        <v>0.0</v>
      </c>
      <c r="P472" s="44">
        <v>0.0</v>
      </c>
      <c r="Q472" s="44">
        <v>0.0</v>
      </c>
      <c r="R472" s="44">
        <v>1.0</v>
      </c>
      <c r="S472" s="175"/>
      <c r="T472" s="44">
        <v>0.0</v>
      </c>
      <c r="U472" s="44">
        <v>0.0</v>
      </c>
      <c r="V472" s="44">
        <v>1.0</v>
      </c>
      <c r="W472" s="45"/>
      <c r="X472" s="45"/>
      <c r="Y472" s="45"/>
      <c r="Z472" s="9"/>
      <c r="AA472" s="9"/>
      <c r="AB472" s="9"/>
      <c r="AC472" s="9"/>
      <c r="AD472" s="9"/>
      <c r="AE472" s="9"/>
      <c r="AF472" s="9"/>
    </row>
    <row r="473">
      <c r="A473" s="231">
        <v>1.0</v>
      </c>
      <c r="B473" s="44" t="s">
        <v>4799</v>
      </c>
      <c r="C473" s="44">
        <v>470.0</v>
      </c>
      <c r="D473" s="44">
        <v>6.0</v>
      </c>
      <c r="E473" s="44" t="s">
        <v>1019</v>
      </c>
      <c r="F473" s="162" t="str">
        <f>HYPERLINK("https://regional.kompas.com/read/2019/12/30/16132141/malam-tahun-baru-2020-di-puncak-cianjur-polisi-antisipasi-geliat-prostitusi ","sumber")</f>
        <v>sumber</v>
      </c>
      <c r="G473" s="44" t="s">
        <v>33</v>
      </c>
      <c r="H473" s="44">
        <v>241.0</v>
      </c>
      <c r="I473" s="44">
        <v>1.0</v>
      </c>
      <c r="J473" s="44">
        <v>1.0</v>
      </c>
      <c r="K473" s="164" t="s">
        <v>4800</v>
      </c>
      <c r="L473" s="44">
        <v>0.0</v>
      </c>
      <c r="M473" s="44">
        <v>-1.0</v>
      </c>
      <c r="N473" s="166">
        <v>0.0</v>
      </c>
      <c r="O473" s="44">
        <v>0.0</v>
      </c>
      <c r="P473" s="44">
        <v>0.0</v>
      </c>
      <c r="Q473" s="44">
        <v>0.0</v>
      </c>
      <c r="R473" s="44">
        <v>0.0</v>
      </c>
      <c r="S473" s="175"/>
      <c r="T473" s="44">
        <v>0.0</v>
      </c>
      <c r="U473" s="44">
        <v>0.0</v>
      </c>
      <c r="V473" s="44">
        <v>1.0</v>
      </c>
      <c r="W473" s="45"/>
      <c r="X473" s="45"/>
      <c r="Y473" s="45"/>
      <c r="Z473" s="9"/>
      <c r="AA473" s="9"/>
      <c r="AB473" s="9"/>
      <c r="AC473" s="9"/>
      <c r="AD473" s="9"/>
      <c r="AE473" s="9"/>
      <c r="AF473" s="9"/>
    </row>
    <row r="474">
      <c r="A474" s="231">
        <v>1.0</v>
      </c>
      <c r="B474" s="44" t="s">
        <v>4801</v>
      </c>
      <c r="C474" s="44">
        <v>471.0</v>
      </c>
      <c r="D474" s="44">
        <v>3.0</v>
      </c>
      <c r="E474" s="268">
        <v>43565.0</v>
      </c>
      <c r="F474" s="162" t="str">
        <f>HYPERLINK("https://news.okezone.com/read/2019/10/04/512/2112667/usai-nonton-wayang-gadis-ini-digilir-6-pemuda ","sumber")</f>
        <v>sumber</v>
      </c>
      <c r="G474" s="44" t="s">
        <v>33</v>
      </c>
      <c r="H474" s="44">
        <v>246.0</v>
      </c>
      <c r="I474" s="44">
        <v>1.0</v>
      </c>
      <c r="J474" s="44">
        <v>1.0</v>
      </c>
      <c r="K474" s="164" t="s">
        <v>4802</v>
      </c>
      <c r="L474" s="44">
        <v>0.0</v>
      </c>
      <c r="M474" s="44">
        <v>-1.0</v>
      </c>
      <c r="N474" s="166">
        <v>0.0</v>
      </c>
      <c r="O474" s="44">
        <v>-1.0</v>
      </c>
      <c r="P474" s="44">
        <v>-1.0</v>
      </c>
      <c r="Q474" s="44">
        <v>0.0</v>
      </c>
      <c r="R474" s="44">
        <v>1.0</v>
      </c>
      <c r="S474" s="164" t="s">
        <v>4803</v>
      </c>
      <c r="T474" s="44">
        <v>1.0</v>
      </c>
      <c r="U474" s="44">
        <v>0.0</v>
      </c>
      <c r="V474" s="44">
        <v>0.0</v>
      </c>
      <c r="W474" s="45"/>
      <c r="X474" s="45"/>
      <c r="Y474" s="45"/>
      <c r="Z474" s="9"/>
      <c r="AA474" s="9"/>
      <c r="AB474" s="9"/>
      <c r="AC474" s="9"/>
      <c r="AD474" s="9"/>
      <c r="AE474" s="9"/>
      <c r="AF474" s="9"/>
    </row>
    <row r="475">
      <c r="A475" s="231">
        <v>1.0</v>
      </c>
      <c r="B475" s="44" t="s">
        <v>4804</v>
      </c>
      <c r="C475" s="44">
        <v>472.0</v>
      </c>
      <c r="D475" s="44">
        <v>5.0</v>
      </c>
      <c r="E475" s="268">
        <v>43565.0</v>
      </c>
      <c r="F475" s="162" t="str">
        <f>HYPERLINK("https://tirto.id/apakah-puan-maharani-sanggup-mempercepat-pengesahan-ruu-pks-ejbf ","sumber")</f>
        <v>sumber</v>
      </c>
      <c r="G475" s="44" t="s">
        <v>33</v>
      </c>
      <c r="H475" s="44">
        <v>727.0</v>
      </c>
      <c r="I475" s="44">
        <v>4.0</v>
      </c>
      <c r="J475" s="44">
        <v>1.0</v>
      </c>
      <c r="K475" s="164" t="s">
        <v>4805</v>
      </c>
      <c r="L475" s="44">
        <v>0.0</v>
      </c>
      <c r="M475" s="44">
        <v>0.0</v>
      </c>
      <c r="N475" s="166">
        <v>0.0</v>
      </c>
      <c r="O475" s="44">
        <v>0.0</v>
      </c>
      <c r="P475" s="44">
        <v>0.0</v>
      </c>
      <c r="Q475" s="44" t="s">
        <v>4806</v>
      </c>
      <c r="R475" s="44" t="s">
        <v>1305</v>
      </c>
      <c r="S475" s="175"/>
      <c r="T475" s="44">
        <v>0.0</v>
      </c>
      <c r="U475" s="44">
        <v>0.0</v>
      </c>
      <c r="V475" s="44">
        <v>1.0</v>
      </c>
      <c r="W475" s="45"/>
      <c r="X475" s="45"/>
      <c r="Y475" s="45"/>
      <c r="Z475" s="9"/>
      <c r="AA475" s="9"/>
      <c r="AB475" s="9"/>
      <c r="AC475" s="9"/>
      <c r="AD475" s="9"/>
      <c r="AE475" s="9"/>
      <c r="AF475" s="9"/>
    </row>
    <row r="476">
      <c r="A476" s="231">
        <v>1.0</v>
      </c>
      <c r="B476" s="44" t="s">
        <v>4807</v>
      </c>
      <c r="C476" s="44">
        <v>473.0</v>
      </c>
      <c r="D476" s="44">
        <v>10.0</v>
      </c>
      <c r="E476" s="268">
        <v>43595.0</v>
      </c>
      <c r="F476" s="162" t="str">
        <f>HYPERLINK("https://nasional.tempo.co/read/1256187/mui-sebut-ruu-pks-feminis-begini-kata-komnas-perempuan ","sumber")</f>
        <v>sumber</v>
      </c>
      <c r="G476" s="44" t="s">
        <v>33</v>
      </c>
      <c r="H476" s="44">
        <v>254.0</v>
      </c>
      <c r="I476" s="44">
        <v>4.0</v>
      </c>
      <c r="J476" s="44">
        <v>1.0</v>
      </c>
      <c r="K476" s="164" t="s">
        <v>4808</v>
      </c>
      <c r="L476" s="44">
        <v>0.0</v>
      </c>
      <c r="M476" s="44">
        <v>0.0</v>
      </c>
      <c r="N476" s="166">
        <v>0.0</v>
      </c>
      <c r="O476" s="44">
        <v>0.0</v>
      </c>
      <c r="P476" s="44">
        <v>0.0</v>
      </c>
      <c r="Q476" s="44" t="s">
        <v>100</v>
      </c>
      <c r="R476" s="44" t="s">
        <v>780</v>
      </c>
      <c r="S476" s="175"/>
      <c r="T476" s="44">
        <v>0.0</v>
      </c>
      <c r="U476" s="44">
        <v>0.0</v>
      </c>
      <c r="V476" s="44">
        <v>1.0</v>
      </c>
      <c r="W476" s="45"/>
      <c r="X476" s="45"/>
      <c r="Y476" s="45"/>
      <c r="Z476" s="9"/>
      <c r="AA476" s="9"/>
      <c r="AB476" s="9"/>
      <c r="AC476" s="9"/>
      <c r="AD476" s="9"/>
      <c r="AE476" s="9"/>
      <c r="AF476" s="9"/>
    </row>
    <row r="477">
      <c r="A477" s="252">
        <v>1.0</v>
      </c>
      <c r="B477" s="173" t="s">
        <v>4809</v>
      </c>
      <c r="C477" s="55">
        <v>474.0</v>
      </c>
      <c r="D477" s="55">
        <v>4.0</v>
      </c>
      <c r="E477" s="344">
        <v>43626.0</v>
      </c>
      <c r="F477" s="171" t="str">
        <f>HYPERLINK("https://www.liputan6.com/global/read/4079951/seorang-wni-jadi-korban-kdrt-oleh-suami-di-kuwait ","sumber")</f>
        <v>sumber</v>
      </c>
      <c r="G477" s="55" t="s">
        <v>33</v>
      </c>
      <c r="H477" s="55">
        <v>196.0</v>
      </c>
      <c r="I477" s="55">
        <v>1.0</v>
      </c>
      <c r="J477" s="55">
        <v>1.0</v>
      </c>
      <c r="K477" s="172" t="s">
        <v>4810</v>
      </c>
      <c r="L477" s="55">
        <v>0.0</v>
      </c>
      <c r="M477" s="188">
        <v>0.0</v>
      </c>
      <c r="N477" s="173">
        <v>0.0</v>
      </c>
      <c r="O477" s="55">
        <v>0.0</v>
      </c>
      <c r="P477" s="55">
        <v>0.0</v>
      </c>
      <c r="Q477" s="55" t="s">
        <v>61</v>
      </c>
      <c r="R477" s="55" t="s">
        <v>192</v>
      </c>
      <c r="S477" s="172"/>
      <c r="T477" s="55">
        <v>0.0</v>
      </c>
      <c r="U477" s="55">
        <v>0.0</v>
      </c>
      <c r="V477" s="55">
        <v>0.0</v>
      </c>
      <c r="W477" s="46"/>
      <c r="X477" s="46"/>
      <c r="Y477" s="46"/>
      <c r="Z477" s="31"/>
      <c r="AA477" s="31"/>
      <c r="AB477" s="31"/>
      <c r="AC477" s="31"/>
      <c r="AD477" s="31"/>
      <c r="AE477" s="31"/>
      <c r="AF477" s="31"/>
    </row>
    <row r="478">
      <c r="A478" s="189">
        <v>1.0</v>
      </c>
      <c r="B478" s="245" t="s">
        <v>2814</v>
      </c>
      <c r="C478" s="55">
        <v>475.0</v>
      </c>
      <c r="D478" s="55">
        <v>7.0</v>
      </c>
      <c r="E478" s="344">
        <v>43626.0</v>
      </c>
      <c r="F478" s="171" t="str">
        <f>HYPERLINK("https://www.tribunnews.com/regional/2019/10/06/dibekap-dan-akan-diperkosa-oleh-teman-suaminya-ibu-muda-ini-melawan-dan-bikin-pelaku-kecut","sumber")</f>
        <v>sumber</v>
      </c>
      <c r="G478" s="55" t="s">
        <v>33</v>
      </c>
      <c r="H478" s="55">
        <v>212.0</v>
      </c>
      <c r="I478" s="55">
        <v>1.0</v>
      </c>
      <c r="J478" s="55">
        <v>1.0</v>
      </c>
      <c r="K478" s="172" t="s">
        <v>4811</v>
      </c>
      <c r="L478" s="55">
        <v>0.0</v>
      </c>
      <c r="M478" s="55">
        <v>-1.0</v>
      </c>
      <c r="N478" s="173">
        <v>0.0</v>
      </c>
      <c r="O478" s="55">
        <v>-1.0</v>
      </c>
      <c r="P478" s="55">
        <v>-1.0</v>
      </c>
      <c r="Q478" s="55" t="s">
        <v>61</v>
      </c>
      <c r="R478" s="55" t="s">
        <v>192</v>
      </c>
      <c r="S478" s="172" t="s">
        <v>4812</v>
      </c>
      <c r="T478" s="55">
        <v>2.0</v>
      </c>
      <c r="U478" s="55">
        <v>0.0</v>
      </c>
      <c r="V478" s="55">
        <v>0.0</v>
      </c>
      <c r="W478" s="46"/>
      <c r="X478" s="46"/>
      <c r="Y478" s="46"/>
      <c r="Z478" s="31"/>
      <c r="AA478" s="31"/>
      <c r="AB478" s="31"/>
      <c r="AC478" s="31"/>
      <c r="AD478" s="31"/>
      <c r="AE478" s="31"/>
      <c r="AF478" s="31"/>
    </row>
    <row r="479">
      <c r="A479" s="231">
        <v>1.0</v>
      </c>
      <c r="B479" s="44" t="s">
        <v>4813</v>
      </c>
      <c r="C479" s="44">
        <v>476.0</v>
      </c>
      <c r="D479" s="44">
        <v>3.0</v>
      </c>
      <c r="E479" s="268">
        <v>43656.0</v>
      </c>
      <c r="F479" s="162" t="str">
        <f>HYPERLINK("https://news.okezone.com/read/2019/10/07/18/2113848/mantan-ketua-parlemen-nepal-ditangkap-atas-tuduhan-pemerkosaan ","sumber")</f>
        <v>sumber</v>
      </c>
      <c r="G479" s="44" t="s">
        <v>33</v>
      </c>
      <c r="H479" s="44">
        <v>235.0</v>
      </c>
      <c r="I479" s="44">
        <v>1.0</v>
      </c>
      <c r="J479" s="44">
        <v>1.0</v>
      </c>
      <c r="K479" s="164" t="s">
        <v>4814</v>
      </c>
      <c r="L479" s="44">
        <v>0.0</v>
      </c>
      <c r="M479" s="44">
        <v>1.0</v>
      </c>
      <c r="N479" s="166">
        <v>0.0</v>
      </c>
      <c r="O479" s="44">
        <v>0.0</v>
      </c>
      <c r="P479" s="44">
        <v>0.0</v>
      </c>
      <c r="Q479" s="44" t="s">
        <v>210</v>
      </c>
      <c r="R479" s="44" t="s">
        <v>100</v>
      </c>
      <c r="S479" s="175"/>
      <c r="T479" s="44">
        <v>0.0</v>
      </c>
      <c r="U479" s="44">
        <v>0.0</v>
      </c>
      <c r="V479" s="44">
        <v>0.0</v>
      </c>
      <c r="W479" s="45"/>
      <c r="X479" s="45"/>
      <c r="Y479" s="45"/>
      <c r="Z479" s="9"/>
      <c r="AA479" s="9"/>
      <c r="AB479" s="9"/>
      <c r="AC479" s="9"/>
      <c r="AD479" s="9"/>
      <c r="AE479" s="9"/>
      <c r="AF479" s="9"/>
    </row>
    <row r="480">
      <c r="A480" s="189">
        <v>1.0</v>
      </c>
      <c r="B480" s="245" t="s">
        <v>2818</v>
      </c>
      <c r="C480" s="55">
        <v>477.0</v>
      </c>
      <c r="D480" s="55">
        <v>8.0</v>
      </c>
      <c r="E480" s="344">
        <v>43656.0</v>
      </c>
      <c r="F480" s="171" t="str">
        <f>HYPERLINK("https://www.suara.com/news/2019/10/07/173849/perempuan-indonesia-dibakar-hidup-hidup-suaminya-di-kuwait","sumber")</f>
        <v>sumber</v>
      </c>
      <c r="G480" s="55" t="s">
        <v>33</v>
      </c>
      <c r="H480" s="55">
        <v>190.0</v>
      </c>
      <c r="I480" s="55">
        <v>1.0</v>
      </c>
      <c r="J480" s="55">
        <v>1.0</v>
      </c>
      <c r="K480" s="172" t="s">
        <v>4815</v>
      </c>
      <c r="L480" s="55">
        <v>0.0</v>
      </c>
      <c r="M480" s="55">
        <v>-1.0</v>
      </c>
      <c r="N480" s="173">
        <v>0.0</v>
      </c>
      <c r="O480" s="55">
        <v>1.0</v>
      </c>
      <c r="P480" s="55">
        <v>0.0</v>
      </c>
      <c r="Q480" s="55">
        <v>0.0</v>
      </c>
      <c r="R480" s="55">
        <v>1.0</v>
      </c>
      <c r="S480" s="174"/>
      <c r="T480" s="55">
        <v>0.0</v>
      </c>
      <c r="U480" s="55">
        <v>0.0</v>
      </c>
      <c r="V480" s="55">
        <v>0.0</v>
      </c>
      <c r="W480" s="46"/>
      <c r="X480" s="46"/>
      <c r="Y480" s="46"/>
      <c r="Z480" s="31"/>
      <c r="AA480" s="31"/>
      <c r="AB480" s="31"/>
      <c r="AC480" s="31"/>
      <c r="AD480" s="31"/>
      <c r="AE480" s="31"/>
      <c r="AF480" s="31"/>
    </row>
    <row r="481">
      <c r="A481" s="231">
        <v>1.0</v>
      </c>
      <c r="B481" s="44" t="s">
        <v>4816</v>
      </c>
      <c r="C481" s="44">
        <v>478.0</v>
      </c>
      <c r="D481" s="44">
        <v>3.0</v>
      </c>
      <c r="E481" s="268">
        <v>43687.0</v>
      </c>
      <c r="F481" s="162" t="str">
        <f>HYPERLINK("https://news.okezone.com/read/2019/10/08/18/2114456/akui-habisi-93-korbannya-samuel-little-jadi-pembunuh-paling-produktif-di-as ","sumber")</f>
        <v>sumber</v>
      </c>
      <c r="G481" s="44" t="s">
        <v>33</v>
      </c>
      <c r="H481" s="44">
        <v>486.0</v>
      </c>
      <c r="I481" s="44">
        <v>1.0</v>
      </c>
      <c r="J481" s="44">
        <v>1.0</v>
      </c>
      <c r="K481" s="164" t="s">
        <v>4817</v>
      </c>
      <c r="L481" s="44">
        <v>0.0</v>
      </c>
      <c r="M481" s="44">
        <v>1.0</v>
      </c>
      <c r="N481" s="166">
        <v>0.0</v>
      </c>
      <c r="O481" s="44">
        <v>0.0</v>
      </c>
      <c r="P481" s="44">
        <v>0.0</v>
      </c>
      <c r="Q481" s="44">
        <v>0.0</v>
      </c>
      <c r="R481" s="44">
        <v>-1.0</v>
      </c>
      <c r="S481" s="175"/>
      <c r="T481" s="44">
        <v>0.0</v>
      </c>
      <c r="U481" s="44">
        <v>0.0</v>
      </c>
      <c r="V481" s="44">
        <v>1.0</v>
      </c>
      <c r="W481" s="45"/>
      <c r="X481" s="45"/>
      <c r="Y481" s="45"/>
      <c r="Z481" s="9"/>
      <c r="AA481" s="9"/>
      <c r="AB481" s="9"/>
      <c r="AC481" s="9"/>
      <c r="AD481" s="9"/>
      <c r="AE481" s="9"/>
      <c r="AF481" s="9"/>
    </row>
    <row r="482">
      <c r="A482" s="231">
        <v>1.0</v>
      </c>
      <c r="B482" s="44" t="s">
        <v>4818</v>
      </c>
      <c r="C482" s="44">
        <v>479.0</v>
      </c>
      <c r="D482" s="44">
        <v>10.0</v>
      </c>
      <c r="E482" s="268">
        <v>43718.0</v>
      </c>
      <c r="F482" s="162" t="str">
        <f>HYPERLINK("https://bisnis.tempo.co/read/1257331/kspi-banyak-perjanjian-kerja-yang-tak-mengatur-pelecehan-seksual ","sumber")</f>
        <v>sumber</v>
      </c>
      <c r="G482" s="44" t="s">
        <v>33</v>
      </c>
      <c r="H482" s="44">
        <v>274.0</v>
      </c>
      <c r="I482" s="44">
        <v>4.0</v>
      </c>
      <c r="J482" s="44">
        <v>1.0</v>
      </c>
      <c r="K482" s="164" t="s">
        <v>4819</v>
      </c>
      <c r="L482" s="44">
        <v>0.0</v>
      </c>
      <c r="M482" s="44">
        <v>0.0</v>
      </c>
      <c r="N482" s="166">
        <v>0.0</v>
      </c>
      <c r="O482" s="44">
        <v>0.0</v>
      </c>
      <c r="P482" s="44">
        <v>0.0</v>
      </c>
      <c r="Q482" s="44" t="s">
        <v>61</v>
      </c>
      <c r="R482" s="44" t="s">
        <v>192</v>
      </c>
      <c r="S482" s="175"/>
      <c r="T482" s="44">
        <v>0.0</v>
      </c>
      <c r="U482" s="44">
        <v>0.0</v>
      </c>
      <c r="V482" s="44">
        <v>1.0</v>
      </c>
      <c r="W482" s="45"/>
      <c r="X482" s="45"/>
      <c r="Y482" s="45"/>
      <c r="Z482" s="9"/>
      <c r="AA482" s="9"/>
      <c r="AB482" s="9"/>
      <c r="AC482" s="9"/>
      <c r="AD482" s="9"/>
      <c r="AE482" s="9"/>
      <c r="AF482" s="9"/>
    </row>
    <row r="483">
      <c r="A483" s="231">
        <v>1.0</v>
      </c>
      <c r="B483" s="44" t="s">
        <v>4820</v>
      </c>
      <c r="C483" s="44">
        <v>480.0</v>
      </c>
      <c r="D483" s="44">
        <v>7.0</v>
      </c>
      <c r="E483" s="268">
        <v>43718.0</v>
      </c>
      <c r="F483" s="162" t="str">
        <f>HYPERLINK("https://www.tribunnews.com/internasional/2019/10/09/video-investigasi-bbc-pengamat-politik-di-afrika-yang-sering-tampil-di-tv-kerap-cabuli-mahasiswinya ","sumber")</f>
        <v>sumber</v>
      </c>
      <c r="G483" s="44" t="s">
        <v>33</v>
      </c>
      <c r="H483" s="44">
        <v>181.0</v>
      </c>
      <c r="I483" s="44">
        <v>1.0</v>
      </c>
      <c r="J483" s="44">
        <v>1.0</v>
      </c>
      <c r="K483" s="164">
        <v>0.0</v>
      </c>
      <c r="L483" s="44">
        <v>0.0</v>
      </c>
      <c r="M483" s="44">
        <v>-1.0</v>
      </c>
      <c r="N483" s="166">
        <v>0.0</v>
      </c>
      <c r="O483" s="44">
        <v>0.0</v>
      </c>
      <c r="P483" s="44">
        <v>0.0</v>
      </c>
      <c r="Q483" s="44">
        <v>0.0</v>
      </c>
      <c r="R483" s="44">
        <v>0.0</v>
      </c>
      <c r="S483" s="175"/>
      <c r="T483" s="44">
        <v>0.0</v>
      </c>
      <c r="U483" s="44">
        <v>0.0</v>
      </c>
      <c r="V483" s="44">
        <v>1.0</v>
      </c>
      <c r="W483" s="45"/>
      <c r="X483" s="45"/>
      <c r="Y483" s="45"/>
      <c r="Z483" s="9"/>
      <c r="AA483" s="9"/>
      <c r="AB483" s="9"/>
      <c r="AC483" s="9"/>
      <c r="AD483" s="9"/>
      <c r="AE483" s="9"/>
      <c r="AF483" s="9"/>
    </row>
    <row r="484">
      <c r="A484" s="189">
        <v>1.0</v>
      </c>
      <c r="B484" s="245" t="s">
        <v>4821</v>
      </c>
      <c r="C484" s="55">
        <v>481.0</v>
      </c>
      <c r="D484" s="55">
        <v>2.0</v>
      </c>
      <c r="E484" s="55" t="s">
        <v>4739</v>
      </c>
      <c r="F484" s="171" t="str">
        <f>HYPERLINK("https://www.cnnindonesia.com/internasional/20191126162224-134-451643/cabuli-anak-tuna-rungu-2-pastor-argentina-dibui-40-tahun","sumber")</f>
        <v>sumber</v>
      </c>
      <c r="G484" s="55" t="s">
        <v>33</v>
      </c>
      <c r="H484" s="55">
        <v>258.0</v>
      </c>
      <c r="I484" s="55">
        <v>1.0</v>
      </c>
      <c r="J484" s="55">
        <v>1.0</v>
      </c>
      <c r="K484" s="172"/>
      <c r="L484" s="55">
        <v>-1.0</v>
      </c>
      <c r="M484" s="55">
        <v>-1.0</v>
      </c>
      <c r="N484" s="173">
        <v>0.0</v>
      </c>
      <c r="O484" s="55">
        <v>1.0</v>
      </c>
      <c r="P484" s="55">
        <v>0.0</v>
      </c>
      <c r="Q484" s="55"/>
      <c r="R484" s="55"/>
      <c r="S484" s="174"/>
      <c r="T484" s="55">
        <v>0.0</v>
      </c>
      <c r="U484" s="55">
        <v>0.0</v>
      </c>
      <c r="V484" s="55">
        <v>0.0</v>
      </c>
      <c r="W484" s="46"/>
      <c r="X484" s="46"/>
      <c r="Y484" s="46"/>
      <c r="Z484" s="31"/>
      <c r="AA484" s="31"/>
      <c r="AB484" s="31"/>
      <c r="AC484" s="31"/>
      <c r="AD484" s="31"/>
      <c r="AE484" s="31"/>
      <c r="AF484" s="31"/>
    </row>
    <row r="485">
      <c r="A485" s="231">
        <v>1.0</v>
      </c>
      <c r="B485" s="44" t="s">
        <v>4822</v>
      </c>
      <c r="C485" s="44">
        <v>482.0</v>
      </c>
      <c r="D485" s="44">
        <v>7.0</v>
      </c>
      <c r="E485" s="44" t="s">
        <v>882</v>
      </c>
      <c r="F485" s="162" t="str">
        <f>HYPERLINK("https://www.tribunnews.com/regional/2019/11/20/pasutri-di-gresik-jual-3-janda-via-whatsapp-tarif-sekali-kencan-rp-400-ribu ","sumber")</f>
        <v>sumber</v>
      </c>
      <c r="G485" s="44" t="s">
        <v>33</v>
      </c>
      <c r="H485" s="44">
        <v>159.0</v>
      </c>
      <c r="I485" s="44">
        <v>1.0</v>
      </c>
      <c r="J485" s="44">
        <v>1.0</v>
      </c>
      <c r="K485" s="164" t="s">
        <v>4823</v>
      </c>
      <c r="L485" s="44">
        <v>0.0</v>
      </c>
      <c r="M485" s="44">
        <v>-1.0</v>
      </c>
      <c r="N485" s="166">
        <v>0.0</v>
      </c>
      <c r="O485" s="44">
        <v>0.0</v>
      </c>
      <c r="P485" s="44">
        <v>-1.0</v>
      </c>
      <c r="Q485" s="44">
        <v>0.0</v>
      </c>
      <c r="R485" s="44">
        <v>1.0</v>
      </c>
      <c r="S485" s="164" t="s">
        <v>4824</v>
      </c>
      <c r="T485" s="44">
        <v>1.0</v>
      </c>
      <c r="U485" s="44">
        <v>0.0</v>
      </c>
      <c r="V485" s="44">
        <v>0.0</v>
      </c>
      <c r="W485" s="45"/>
      <c r="X485" s="45"/>
      <c r="Y485" s="45"/>
      <c r="Z485" s="9"/>
      <c r="AA485" s="9"/>
      <c r="AB485" s="9"/>
      <c r="AC485" s="9"/>
      <c r="AD485" s="9"/>
      <c r="AE485" s="9"/>
      <c r="AF485" s="9"/>
    </row>
    <row r="486">
      <c r="A486" s="231">
        <v>1.0</v>
      </c>
      <c r="B486" s="44" t="s">
        <v>4825</v>
      </c>
      <c r="C486" s="44">
        <v>483.0</v>
      </c>
      <c r="D486" s="44">
        <v>7.0</v>
      </c>
      <c r="E486" s="44" t="s">
        <v>944</v>
      </c>
      <c r="F486" s="162" t="str">
        <f>HYPERLINK("https://www.tribunnews.com/regional/2019/11/21/satpol-pp-kota-tangerang-ciduk-nenek-60-tahun-di-hotel-bersama-pemuda-21-tahun ","sumber")</f>
        <v>sumber</v>
      </c>
      <c r="G486" s="44" t="s">
        <v>33</v>
      </c>
      <c r="H486" s="44">
        <v>112.0</v>
      </c>
      <c r="I486" s="44">
        <v>1.0</v>
      </c>
      <c r="J486" s="44">
        <v>1.0</v>
      </c>
      <c r="K486" s="164" t="s">
        <v>4826</v>
      </c>
      <c r="L486" s="44">
        <v>0.0</v>
      </c>
      <c r="M486" s="44">
        <v>-1.0</v>
      </c>
      <c r="N486" s="166">
        <v>0.0</v>
      </c>
      <c r="O486" s="44">
        <v>0.0</v>
      </c>
      <c r="P486" s="44">
        <v>-1.0</v>
      </c>
      <c r="Q486" s="44">
        <v>0.0</v>
      </c>
      <c r="R486" s="44">
        <v>-1.0</v>
      </c>
      <c r="S486" s="164" t="s">
        <v>4827</v>
      </c>
      <c r="T486" s="44">
        <v>1.0</v>
      </c>
      <c r="U486" s="44">
        <v>0.0</v>
      </c>
      <c r="V486" s="44">
        <v>0.0</v>
      </c>
      <c r="W486" s="45"/>
      <c r="X486" s="45"/>
      <c r="Y486" s="45"/>
      <c r="Z486" s="9"/>
      <c r="AA486" s="9"/>
      <c r="AB486" s="9"/>
      <c r="AC486" s="9"/>
      <c r="AD486" s="9"/>
      <c r="AE486" s="9"/>
      <c r="AF486" s="9"/>
    </row>
    <row r="487">
      <c r="A487" s="231">
        <v>1.0</v>
      </c>
      <c r="B487" s="44" t="s">
        <v>4828</v>
      </c>
      <c r="C487" s="44">
        <v>484.0</v>
      </c>
      <c r="D487" s="44">
        <v>2.0</v>
      </c>
      <c r="E487" s="44" t="s">
        <v>884</v>
      </c>
      <c r="F487" s="162" t="str">
        <f>HYPERLINK("https://www.cnnindonesia.com/internasional/20191122143219-113-450625/pria-australia-kalap-pukuli-muslimah-hamil-tanpa-alasan ","sumber")</f>
        <v>sumber</v>
      </c>
      <c r="G487" s="44" t="s">
        <v>33</v>
      </c>
      <c r="H487" s="44">
        <v>361.0</v>
      </c>
      <c r="I487" s="44">
        <v>1.0</v>
      </c>
      <c r="J487" s="44">
        <v>1.0</v>
      </c>
      <c r="K487" s="164" t="s">
        <v>4829</v>
      </c>
      <c r="L487" s="44">
        <v>0.0</v>
      </c>
      <c r="M487" s="44">
        <v>-1.0</v>
      </c>
      <c r="N487" s="166">
        <v>0.0</v>
      </c>
      <c r="O487" s="44">
        <v>0.0</v>
      </c>
      <c r="P487" s="44">
        <v>0.0</v>
      </c>
      <c r="Q487" s="44" t="s">
        <v>61</v>
      </c>
      <c r="R487" s="44" t="s">
        <v>192</v>
      </c>
      <c r="S487" s="164"/>
      <c r="T487" s="44">
        <v>0.0</v>
      </c>
      <c r="U487" s="44">
        <v>0.0</v>
      </c>
      <c r="V487" s="44">
        <v>1.0</v>
      </c>
      <c r="W487" s="45"/>
      <c r="X487" s="45"/>
      <c r="Y487" s="45"/>
      <c r="Z487" s="9"/>
      <c r="AA487" s="9"/>
      <c r="AB487" s="9"/>
      <c r="AC487" s="9"/>
      <c r="AD487" s="9"/>
      <c r="AE487" s="9"/>
      <c r="AF487" s="9"/>
    </row>
    <row r="488">
      <c r="A488" s="231">
        <v>1.0</v>
      </c>
      <c r="B488" s="44" t="s">
        <v>4009</v>
      </c>
      <c r="C488" s="44">
        <v>485.0</v>
      </c>
      <c r="D488" s="44">
        <v>9.0</v>
      </c>
      <c r="E488" s="44" t="s">
        <v>884</v>
      </c>
      <c r="F488" s="162" t="str">
        <f>HYPERLINK("https://internasional.republika.co.id/berita/q1dcn2/kritik-profesor-australia-indonesia-susah-terima-perbedaan ","sumber")</f>
        <v>sumber</v>
      </c>
      <c r="G488" s="44" t="s">
        <v>33</v>
      </c>
      <c r="H488" s="44">
        <v>719.0</v>
      </c>
      <c r="I488" s="44">
        <v>4.0</v>
      </c>
      <c r="J488" s="44">
        <v>1.0</v>
      </c>
      <c r="K488" s="164" t="s">
        <v>4830</v>
      </c>
      <c r="L488" s="44">
        <v>0.0</v>
      </c>
      <c r="M488" s="44">
        <v>0.0</v>
      </c>
      <c r="N488" s="166">
        <v>0.0</v>
      </c>
      <c r="O488" s="44">
        <v>0.0</v>
      </c>
      <c r="P488" s="44">
        <v>0.0</v>
      </c>
      <c r="Q488" s="44">
        <v>0.0</v>
      </c>
      <c r="R488" s="44">
        <v>1.0</v>
      </c>
      <c r="S488" s="175"/>
      <c r="T488" s="44">
        <v>0.0</v>
      </c>
      <c r="U488" s="44">
        <v>0.0</v>
      </c>
      <c r="V488" s="44">
        <v>1.0</v>
      </c>
      <c r="W488" s="45"/>
      <c r="X488" s="45"/>
      <c r="Y488" s="45"/>
      <c r="Z488" s="9"/>
      <c r="AA488" s="9"/>
      <c r="AB488" s="9"/>
      <c r="AC488" s="9"/>
      <c r="AD488" s="9"/>
      <c r="AE488" s="9"/>
      <c r="AF488" s="9"/>
    </row>
    <row r="489">
      <c r="A489" s="189">
        <v>1.0</v>
      </c>
      <c r="B489" s="245" t="s">
        <v>4831</v>
      </c>
      <c r="C489" s="55">
        <v>486.0</v>
      </c>
      <c r="D489" s="55">
        <v>7.0</v>
      </c>
      <c r="E489" s="344">
        <v>43565.0</v>
      </c>
      <c r="F489" s="171" t="str">
        <f>HYPERLINK("https://www.tribunnews.com/metropolitan/2019/10/04/pelecehan-seksual-bermodus-tanya-alamat-terjadi-di-depok-korbannya-sampai-trauma","sumber")</f>
        <v>sumber</v>
      </c>
      <c r="G489" s="55" t="s">
        <v>33</v>
      </c>
      <c r="H489" s="55">
        <v>249.0</v>
      </c>
      <c r="I489" s="55">
        <v>1.0</v>
      </c>
      <c r="J489" s="55">
        <v>1.0</v>
      </c>
      <c r="K489" s="172" t="s">
        <v>4832</v>
      </c>
      <c r="L489" s="55">
        <v>-1.0</v>
      </c>
      <c r="M489" s="55">
        <v>-1.0</v>
      </c>
      <c r="N489" s="173">
        <v>0.0</v>
      </c>
      <c r="O489" s="55">
        <v>-1.0</v>
      </c>
      <c r="P489" s="55">
        <v>-1.0</v>
      </c>
      <c r="Q489" s="55">
        <v>0.0</v>
      </c>
      <c r="R489" s="55">
        <v>1.0</v>
      </c>
      <c r="S489" s="174"/>
      <c r="T489" s="55">
        <v>0.0</v>
      </c>
      <c r="U489" s="55">
        <v>0.0</v>
      </c>
      <c r="V489" s="55">
        <v>0.0</v>
      </c>
      <c r="W489" s="46"/>
      <c r="X489" s="46"/>
      <c r="Y489" s="46"/>
      <c r="Z489" s="31"/>
      <c r="AA489" s="31"/>
      <c r="AB489" s="31"/>
      <c r="AC489" s="31"/>
      <c r="AD489" s="31"/>
      <c r="AE489" s="31"/>
      <c r="AF489" s="31"/>
    </row>
    <row r="490">
      <c r="A490" s="189">
        <v>1.0</v>
      </c>
      <c r="B490" s="245" t="s">
        <v>4833</v>
      </c>
      <c r="C490" s="55">
        <v>487.0</v>
      </c>
      <c r="D490" s="55">
        <v>2.0</v>
      </c>
      <c r="E490" s="55" t="s">
        <v>950</v>
      </c>
      <c r="F490" s="171" t="str">
        <f>HYPERLINK("https://www.cnnindonesia.com/internasional/20191122205538-113-450785/minta-dicekik-leher-saat-berhubungan-wanita-inggris-tewas","sumber")</f>
        <v>sumber</v>
      </c>
      <c r="G490" s="55" t="s">
        <v>33</v>
      </c>
      <c r="H490" s="55">
        <v>319.0</v>
      </c>
      <c r="I490" s="55">
        <v>1.0</v>
      </c>
      <c r="J490" s="55">
        <v>1.0</v>
      </c>
      <c r="K490" s="172" t="s">
        <v>4834</v>
      </c>
      <c r="L490" s="55">
        <v>-1.0</v>
      </c>
      <c r="M490" s="188">
        <v>0.0</v>
      </c>
      <c r="N490" s="55">
        <v>-1.0</v>
      </c>
      <c r="O490" s="55">
        <v>-1.0</v>
      </c>
      <c r="P490" s="55">
        <v>-1.0</v>
      </c>
      <c r="Q490" s="55">
        <v>0.0</v>
      </c>
      <c r="R490" s="55">
        <v>1.0</v>
      </c>
      <c r="S490" s="174"/>
      <c r="T490" s="55">
        <v>0.0</v>
      </c>
      <c r="U490" s="55">
        <v>0.0</v>
      </c>
      <c r="V490" s="55">
        <v>0.0</v>
      </c>
      <c r="W490" s="46"/>
      <c r="X490" s="46"/>
      <c r="Y490" s="46"/>
      <c r="Z490" s="31"/>
      <c r="AA490" s="31"/>
      <c r="AB490" s="31"/>
      <c r="AC490" s="31"/>
      <c r="AD490" s="31"/>
      <c r="AE490" s="31"/>
      <c r="AF490" s="31"/>
    </row>
    <row r="491">
      <c r="A491" s="231">
        <v>1.0</v>
      </c>
      <c r="B491" s="44" t="s">
        <v>4835</v>
      </c>
      <c r="C491" s="44">
        <v>488.0</v>
      </c>
      <c r="D491" s="44">
        <v>9.0</v>
      </c>
      <c r="E491" s="44" t="s">
        <v>950</v>
      </c>
      <c r="F491" s="162" t="str">
        <f>HYPERLINK("https://nasional.republika.co.id/berita/q1e7zv328/pelaku-pelemparan-sperma-juga-rampas-ponsel-korban ","sumber")</f>
        <v>sumber</v>
      </c>
      <c r="G491" s="44" t="s">
        <v>33</v>
      </c>
      <c r="H491" s="44">
        <v>322.0</v>
      </c>
      <c r="I491" s="44">
        <v>1.0</v>
      </c>
      <c r="J491" s="44">
        <v>1.0</v>
      </c>
      <c r="K491" s="164" t="s">
        <v>4836</v>
      </c>
      <c r="L491" s="44">
        <v>0.0</v>
      </c>
      <c r="M491" s="44">
        <v>-1.0</v>
      </c>
      <c r="N491" s="166">
        <v>0.0</v>
      </c>
      <c r="O491" s="44">
        <v>0.0</v>
      </c>
      <c r="P491" s="44">
        <v>0.0</v>
      </c>
      <c r="Q491" s="44">
        <v>0.0</v>
      </c>
      <c r="R491" s="44">
        <v>1.0</v>
      </c>
      <c r="S491" s="175"/>
      <c r="T491" s="44">
        <v>0.0</v>
      </c>
      <c r="U491" s="44">
        <v>0.0</v>
      </c>
      <c r="V491" s="44">
        <v>0.0</v>
      </c>
      <c r="W491" s="45"/>
      <c r="X491" s="45"/>
      <c r="Y491" s="45"/>
      <c r="Z491" s="9"/>
      <c r="AA491" s="9"/>
      <c r="AB491" s="9"/>
      <c r="AC491" s="9"/>
      <c r="AD491" s="9"/>
      <c r="AE491" s="9"/>
      <c r="AF491" s="9"/>
    </row>
    <row r="492">
      <c r="A492" s="231">
        <v>1.0</v>
      </c>
      <c r="B492" s="44" t="s">
        <v>4837</v>
      </c>
      <c r="C492" s="44">
        <v>489.0</v>
      </c>
      <c r="D492" s="44">
        <v>7.0</v>
      </c>
      <c r="E492" s="44" t="s">
        <v>958</v>
      </c>
      <c r="F492" s="162" t="str">
        <f>HYPERLINK("https://www.tribunnews.com/seleb/2019/11/24/barbie-kumalasari-pernah-alami-kdrt-istri-galih-ginanjar-kabur-tengah-malam-bawa-anak-6-bulan ","sumber")</f>
        <v>sumber</v>
      </c>
      <c r="G492" s="44" t="s">
        <v>33</v>
      </c>
      <c r="H492" s="44">
        <v>187.0</v>
      </c>
      <c r="I492" s="44">
        <v>2.0</v>
      </c>
      <c r="J492" s="44">
        <v>1.0</v>
      </c>
      <c r="K492" s="164" t="s">
        <v>4838</v>
      </c>
      <c r="L492" s="44">
        <v>0.0</v>
      </c>
      <c r="M492" s="44">
        <v>0.0</v>
      </c>
      <c r="N492" s="166">
        <v>0.0</v>
      </c>
      <c r="O492" s="44">
        <v>0.0</v>
      </c>
      <c r="P492" s="44">
        <v>0.0</v>
      </c>
      <c r="Q492" s="44">
        <v>2.0</v>
      </c>
      <c r="R492" s="44">
        <v>1.0</v>
      </c>
      <c r="S492" s="175"/>
      <c r="T492" s="44">
        <v>0.0</v>
      </c>
      <c r="U492" s="44">
        <v>0.0</v>
      </c>
      <c r="V492" s="44">
        <v>0.0</v>
      </c>
      <c r="W492" s="45"/>
      <c r="X492" s="45"/>
      <c r="Y492" s="45"/>
      <c r="Z492" s="9"/>
      <c r="AA492" s="9"/>
      <c r="AB492" s="9"/>
      <c r="AC492" s="9"/>
      <c r="AD492" s="9"/>
      <c r="AE492" s="9"/>
      <c r="AF492" s="9"/>
    </row>
    <row r="493">
      <c r="A493" s="231">
        <v>1.0</v>
      </c>
      <c r="B493" s="44" t="s">
        <v>4839</v>
      </c>
      <c r="C493" s="44">
        <v>490.0</v>
      </c>
      <c r="D493" s="44">
        <v>1.0</v>
      </c>
      <c r="E493" s="268">
        <v>43689.0</v>
      </c>
      <c r="F493" s="162" t="str">
        <f>HYPERLINK("https://hot.detik.com/movie/d-4814779/raihaanun-sabet-gelar-pemeran-utama-wanita-terbaik ","sumber")</f>
        <v>sumber</v>
      </c>
      <c r="G493" s="44" t="s">
        <v>33</v>
      </c>
      <c r="H493" s="44">
        <v>1430.0</v>
      </c>
      <c r="I493" s="44">
        <v>3.0</v>
      </c>
      <c r="J493" s="44">
        <v>1.0</v>
      </c>
      <c r="K493" s="164" t="s">
        <v>4840</v>
      </c>
      <c r="L493" s="44">
        <v>0.0</v>
      </c>
      <c r="M493" s="44">
        <v>0.0</v>
      </c>
      <c r="N493" s="166">
        <v>0.0</v>
      </c>
      <c r="O493" s="44">
        <v>0.0</v>
      </c>
      <c r="P493" s="44">
        <v>0.0</v>
      </c>
      <c r="Q493" s="44">
        <v>0.0</v>
      </c>
      <c r="R493" s="44">
        <v>1.0</v>
      </c>
      <c r="S493" s="175"/>
      <c r="T493" s="44">
        <v>0.0</v>
      </c>
      <c r="U493" s="44">
        <v>0.0</v>
      </c>
      <c r="V493" s="44">
        <v>1.0</v>
      </c>
      <c r="W493" s="45"/>
      <c r="X493" s="45"/>
      <c r="Y493" s="45"/>
      <c r="Z493" s="9"/>
      <c r="AA493" s="9"/>
      <c r="AB493" s="9"/>
      <c r="AC493" s="9"/>
      <c r="AD493" s="9"/>
      <c r="AE493" s="9"/>
      <c r="AF493" s="9"/>
    </row>
    <row r="494">
      <c r="A494" s="189">
        <v>1.0</v>
      </c>
      <c r="B494" s="245" t="s">
        <v>4841</v>
      </c>
      <c r="C494" s="55">
        <v>491.0</v>
      </c>
      <c r="D494" s="55">
        <v>8.0</v>
      </c>
      <c r="E494" s="357">
        <v>43750.0</v>
      </c>
      <c r="F494" s="171" t="str">
        <f>HYPERLINK("https://www.suara.com/news/2019/12/10/175416/mantan-pramugari-benarkan-cerita-dugaan-prostitusi-di-garuda-indonesia","sumber")</f>
        <v>sumber</v>
      </c>
      <c r="G494" s="55" t="s">
        <v>33</v>
      </c>
      <c r="H494" s="55">
        <v>488.0</v>
      </c>
      <c r="I494" s="55">
        <v>1.0</v>
      </c>
      <c r="J494" s="55">
        <v>1.0</v>
      </c>
      <c r="K494" s="172" t="s">
        <v>4842</v>
      </c>
      <c r="L494" s="55">
        <v>0.0</v>
      </c>
      <c r="M494" s="55">
        <v>1.0</v>
      </c>
      <c r="N494" s="173">
        <v>0.0</v>
      </c>
      <c r="O494" s="55">
        <v>0.0</v>
      </c>
      <c r="P494" s="55">
        <v>0.0</v>
      </c>
      <c r="Q494" s="55" t="s">
        <v>61</v>
      </c>
      <c r="R494" s="55" t="s">
        <v>192</v>
      </c>
      <c r="S494" s="172" t="s">
        <v>4843</v>
      </c>
      <c r="T494" s="55">
        <v>1.0</v>
      </c>
      <c r="U494" s="55">
        <v>-1.0</v>
      </c>
      <c r="V494" s="55">
        <v>0.0</v>
      </c>
      <c r="W494" s="46"/>
      <c r="X494" s="46"/>
      <c r="Y494" s="46"/>
      <c r="Z494" s="31"/>
      <c r="AA494" s="31"/>
      <c r="AB494" s="31"/>
      <c r="AC494" s="31"/>
      <c r="AD494" s="31"/>
      <c r="AE494" s="31"/>
      <c r="AF494" s="31"/>
    </row>
    <row r="495">
      <c r="A495" s="189">
        <v>1.0</v>
      </c>
      <c r="B495" s="245" t="s">
        <v>4844</v>
      </c>
      <c r="C495" s="55">
        <v>492.0</v>
      </c>
      <c r="D495" s="55">
        <v>3.0</v>
      </c>
      <c r="E495" s="55" t="s">
        <v>964</v>
      </c>
      <c r="F495" s="171" t="str">
        <f>HYPERLINK("https://news.okezone.com/read/2019/12/19/340/2143916/lagi-enak-tidur-janda-kembang-diperkosa-pemuda","sumber")</f>
        <v>sumber</v>
      </c>
      <c r="G495" s="55" t="s">
        <v>33</v>
      </c>
      <c r="H495" s="55">
        <v>261.0</v>
      </c>
      <c r="I495" s="55">
        <v>1.0</v>
      </c>
      <c r="J495" s="55">
        <v>1.0</v>
      </c>
      <c r="K495" s="172" t="s">
        <v>4845</v>
      </c>
      <c r="L495" s="55">
        <v>0.0</v>
      </c>
      <c r="M495" s="55">
        <v>-1.0</v>
      </c>
      <c r="N495" s="173">
        <v>0.0</v>
      </c>
      <c r="O495" s="55">
        <v>-1.0</v>
      </c>
      <c r="P495" s="55">
        <v>-1.0</v>
      </c>
      <c r="Q495" s="55">
        <v>0.0</v>
      </c>
      <c r="R495" s="55">
        <v>-1.0</v>
      </c>
      <c r="S495" s="172" t="s">
        <v>4846</v>
      </c>
      <c r="T495" s="55">
        <v>1.0</v>
      </c>
      <c r="U495" s="55">
        <v>-1.0</v>
      </c>
      <c r="V495" s="55">
        <v>0.0</v>
      </c>
      <c r="W495" s="46"/>
      <c r="X495" s="46"/>
      <c r="Y495" s="46"/>
      <c r="Z495" s="31"/>
      <c r="AA495" s="31"/>
      <c r="AB495" s="31"/>
      <c r="AC495" s="31"/>
      <c r="AD495" s="31"/>
      <c r="AE495" s="31"/>
      <c r="AF495" s="31"/>
    </row>
    <row r="496">
      <c r="A496" s="189">
        <v>1.0</v>
      </c>
      <c r="B496" s="245" t="s">
        <v>4847</v>
      </c>
      <c r="C496" s="55">
        <v>493.0</v>
      </c>
      <c r="D496" s="55">
        <v>7.0</v>
      </c>
      <c r="E496" s="55" t="s">
        <v>896</v>
      </c>
      <c r="F496" s="171" t="str">
        <f>HYPERLINK("https://www.tribunnews.com/seleb/2019/12/20/terseret-skandal-pelecehan-seksual-yoo-jae-suk-buka-suara","sumber")</f>
        <v>sumber</v>
      </c>
      <c r="G496" s="55" t="s">
        <v>33</v>
      </c>
      <c r="H496" s="55">
        <v>174.0</v>
      </c>
      <c r="I496" s="55">
        <v>1.0</v>
      </c>
      <c r="J496" s="55">
        <v>1.0</v>
      </c>
      <c r="K496" s="172" t="s">
        <v>4848</v>
      </c>
      <c r="L496" s="55">
        <v>-1.0</v>
      </c>
      <c r="M496" s="55">
        <v>-1.0</v>
      </c>
      <c r="N496" s="173">
        <v>0.0</v>
      </c>
      <c r="O496" s="55">
        <v>0.0</v>
      </c>
      <c r="P496" s="55">
        <v>0.0</v>
      </c>
      <c r="Q496" s="55" t="s">
        <v>61</v>
      </c>
      <c r="R496" s="55" t="s">
        <v>85</v>
      </c>
      <c r="S496" s="174"/>
      <c r="T496" s="55">
        <v>0.0</v>
      </c>
      <c r="U496" s="55">
        <v>0.0</v>
      </c>
      <c r="V496" s="55">
        <v>0.0</v>
      </c>
      <c r="W496" s="46"/>
      <c r="X496" s="46"/>
      <c r="Y496" s="46"/>
      <c r="Z496" s="31"/>
      <c r="AA496" s="31"/>
      <c r="AB496" s="31"/>
      <c r="AC496" s="31"/>
      <c r="AD496" s="31"/>
      <c r="AE496" s="31"/>
      <c r="AF496" s="31"/>
    </row>
    <row r="497">
      <c r="A497" s="231">
        <v>1.0</v>
      </c>
      <c r="B497" s="44" t="s">
        <v>4849</v>
      </c>
      <c r="C497" s="44">
        <v>494.0</v>
      </c>
      <c r="D497" s="44">
        <v>2.0</v>
      </c>
      <c r="E497" s="44" t="s">
        <v>970</v>
      </c>
      <c r="F497" s="162" t="str">
        <f>HYPERLINK("https://www.cnnindonesia.com/nasional/20191214170037-32-456995/bantah-mahfud-fahri-hamzah-sebut-pelecehan-juga-langgar-ham ","sumber")</f>
        <v>sumber</v>
      </c>
      <c r="G497" s="44" t="s">
        <v>33</v>
      </c>
      <c r="H497" s="44">
        <v>262.0</v>
      </c>
      <c r="I497" s="44">
        <v>4.0</v>
      </c>
      <c r="J497" s="44">
        <v>1.0</v>
      </c>
      <c r="K497" s="164" t="s">
        <v>4850</v>
      </c>
      <c r="L497" s="44">
        <v>0.0</v>
      </c>
      <c r="M497" s="44">
        <v>0.0</v>
      </c>
      <c r="N497" s="166">
        <v>0.0</v>
      </c>
      <c r="O497" s="44">
        <v>0.0</v>
      </c>
      <c r="P497" s="44">
        <v>0.0</v>
      </c>
      <c r="Q497" s="44">
        <v>0.0</v>
      </c>
      <c r="R497" s="44">
        <v>1.0</v>
      </c>
      <c r="S497" s="175"/>
      <c r="T497" s="44">
        <v>0.0</v>
      </c>
      <c r="U497" s="44">
        <v>0.0</v>
      </c>
      <c r="V497" s="44">
        <v>1.0</v>
      </c>
      <c r="W497" s="45"/>
      <c r="X497" s="45"/>
      <c r="Y497" s="45"/>
      <c r="Z497" s="9"/>
      <c r="AA497" s="9"/>
      <c r="AB497" s="9"/>
      <c r="AC497" s="9"/>
      <c r="AD497" s="9"/>
      <c r="AE497" s="9"/>
      <c r="AF497" s="9"/>
    </row>
    <row r="498">
      <c r="A498" s="231">
        <v>1.0</v>
      </c>
      <c r="B498" s="44" t="s">
        <v>4851</v>
      </c>
      <c r="C498" s="44">
        <v>495.0</v>
      </c>
      <c r="D498" s="44">
        <v>2.0</v>
      </c>
      <c r="E498" s="44" t="s">
        <v>907</v>
      </c>
      <c r="F498" s="162" t="str">
        <f>HYPERLINK("https://www.cnnindonesia.com/gaya-hidup/20190710105116-255-410790/kala-pria-rusia-beramai-ramai-jadi-beauty-vlogger ","sumber")</f>
        <v>sumber</v>
      </c>
      <c r="G498" s="44" t="s">
        <v>33</v>
      </c>
      <c r="H498" s="44">
        <v>541.0</v>
      </c>
      <c r="I498" s="44">
        <v>2.0</v>
      </c>
      <c r="J498" s="44">
        <v>2.0</v>
      </c>
      <c r="K498" s="164" t="s">
        <v>4852</v>
      </c>
      <c r="L498" s="44">
        <v>0.0</v>
      </c>
      <c r="M498" s="44">
        <v>0.0</v>
      </c>
      <c r="N498" s="166">
        <v>0.0</v>
      </c>
      <c r="O498" s="44">
        <v>0.0</v>
      </c>
      <c r="P498" s="44">
        <v>0.0</v>
      </c>
      <c r="Q498" s="44" t="s">
        <v>2026</v>
      </c>
      <c r="R498" s="44" t="s">
        <v>392</v>
      </c>
      <c r="S498" s="175"/>
      <c r="T498" s="44">
        <v>0.0</v>
      </c>
      <c r="U498" s="44">
        <v>0.0</v>
      </c>
      <c r="V498" s="44">
        <v>1.0</v>
      </c>
      <c r="W498" s="45"/>
      <c r="X498" s="45"/>
      <c r="Y498" s="45"/>
      <c r="Z498" s="9"/>
      <c r="AA498" s="9"/>
      <c r="AB498" s="9"/>
      <c r="AC498" s="9"/>
      <c r="AD498" s="9"/>
      <c r="AE498" s="9"/>
      <c r="AF498" s="9"/>
    </row>
    <row r="499">
      <c r="A499" s="252">
        <v>1.0</v>
      </c>
      <c r="B499" s="55" t="s">
        <v>4853</v>
      </c>
      <c r="C499" s="55">
        <v>496.0</v>
      </c>
      <c r="D499" s="55">
        <v>2.0</v>
      </c>
      <c r="E499" s="55" t="s">
        <v>893</v>
      </c>
      <c r="F499" s="171" t="str">
        <f>HYPERLINK("https://www.cnnindonesia.com/nasional/20191218132804-20-458020/dua-anggota-tni-tewas-saat-baku-tembak-dengan-kkb-di-papua ","sumber")</f>
        <v>sumber</v>
      </c>
      <c r="G499" s="55" t="s">
        <v>33</v>
      </c>
      <c r="H499" s="55">
        <v>280.0</v>
      </c>
      <c r="I499" s="55">
        <v>1.0</v>
      </c>
      <c r="J499" s="55">
        <v>1.0</v>
      </c>
      <c r="K499" s="172" t="s">
        <v>4854</v>
      </c>
      <c r="L499" s="55">
        <v>0.0</v>
      </c>
      <c r="M499" s="55">
        <v>-1.0</v>
      </c>
      <c r="N499" s="173">
        <v>0.0</v>
      </c>
      <c r="O499" s="55">
        <v>0.0</v>
      </c>
      <c r="P499" s="55">
        <v>0.0</v>
      </c>
      <c r="Q499" s="55">
        <v>0.0</v>
      </c>
      <c r="R499" s="55">
        <v>0.0</v>
      </c>
      <c r="S499" s="174"/>
      <c r="T499" s="55">
        <v>0.0</v>
      </c>
      <c r="U499" s="55">
        <v>0.0</v>
      </c>
      <c r="V499" s="55">
        <v>0.0</v>
      </c>
      <c r="W499" s="46"/>
      <c r="X499" s="46"/>
      <c r="Y499" s="46"/>
      <c r="Z499" s="31"/>
      <c r="AA499" s="31"/>
      <c r="AB499" s="31"/>
      <c r="AC499" s="31"/>
      <c r="AD499" s="31"/>
      <c r="AE499" s="31"/>
      <c r="AF499" s="31"/>
    </row>
    <row r="500">
      <c r="A500" s="231">
        <v>1.0</v>
      </c>
      <c r="B500" s="44" t="s">
        <v>4855</v>
      </c>
      <c r="C500" s="44">
        <v>497.0</v>
      </c>
      <c r="D500" s="44">
        <v>8.0</v>
      </c>
      <c r="E500" s="44" t="s">
        <v>893</v>
      </c>
      <c r="F500" s="162" t="str">
        <f>HYPERLINK("https://jogja.suara.com/read/2019/12/18/160326/ramai-ugmbohonglagi-aliansi-mahasiswa-ugm-siapa-jamin-januari-disahkan ","sumber")</f>
        <v>sumber</v>
      </c>
      <c r="G500" s="44" t="s">
        <v>33</v>
      </c>
      <c r="H500" s="44">
        <v>483.0</v>
      </c>
      <c r="I500" s="271">
        <v>1.0</v>
      </c>
      <c r="J500" s="271">
        <v>1.0</v>
      </c>
      <c r="K500" s="271" t="s">
        <v>4856</v>
      </c>
      <c r="L500" s="358">
        <v>0.0</v>
      </c>
      <c r="M500" s="358">
        <v>1.0</v>
      </c>
      <c r="N500" s="359">
        <v>0.0</v>
      </c>
      <c r="O500" s="358">
        <v>0.0</v>
      </c>
      <c r="P500" s="358">
        <v>0.0</v>
      </c>
      <c r="Q500" s="358" t="s">
        <v>61</v>
      </c>
      <c r="R500" s="358" t="s">
        <v>100</v>
      </c>
      <c r="S500" s="175"/>
      <c r="T500" s="358">
        <v>0.0</v>
      </c>
      <c r="U500" s="358">
        <v>0.0</v>
      </c>
      <c r="V500" s="358">
        <v>1.0</v>
      </c>
      <c r="W500" s="45"/>
      <c r="X500" s="45"/>
      <c r="Y500" s="45"/>
      <c r="Z500" s="9"/>
      <c r="AA500" s="9"/>
      <c r="AB500" s="9"/>
      <c r="AC500" s="9"/>
      <c r="AD500" s="9"/>
      <c r="AE500" s="9"/>
      <c r="AF500" s="9"/>
    </row>
    <row r="501">
      <c r="A501" s="231">
        <v>1.0</v>
      </c>
      <c r="B501" s="44" t="s">
        <v>4857</v>
      </c>
      <c r="C501" s="44">
        <v>498.0</v>
      </c>
      <c r="D501" s="44">
        <v>3.0</v>
      </c>
      <c r="E501" s="44" t="s">
        <v>896</v>
      </c>
      <c r="F501" s="162" t="str">
        <f>HYPERLINK("https://celebrity.okezone.com/read/2019/12/19/33/2143953/pernah-alami-kdrt-yuni-shara-akui-sulit-orgasme ","sumber")</f>
        <v>sumber</v>
      </c>
      <c r="G501" s="44" t="s">
        <v>33</v>
      </c>
      <c r="H501" s="44">
        <v>319.0</v>
      </c>
      <c r="I501" s="44">
        <v>2.0</v>
      </c>
      <c r="J501" s="44">
        <v>1.0</v>
      </c>
      <c r="K501" s="164" t="s">
        <v>4858</v>
      </c>
      <c r="L501" s="44">
        <v>0.0</v>
      </c>
      <c r="M501" s="44">
        <v>0.0</v>
      </c>
      <c r="N501" s="166">
        <v>0.0</v>
      </c>
      <c r="O501" s="44">
        <v>0.0</v>
      </c>
      <c r="P501" s="44">
        <v>0.0</v>
      </c>
      <c r="Q501" s="44">
        <v>2.0</v>
      </c>
      <c r="R501" s="44">
        <v>1.0</v>
      </c>
      <c r="S501" s="175"/>
      <c r="T501" s="44">
        <v>0.0</v>
      </c>
      <c r="U501" s="44">
        <v>0.0</v>
      </c>
      <c r="V501" s="44">
        <v>0.0</v>
      </c>
      <c r="W501" s="45"/>
      <c r="X501" s="45"/>
      <c r="Y501" s="45"/>
      <c r="Z501" s="9"/>
      <c r="AA501" s="9"/>
      <c r="AB501" s="9"/>
      <c r="AC501" s="9"/>
      <c r="AD501" s="9"/>
      <c r="AE501" s="9"/>
      <c r="AF501" s="9"/>
    </row>
    <row r="502">
      <c r="A502" s="52">
        <v>2.0</v>
      </c>
      <c r="B502" s="188" t="s">
        <v>4859</v>
      </c>
      <c r="C502" s="44">
        <v>499.0</v>
      </c>
      <c r="D502" s="44">
        <v>9.0</v>
      </c>
      <c r="E502" s="44" t="s">
        <v>896</v>
      </c>
      <c r="F502" s="162" t="str">
        <f>HYPERLINK("https://nasional.republika.co.id/berita/q2su3s335/anggota-tni-gugur-di-papua-naik-pangkat ","sumber")</f>
        <v>sumber</v>
      </c>
      <c r="G502" s="44" t="s">
        <v>33</v>
      </c>
      <c r="H502" s="44">
        <v>258.0</v>
      </c>
      <c r="I502" s="44">
        <v>3.0</v>
      </c>
      <c r="J502" s="44">
        <v>1.0</v>
      </c>
      <c r="K502" s="164" t="s">
        <v>4860</v>
      </c>
      <c r="L502" s="44">
        <v>0.0</v>
      </c>
      <c r="M502" s="44">
        <v>0.0</v>
      </c>
      <c r="N502" s="166">
        <v>0.0</v>
      </c>
      <c r="O502" s="44">
        <v>0.0</v>
      </c>
      <c r="P502" s="44">
        <v>0.0</v>
      </c>
      <c r="Q502" s="44">
        <v>1.0</v>
      </c>
      <c r="R502" s="44">
        <v>1.0</v>
      </c>
      <c r="S502" s="175"/>
      <c r="T502" s="44">
        <v>0.0</v>
      </c>
      <c r="U502" s="44">
        <v>0.0</v>
      </c>
      <c r="V502" s="44">
        <v>1.0</v>
      </c>
      <c r="W502" s="45"/>
      <c r="X502" s="45"/>
      <c r="Y502" s="45"/>
      <c r="Z502" s="9"/>
      <c r="AA502" s="9"/>
      <c r="AB502" s="9"/>
      <c r="AC502" s="9"/>
      <c r="AD502" s="9"/>
      <c r="AE502" s="9"/>
      <c r="AF502" s="9"/>
    </row>
    <row r="503">
      <c r="A503" s="231">
        <v>1.0</v>
      </c>
      <c r="B503" s="44" t="s">
        <v>4861</v>
      </c>
      <c r="C503" s="44">
        <v>500.0</v>
      </c>
      <c r="D503" s="44">
        <v>6.0</v>
      </c>
      <c r="E503" s="44" t="s">
        <v>902</v>
      </c>
      <c r="F503" s="162" t="str">
        <f>HYPERLINK("https://health.kompas.com/read/2019/12/22/133000568/belajar-dari-yuni-shara-kapan-harus-meninggalkan-hubungan-abusive- ","sumber")</f>
        <v>sumber</v>
      </c>
      <c r="G503" s="44" t="s">
        <v>33</v>
      </c>
      <c r="H503" s="44">
        <v>186.0</v>
      </c>
      <c r="I503" s="44">
        <v>2.0</v>
      </c>
      <c r="J503" s="44">
        <v>1.0</v>
      </c>
      <c r="K503" s="164" t="s">
        <v>4858</v>
      </c>
      <c r="L503" s="44">
        <v>0.0</v>
      </c>
      <c r="M503" s="44">
        <v>0.0</v>
      </c>
      <c r="N503" s="166">
        <v>0.0</v>
      </c>
      <c r="O503" s="44">
        <v>0.0</v>
      </c>
      <c r="P503" s="44">
        <v>0.0</v>
      </c>
      <c r="Q503" s="44">
        <v>0.0</v>
      </c>
      <c r="R503" s="44">
        <v>1.0</v>
      </c>
      <c r="S503" s="175"/>
      <c r="T503" s="44">
        <v>0.0</v>
      </c>
      <c r="U503" s="44">
        <v>0.0</v>
      </c>
      <c r="V503" s="44">
        <v>1.0</v>
      </c>
      <c r="W503" s="45"/>
      <c r="X503" s="45"/>
      <c r="Y503" s="45"/>
      <c r="Z503" s="9"/>
      <c r="AA503" s="9"/>
      <c r="AB503" s="9"/>
      <c r="AC503" s="9"/>
      <c r="AD503" s="9"/>
      <c r="AE503" s="9"/>
      <c r="AF503" s="9"/>
    </row>
    <row r="504">
      <c r="A504" s="189">
        <v>1.0</v>
      </c>
      <c r="B504" s="245" t="s">
        <v>4862</v>
      </c>
      <c r="C504" s="55">
        <v>501.0</v>
      </c>
      <c r="D504" s="55">
        <v>6.0</v>
      </c>
      <c r="E504" s="55" t="s">
        <v>893</v>
      </c>
      <c r="F504" s="171" t="str">
        <f>HYPERLINK("https://megapolitan.kompas.com/read/2019/12/18/16135871/banyak-laporan-prostitusi-online-satpol-pp-hingga-bnn-gelar-razia-jelang","sumber")</f>
        <v>sumber</v>
      </c>
      <c r="G504" s="55" t="s">
        <v>33</v>
      </c>
      <c r="H504" s="55">
        <v>198.0</v>
      </c>
      <c r="I504" s="55">
        <v>1.0</v>
      </c>
      <c r="J504" s="55">
        <v>1.0</v>
      </c>
      <c r="K504" s="172" t="s">
        <v>4863</v>
      </c>
      <c r="L504" s="55">
        <v>0.0</v>
      </c>
      <c r="M504" s="55">
        <v>-1.0</v>
      </c>
      <c r="N504" s="173">
        <v>0.0</v>
      </c>
      <c r="O504" s="55">
        <v>0.0</v>
      </c>
      <c r="P504" s="55">
        <v>0.0</v>
      </c>
      <c r="Q504" s="55">
        <v>0.0</v>
      </c>
      <c r="R504" s="55">
        <v>0.0</v>
      </c>
      <c r="S504" s="174"/>
      <c r="T504" s="55">
        <v>0.0</v>
      </c>
      <c r="U504" s="55">
        <v>0.0</v>
      </c>
      <c r="V504" s="55">
        <v>0.0</v>
      </c>
      <c r="W504" s="46"/>
      <c r="X504" s="46"/>
      <c r="Y504" s="46"/>
      <c r="Z504" s="31"/>
      <c r="AA504" s="31"/>
      <c r="AB504" s="31"/>
      <c r="AC504" s="31"/>
      <c r="AD504" s="31"/>
      <c r="AE504" s="31"/>
      <c r="AF504" s="31"/>
    </row>
    <row r="505">
      <c r="A505" s="43">
        <v>2.0</v>
      </c>
      <c r="B505" s="47" t="s">
        <v>4864</v>
      </c>
      <c r="C505" s="47">
        <v>502.0</v>
      </c>
      <c r="D505" s="48"/>
      <c r="E505" s="48"/>
      <c r="F505" s="156" t="str">
        <f>HYPERLINK("https://tirto.id/protes-politik-sepanjang-2019-direpresi-habis-habisan-epiL ","sumber")</f>
        <v>sumber</v>
      </c>
      <c r="G505" s="47" t="s">
        <v>33</v>
      </c>
      <c r="H505" s="48"/>
      <c r="I505" s="48"/>
      <c r="J505" s="48"/>
      <c r="K505" s="165"/>
      <c r="L505" s="48"/>
      <c r="M505" s="48"/>
      <c r="N505" s="48"/>
      <c r="O505" s="48"/>
      <c r="P505" s="48"/>
      <c r="Q505" s="48"/>
      <c r="R505" s="48"/>
      <c r="S505" s="165"/>
      <c r="T505" s="48"/>
      <c r="U505" s="48"/>
      <c r="V505" s="48"/>
      <c r="W505" s="48"/>
      <c r="X505" s="48"/>
      <c r="Y505" s="48"/>
      <c r="Z505" s="338"/>
      <c r="AA505" s="51"/>
      <c r="AB505" s="51"/>
      <c r="AC505" s="51"/>
      <c r="AD505" s="51"/>
      <c r="AE505" s="51"/>
      <c r="AF505" s="51"/>
    </row>
    <row r="506">
      <c r="A506" s="189">
        <v>1.0</v>
      </c>
      <c r="B506" s="245" t="s">
        <v>4865</v>
      </c>
      <c r="C506" s="55">
        <v>503.0</v>
      </c>
      <c r="D506" s="55">
        <v>7.0</v>
      </c>
      <c r="E506" s="55" t="s">
        <v>973</v>
      </c>
      <c r="F506" s="171" t="str">
        <f>HYPERLINK("https://www.tribunnews.com/regional/2019/12/29/polres-cianjur-amankan-4-mucikari-dan-belasan-psk-yang-praktek-di-kawasan-puncak","sumber")</f>
        <v>sumber</v>
      </c>
      <c r="G506" s="55" t="s">
        <v>33</v>
      </c>
      <c r="H506" s="55">
        <v>248.0</v>
      </c>
      <c r="I506" s="55">
        <v>1.0</v>
      </c>
      <c r="J506" s="55">
        <v>1.0</v>
      </c>
      <c r="K506" s="172" t="s">
        <v>4768</v>
      </c>
      <c r="L506" s="55">
        <v>0.0</v>
      </c>
      <c r="M506" s="55">
        <v>-1.0</v>
      </c>
      <c r="N506" s="173">
        <v>0.0</v>
      </c>
      <c r="O506" s="55">
        <v>0.0</v>
      </c>
      <c r="P506" s="55">
        <v>0.0</v>
      </c>
      <c r="Q506" s="55">
        <v>0.0</v>
      </c>
      <c r="R506" s="55">
        <v>1.0</v>
      </c>
      <c r="S506" s="174"/>
      <c r="T506" s="55">
        <v>0.0</v>
      </c>
      <c r="U506" s="55">
        <v>0.0</v>
      </c>
      <c r="V506" s="55">
        <v>0.0</v>
      </c>
      <c r="W506" s="46"/>
      <c r="X506" s="46"/>
      <c r="Y506" s="46"/>
      <c r="Z506" s="31"/>
      <c r="AA506" s="31"/>
      <c r="AB506" s="31"/>
      <c r="AC506" s="31"/>
      <c r="AD506" s="31"/>
      <c r="AE506" s="31"/>
      <c r="AF506" s="31"/>
    </row>
    <row r="507">
      <c r="A507" s="231">
        <v>1.0</v>
      </c>
      <c r="B507" s="44" t="s">
        <v>4866</v>
      </c>
      <c r="C507" s="44">
        <v>504.0</v>
      </c>
      <c r="D507" s="44">
        <v>5.0</v>
      </c>
      <c r="E507" s="44" t="s">
        <v>1019</v>
      </c>
      <c r="F507" s="162" t="str">
        <f>HYPERLINK("https://tirto.id/pelecehan-seksual-di-universitas-telkom-pelaku-hanya-disanksi-maaf-epSq ","sumber")</f>
        <v>sumber</v>
      </c>
      <c r="G507" s="44" t="s">
        <v>33</v>
      </c>
      <c r="H507" s="44">
        <v>573.0</v>
      </c>
      <c r="I507" s="44">
        <v>1.0</v>
      </c>
      <c r="J507" s="44">
        <v>1.0</v>
      </c>
      <c r="K507" s="164" t="s">
        <v>4867</v>
      </c>
      <c r="L507" s="44">
        <v>0.0</v>
      </c>
      <c r="M507" s="44">
        <v>1.0</v>
      </c>
      <c r="N507" s="166">
        <v>0.0</v>
      </c>
      <c r="O507" s="44">
        <v>0.0</v>
      </c>
      <c r="P507" s="44">
        <v>0.0</v>
      </c>
      <c r="Q507" s="44" t="s">
        <v>61</v>
      </c>
      <c r="R507" s="44" t="s">
        <v>192</v>
      </c>
      <c r="S507" s="175"/>
      <c r="T507" s="44">
        <v>0.0</v>
      </c>
      <c r="U507" s="44">
        <v>0.0</v>
      </c>
      <c r="V507" s="44">
        <v>0.0</v>
      </c>
      <c r="W507" s="45"/>
      <c r="X507" s="45"/>
      <c r="Y507" s="45"/>
      <c r="Z507" s="9"/>
      <c r="AA507" s="9"/>
      <c r="AB507" s="9"/>
      <c r="AC507" s="9"/>
      <c r="AD507" s="9"/>
      <c r="AE507" s="9"/>
      <c r="AF507" s="9"/>
    </row>
    <row r="508">
      <c r="A508" s="43">
        <v>2.0</v>
      </c>
      <c r="B508" s="47" t="s">
        <v>4868</v>
      </c>
      <c r="C508" s="47">
        <v>505.0</v>
      </c>
      <c r="D508" s="48"/>
      <c r="E508" s="48"/>
      <c r="F508" s="156" t="str">
        <f>HYPERLINK("https://regional.kompas.com/read/2019/12/31/07370131/polisi-siagakan-penembak-jitu-di-puncak-cianjur-saat-perayaan-tahun-baru ","sumber")</f>
        <v>sumber</v>
      </c>
      <c r="G508" s="47" t="s">
        <v>33</v>
      </c>
      <c r="H508" s="48"/>
      <c r="I508" s="48"/>
      <c r="J508" s="48"/>
      <c r="K508" s="165"/>
      <c r="L508" s="48"/>
      <c r="M508" s="48"/>
      <c r="N508" s="360"/>
      <c r="O508" s="48"/>
      <c r="P508" s="48"/>
      <c r="Q508" s="48"/>
      <c r="R508" s="48"/>
      <c r="S508" s="165"/>
      <c r="T508" s="48"/>
      <c r="U508" s="48"/>
      <c r="V508" s="48"/>
      <c r="W508" s="48"/>
      <c r="X508" s="48"/>
      <c r="Y508" s="48"/>
      <c r="Z508" s="338"/>
      <c r="AA508" s="51"/>
      <c r="AB508" s="51"/>
      <c r="AC508" s="51"/>
      <c r="AD508" s="51"/>
      <c r="AE508" s="51"/>
      <c r="AF508" s="51"/>
    </row>
    <row r="509">
      <c r="A509" s="9"/>
      <c r="B509" s="9"/>
      <c r="C509" s="9"/>
      <c r="D509" s="9"/>
      <c r="E509" s="9"/>
      <c r="F509" s="9"/>
      <c r="G509" s="9"/>
      <c r="H509" s="9"/>
      <c r="I509" s="9"/>
      <c r="J509" s="9"/>
      <c r="K509" s="232"/>
      <c r="L509" s="9"/>
      <c r="M509" s="9"/>
      <c r="N509" s="9"/>
      <c r="O509" s="9"/>
      <c r="P509" s="9"/>
      <c r="Q509" s="9"/>
      <c r="R509" s="9"/>
      <c r="S509" s="232"/>
      <c r="T509" s="9"/>
      <c r="U509" s="9"/>
      <c r="V509" s="9"/>
      <c r="W509" s="9"/>
      <c r="X509" s="9"/>
      <c r="Y509" s="9"/>
      <c r="Z509" s="9"/>
      <c r="AA509" s="9"/>
      <c r="AB509" s="9"/>
      <c r="AC509" s="9"/>
      <c r="AD509" s="9"/>
      <c r="AE509" s="9"/>
      <c r="AF509" s="9"/>
    </row>
    <row r="510">
      <c r="A510" s="9"/>
      <c r="B510" s="9"/>
      <c r="C510" s="9"/>
      <c r="D510" s="9"/>
      <c r="E510" s="9"/>
      <c r="F510" s="9"/>
      <c r="G510" s="9"/>
      <c r="H510" s="9"/>
      <c r="I510" s="9"/>
      <c r="J510" s="9"/>
      <c r="K510" s="232"/>
      <c r="L510" s="9"/>
      <c r="M510" s="9"/>
      <c r="N510" s="9"/>
      <c r="O510" s="9"/>
      <c r="P510" s="9"/>
      <c r="Q510" s="9"/>
      <c r="R510" s="9"/>
      <c r="S510" s="232"/>
      <c r="T510" s="9"/>
      <c r="U510" s="9"/>
      <c r="V510" s="9"/>
      <c r="W510" s="9"/>
      <c r="X510" s="9"/>
      <c r="Y510" s="9"/>
      <c r="Z510" s="9"/>
      <c r="AA510" s="9"/>
      <c r="AB510" s="9"/>
      <c r="AC510" s="9"/>
      <c r="AD510" s="9"/>
      <c r="AE510" s="9"/>
      <c r="AF510" s="9"/>
    </row>
    <row r="511">
      <c r="A511" s="9"/>
      <c r="B511" s="9"/>
      <c r="C511" s="9"/>
      <c r="D511" s="9"/>
      <c r="E511" s="9"/>
      <c r="F511" s="9"/>
      <c r="G511" s="9"/>
      <c r="H511" s="9"/>
      <c r="I511" s="9"/>
      <c r="J511" s="9"/>
      <c r="K511" s="232"/>
      <c r="L511" s="9"/>
      <c r="M511" s="9"/>
      <c r="N511" s="9"/>
      <c r="O511" s="9"/>
      <c r="P511" s="9"/>
      <c r="Q511" s="9"/>
      <c r="R511" s="9"/>
      <c r="S511" s="232"/>
      <c r="T511" s="9"/>
      <c r="U511" s="9"/>
      <c r="V511" s="9"/>
      <c r="W511" s="9"/>
      <c r="X511" s="9"/>
      <c r="Y511" s="9"/>
      <c r="Z511" s="9"/>
      <c r="AA511" s="9"/>
      <c r="AB511" s="9"/>
      <c r="AC511" s="9"/>
      <c r="AD511" s="9"/>
      <c r="AE511" s="9"/>
      <c r="AF511" s="9"/>
    </row>
    <row r="512">
      <c r="A512" s="9"/>
      <c r="B512" s="9"/>
      <c r="C512" s="9"/>
      <c r="D512" s="9"/>
      <c r="E512" s="9"/>
      <c r="F512" s="9"/>
      <c r="G512" s="9"/>
      <c r="H512" s="9"/>
      <c r="I512" s="9"/>
      <c r="J512" s="9"/>
      <c r="K512" s="232"/>
      <c r="L512" s="9"/>
      <c r="M512" s="9"/>
      <c r="N512" s="9"/>
      <c r="O512" s="9"/>
      <c r="P512" s="9"/>
      <c r="Q512" s="9"/>
      <c r="R512" s="9"/>
      <c r="S512" s="232"/>
      <c r="T512" s="9"/>
      <c r="U512" s="9"/>
      <c r="V512" s="9"/>
      <c r="W512" s="9"/>
      <c r="X512" s="9"/>
      <c r="Y512" s="9"/>
      <c r="Z512" s="9"/>
      <c r="AA512" s="9"/>
      <c r="AB512" s="9"/>
      <c r="AC512" s="9"/>
      <c r="AD512" s="9"/>
      <c r="AE512" s="9"/>
      <c r="AF512" s="9"/>
    </row>
    <row r="513">
      <c r="A513" s="9"/>
      <c r="B513" s="9"/>
      <c r="C513" s="9"/>
      <c r="D513" s="9"/>
      <c r="E513" s="9"/>
      <c r="F513" s="9"/>
      <c r="G513" s="9"/>
      <c r="H513" s="9"/>
      <c r="I513" s="9"/>
      <c r="J513" s="9"/>
      <c r="K513" s="232"/>
      <c r="L513" s="9"/>
      <c r="M513" s="9"/>
      <c r="N513" s="9"/>
      <c r="O513" s="9"/>
      <c r="P513" s="9"/>
      <c r="Q513" s="9"/>
      <c r="R513" s="9"/>
      <c r="S513" s="232"/>
      <c r="T513" s="9"/>
      <c r="U513" s="9"/>
      <c r="V513" s="9"/>
      <c r="W513" s="9"/>
      <c r="X513" s="9"/>
      <c r="Y513" s="9"/>
      <c r="Z513" s="9"/>
      <c r="AA513" s="9"/>
      <c r="AB513" s="9"/>
      <c r="AC513" s="9"/>
      <c r="AD513" s="9"/>
      <c r="AE513" s="9"/>
      <c r="AF513" s="9"/>
    </row>
    <row r="514">
      <c r="A514" s="9"/>
      <c r="B514" s="9"/>
      <c r="C514" s="9"/>
      <c r="D514" s="9"/>
      <c r="E514" s="9"/>
      <c r="F514" s="9"/>
      <c r="G514" s="9"/>
      <c r="H514" s="9"/>
      <c r="I514" s="9"/>
      <c r="J514" s="9"/>
      <c r="K514" s="232"/>
      <c r="L514" s="9"/>
      <c r="M514" s="9"/>
      <c r="N514" s="9"/>
      <c r="O514" s="9"/>
      <c r="P514" s="9"/>
      <c r="Q514" s="9"/>
      <c r="R514" s="9"/>
      <c r="S514" s="232"/>
      <c r="T514" s="9"/>
      <c r="U514" s="9"/>
      <c r="V514" s="9"/>
      <c r="W514" s="9"/>
      <c r="X514" s="9"/>
      <c r="Y514" s="9"/>
      <c r="Z514" s="9"/>
      <c r="AA514" s="9"/>
      <c r="AB514" s="9"/>
      <c r="AC514" s="9"/>
      <c r="AD514" s="9"/>
      <c r="AE514" s="9"/>
      <c r="AF514" s="9"/>
    </row>
    <row r="515">
      <c r="A515" s="9"/>
      <c r="B515" s="9"/>
      <c r="C515" s="9"/>
      <c r="D515" s="9"/>
      <c r="E515" s="9"/>
      <c r="F515" s="9"/>
      <c r="G515" s="9"/>
      <c r="H515" s="9"/>
      <c r="I515" s="9"/>
      <c r="J515" s="9"/>
      <c r="K515" s="232"/>
      <c r="L515" s="9"/>
      <c r="M515" s="9"/>
      <c r="N515" s="9"/>
      <c r="O515" s="9"/>
      <c r="P515" s="9"/>
      <c r="Q515" s="9"/>
      <c r="R515" s="9"/>
      <c r="S515" s="232"/>
      <c r="T515" s="9"/>
      <c r="U515" s="9"/>
      <c r="V515" s="9"/>
      <c r="W515" s="9"/>
      <c r="X515" s="9"/>
      <c r="Y515" s="9"/>
      <c r="Z515" s="9"/>
      <c r="AA515" s="9"/>
      <c r="AB515" s="9"/>
      <c r="AC515" s="9"/>
      <c r="AD515" s="9"/>
      <c r="AE515" s="9"/>
      <c r="AF515" s="9"/>
    </row>
    <row r="516">
      <c r="A516" s="9"/>
      <c r="B516" s="9"/>
      <c r="C516" s="9"/>
      <c r="D516" s="9"/>
      <c r="E516" s="9"/>
      <c r="F516" s="9"/>
      <c r="G516" s="9"/>
      <c r="H516" s="9"/>
      <c r="I516" s="9"/>
      <c r="J516" s="9"/>
      <c r="K516" s="232"/>
      <c r="L516" s="9"/>
      <c r="M516" s="9"/>
      <c r="N516" s="9"/>
      <c r="O516" s="9"/>
      <c r="P516" s="9"/>
      <c r="Q516" s="9"/>
      <c r="R516" s="9"/>
      <c r="S516" s="232"/>
      <c r="T516" s="9"/>
      <c r="U516" s="9"/>
      <c r="V516" s="9"/>
      <c r="W516" s="9"/>
      <c r="X516" s="9"/>
      <c r="Y516" s="9"/>
      <c r="Z516" s="9"/>
      <c r="AA516" s="9"/>
      <c r="AB516" s="9"/>
      <c r="AC516" s="9"/>
      <c r="AD516" s="9"/>
      <c r="AE516" s="9"/>
      <c r="AF516" s="9"/>
    </row>
    <row r="517">
      <c r="A517" s="9"/>
      <c r="B517" s="9"/>
      <c r="C517" s="9"/>
      <c r="D517" s="9"/>
      <c r="E517" s="9"/>
      <c r="F517" s="9"/>
      <c r="G517" s="9"/>
      <c r="H517" s="9"/>
      <c r="I517" s="9"/>
      <c r="J517" s="9"/>
      <c r="K517" s="232"/>
      <c r="L517" s="9"/>
      <c r="M517" s="9"/>
      <c r="N517" s="9"/>
      <c r="O517" s="9"/>
      <c r="P517" s="9"/>
      <c r="Q517" s="9"/>
      <c r="R517" s="9"/>
      <c r="S517" s="232"/>
      <c r="T517" s="9"/>
      <c r="U517" s="9"/>
      <c r="V517" s="9"/>
      <c r="W517" s="9"/>
      <c r="X517" s="9"/>
      <c r="Y517" s="9"/>
      <c r="Z517" s="9"/>
      <c r="AA517" s="9"/>
      <c r="AB517" s="9"/>
      <c r="AC517" s="9"/>
      <c r="AD517" s="9"/>
      <c r="AE517" s="9"/>
      <c r="AF517" s="9"/>
    </row>
    <row r="518">
      <c r="A518" s="9"/>
      <c r="B518" s="9"/>
      <c r="C518" s="9"/>
      <c r="D518" s="9"/>
      <c r="E518" s="9"/>
      <c r="F518" s="9"/>
      <c r="G518" s="9"/>
      <c r="H518" s="9"/>
      <c r="I518" s="9"/>
      <c r="J518" s="9"/>
      <c r="K518" s="232"/>
      <c r="L518" s="9"/>
      <c r="M518" s="9"/>
      <c r="N518" s="9"/>
      <c r="O518" s="9"/>
      <c r="P518" s="9"/>
      <c r="Q518" s="9"/>
      <c r="R518" s="9"/>
      <c r="S518" s="232"/>
      <c r="T518" s="9"/>
      <c r="U518" s="9"/>
      <c r="V518" s="9"/>
      <c r="W518" s="9"/>
      <c r="X518" s="9"/>
      <c r="Y518" s="9"/>
      <c r="Z518" s="9"/>
      <c r="AA518" s="9"/>
      <c r="AB518" s="9"/>
      <c r="AC518" s="9"/>
      <c r="AD518" s="9"/>
      <c r="AE518" s="9"/>
      <c r="AF518" s="9"/>
    </row>
    <row r="519">
      <c r="A519" s="9"/>
      <c r="B519" s="9"/>
      <c r="C519" s="9"/>
      <c r="D519" s="9"/>
      <c r="E519" s="9"/>
      <c r="F519" s="9"/>
      <c r="G519" s="9"/>
      <c r="H519" s="9"/>
      <c r="I519" s="9"/>
      <c r="J519" s="9"/>
      <c r="K519" s="232"/>
      <c r="L519" s="9"/>
      <c r="M519" s="9"/>
      <c r="N519" s="9"/>
      <c r="O519" s="9"/>
      <c r="P519" s="9"/>
      <c r="Q519" s="9"/>
      <c r="R519" s="9"/>
      <c r="S519" s="232"/>
      <c r="T519" s="9"/>
      <c r="U519" s="9"/>
      <c r="V519" s="9"/>
      <c r="W519" s="9"/>
      <c r="X519" s="9"/>
      <c r="Y519" s="9"/>
      <c r="Z519" s="9"/>
      <c r="AA519" s="9"/>
      <c r="AB519" s="9"/>
      <c r="AC519" s="9"/>
      <c r="AD519" s="9"/>
      <c r="AE519" s="9"/>
      <c r="AF519" s="9"/>
    </row>
    <row r="520">
      <c r="A520" s="9"/>
      <c r="B520" s="9"/>
      <c r="C520" s="9"/>
      <c r="D520" s="9"/>
      <c r="E520" s="9"/>
      <c r="F520" s="9"/>
      <c r="G520" s="9"/>
      <c r="H520" s="9"/>
      <c r="I520" s="9"/>
      <c r="J520" s="9"/>
      <c r="K520" s="232"/>
      <c r="L520" s="9"/>
      <c r="M520" s="9"/>
      <c r="N520" s="9"/>
      <c r="O520" s="9"/>
      <c r="P520" s="9"/>
      <c r="Q520" s="9"/>
      <c r="R520" s="9"/>
      <c r="S520" s="232"/>
      <c r="T520" s="9"/>
      <c r="U520" s="9"/>
      <c r="V520" s="9"/>
      <c r="W520" s="9"/>
      <c r="X520" s="9"/>
      <c r="Y520" s="9"/>
      <c r="Z520" s="9"/>
      <c r="AA520" s="9"/>
      <c r="AB520" s="9"/>
      <c r="AC520" s="9"/>
      <c r="AD520" s="9"/>
      <c r="AE520" s="9"/>
      <c r="AF520" s="9"/>
    </row>
    <row r="521">
      <c r="A521" s="9"/>
      <c r="B521" s="9"/>
      <c r="C521" s="9"/>
      <c r="D521" s="9"/>
      <c r="E521" s="9"/>
      <c r="F521" s="9"/>
      <c r="G521" s="9"/>
      <c r="H521" s="9"/>
      <c r="I521" s="9"/>
      <c r="J521" s="9"/>
      <c r="K521" s="232"/>
      <c r="L521" s="9"/>
      <c r="M521" s="9"/>
      <c r="N521" s="9"/>
      <c r="O521" s="9"/>
      <c r="P521" s="9"/>
      <c r="Q521" s="9"/>
      <c r="R521" s="9"/>
      <c r="S521" s="232"/>
      <c r="T521" s="9"/>
      <c r="U521" s="9"/>
      <c r="V521" s="9"/>
      <c r="W521" s="9"/>
      <c r="X521" s="9"/>
      <c r="Y521" s="9"/>
      <c r="Z521" s="9"/>
      <c r="AA521" s="9"/>
      <c r="AB521" s="9"/>
      <c r="AC521" s="9"/>
      <c r="AD521" s="9"/>
      <c r="AE521" s="9"/>
      <c r="AF521" s="9"/>
    </row>
    <row r="522">
      <c r="A522" s="9"/>
      <c r="B522" s="9"/>
      <c r="C522" s="9"/>
      <c r="D522" s="9"/>
      <c r="E522" s="9"/>
      <c r="F522" s="9"/>
      <c r="G522" s="9"/>
      <c r="H522" s="9"/>
      <c r="I522" s="9"/>
      <c r="J522" s="9"/>
      <c r="K522" s="232"/>
      <c r="L522" s="9"/>
      <c r="M522" s="9"/>
      <c r="N522" s="9"/>
      <c r="O522" s="9"/>
      <c r="P522" s="9"/>
      <c r="Q522" s="9"/>
      <c r="R522" s="9"/>
      <c r="S522" s="232"/>
      <c r="T522" s="9"/>
      <c r="U522" s="9"/>
      <c r="V522" s="9"/>
      <c r="W522" s="9"/>
      <c r="X522" s="9"/>
      <c r="Y522" s="9"/>
      <c r="Z522" s="9"/>
      <c r="AA522" s="9"/>
      <c r="AB522" s="9"/>
      <c r="AC522" s="9"/>
      <c r="AD522" s="9"/>
      <c r="AE522" s="9"/>
      <c r="AF522" s="9"/>
    </row>
    <row r="523">
      <c r="A523" s="9"/>
      <c r="B523" s="9"/>
      <c r="C523" s="9"/>
      <c r="D523" s="9"/>
      <c r="E523" s="9"/>
      <c r="F523" s="9"/>
      <c r="G523" s="9"/>
      <c r="H523" s="9"/>
      <c r="I523" s="9"/>
      <c r="J523" s="9"/>
      <c r="K523" s="232"/>
      <c r="L523" s="9"/>
      <c r="M523" s="9"/>
      <c r="N523" s="9"/>
      <c r="O523" s="9"/>
      <c r="P523" s="9"/>
      <c r="Q523" s="9"/>
      <c r="R523" s="9"/>
      <c r="S523" s="232"/>
      <c r="T523" s="9"/>
      <c r="U523" s="9"/>
      <c r="V523" s="9"/>
      <c r="W523" s="9"/>
      <c r="X523" s="9"/>
      <c r="Y523" s="9"/>
      <c r="Z523" s="9"/>
      <c r="AA523" s="9"/>
      <c r="AB523" s="9"/>
      <c r="AC523" s="9"/>
      <c r="AD523" s="9"/>
      <c r="AE523" s="9"/>
      <c r="AF523" s="9"/>
    </row>
    <row r="524">
      <c r="A524" s="9"/>
      <c r="B524" s="9"/>
      <c r="C524" s="9"/>
      <c r="D524" s="9"/>
      <c r="E524" s="9"/>
      <c r="F524" s="9"/>
      <c r="G524" s="9"/>
      <c r="H524" s="9"/>
      <c r="I524" s="9"/>
      <c r="J524" s="9"/>
      <c r="K524" s="232"/>
      <c r="L524" s="9"/>
      <c r="M524" s="9"/>
      <c r="N524" s="9"/>
      <c r="O524" s="9"/>
      <c r="P524" s="9"/>
      <c r="Q524" s="9"/>
      <c r="R524" s="9"/>
      <c r="S524" s="232"/>
      <c r="T524" s="9"/>
      <c r="U524" s="9"/>
      <c r="V524" s="9"/>
      <c r="W524" s="9"/>
      <c r="X524" s="9"/>
      <c r="Y524" s="9"/>
      <c r="Z524" s="9"/>
      <c r="AA524" s="9"/>
      <c r="AB524" s="9"/>
      <c r="AC524" s="9"/>
      <c r="AD524" s="9"/>
      <c r="AE524" s="9"/>
      <c r="AF524" s="9"/>
    </row>
    <row r="525">
      <c r="A525" s="9"/>
      <c r="B525" s="9"/>
      <c r="C525" s="9"/>
      <c r="D525" s="9"/>
      <c r="E525" s="9"/>
      <c r="F525" s="9"/>
      <c r="G525" s="9"/>
      <c r="H525" s="9"/>
      <c r="I525" s="9"/>
      <c r="J525" s="9"/>
      <c r="K525" s="232"/>
      <c r="L525" s="9"/>
      <c r="M525" s="9"/>
      <c r="N525" s="9"/>
      <c r="O525" s="9"/>
      <c r="P525" s="9"/>
      <c r="Q525" s="9"/>
      <c r="R525" s="9"/>
      <c r="S525" s="232"/>
      <c r="T525" s="9"/>
      <c r="U525" s="9"/>
      <c r="V525" s="9"/>
      <c r="W525" s="9"/>
      <c r="X525" s="9"/>
      <c r="Y525" s="9"/>
      <c r="Z525" s="9"/>
      <c r="AA525" s="9"/>
      <c r="AB525" s="9"/>
      <c r="AC525" s="9"/>
      <c r="AD525" s="9"/>
      <c r="AE525" s="9"/>
      <c r="AF525" s="9"/>
    </row>
    <row r="526">
      <c r="A526" s="9"/>
      <c r="B526" s="9"/>
      <c r="C526" s="9"/>
      <c r="D526" s="9"/>
      <c r="E526" s="9"/>
      <c r="F526" s="9"/>
      <c r="G526" s="9"/>
      <c r="H526" s="9"/>
      <c r="I526" s="9"/>
      <c r="J526" s="9"/>
      <c r="K526" s="232"/>
      <c r="L526" s="9"/>
      <c r="M526" s="9"/>
      <c r="N526" s="9"/>
      <c r="O526" s="9"/>
      <c r="P526" s="9"/>
      <c r="Q526" s="9"/>
      <c r="R526" s="9"/>
      <c r="S526" s="232"/>
      <c r="T526" s="9"/>
      <c r="U526" s="9"/>
      <c r="V526" s="9"/>
      <c r="W526" s="9"/>
      <c r="X526" s="9"/>
      <c r="Y526" s="9"/>
      <c r="Z526" s="9"/>
      <c r="AA526" s="9"/>
      <c r="AB526" s="9"/>
      <c r="AC526" s="9"/>
      <c r="AD526" s="9"/>
      <c r="AE526" s="9"/>
      <c r="AF526" s="9"/>
    </row>
    <row r="527">
      <c r="A527" s="9"/>
      <c r="B527" s="9"/>
      <c r="C527" s="9"/>
      <c r="D527" s="9"/>
      <c r="E527" s="9"/>
      <c r="F527" s="9"/>
      <c r="G527" s="9"/>
      <c r="H527" s="9"/>
      <c r="I527" s="9"/>
      <c r="J527" s="9"/>
      <c r="K527" s="232"/>
      <c r="L527" s="9"/>
      <c r="M527" s="9"/>
      <c r="N527" s="9"/>
      <c r="O527" s="9"/>
      <c r="P527" s="9"/>
      <c r="Q527" s="9"/>
      <c r="R527" s="9"/>
      <c r="S527" s="232"/>
      <c r="T527" s="9"/>
      <c r="U527" s="9"/>
      <c r="V527" s="9"/>
      <c r="W527" s="9"/>
      <c r="X527" s="9"/>
      <c r="Y527" s="9"/>
      <c r="Z527" s="9"/>
      <c r="AA527" s="9"/>
      <c r="AB527" s="9"/>
      <c r="AC527" s="9"/>
      <c r="AD527" s="9"/>
      <c r="AE527" s="9"/>
      <c r="AF527" s="9"/>
    </row>
    <row r="528">
      <c r="A528" s="9"/>
      <c r="B528" s="9"/>
      <c r="C528" s="9"/>
      <c r="D528" s="9"/>
      <c r="E528" s="9"/>
      <c r="F528" s="9"/>
      <c r="G528" s="9"/>
      <c r="H528" s="9"/>
      <c r="I528" s="9"/>
      <c r="J528" s="9"/>
      <c r="K528" s="232"/>
      <c r="L528" s="9"/>
      <c r="M528" s="9"/>
      <c r="N528" s="9"/>
      <c r="O528" s="9"/>
      <c r="P528" s="9"/>
      <c r="Q528" s="9"/>
      <c r="R528" s="9"/>
      <c r="S528" s="232"/>
      <c r="T528" s="9"/>
      <c r="U528" s="9"/>
      <c r="V528" s="9"/>
      <c r="W528" s="9"/>
      <c r="X528" s="9"/>
      <c r="Y528" s="9"/>
      <c r="Z528" s="9"/>
      <c r="AA528" s="9"/>
      <c r="AB528" s="9"/>
      <c r="AC528" s="9"/>
      <c r="AD528" s="9"/>
      <c r="AE528" s="9"/>
      <c r="AF528" s="9"/>
    </row>
    <row r="529">
      <c r="A529" s="9"/>
      <c r="B529" s="9"/>
      <c r="C529" s="9"/>
      <c r="D529" s="9"/>
      <c r="E529" s="9"/>
      <c r="F529" s="9"/>
      <c r="G529" s="9"/>
      <c r="H529" s="9"/>
      <c r="I529" s="9"/>
      <c r="J529" s="9"/>
      <c r="K529" s="232"/>
      <c r="L529" s="9"/>
      <c r="M529" s="9"/>
      <c r="N529" s="9"/>
      <c r="O529" s="9"/>
      <c r="P529" s="9"/>
      <c r="Q529" s="9"/>
      <c r="R529" s="9"/>
      <c r="S529" s="232"/>
      <c r="T529" s="9"/>
      <c r="U529" s="9"/>
      <c r="V529" s="9"/>
      <c r="W529" s="9"/>
      <c r="X529" s="9"/>
      <c r="Y529" s="9"/>
      <c r="Z529" s="9"/>
      <c r="AA529" s="9"/>
      <c r="AB529" s="9"/>
      <c r="AC529" s="9"/>
      <c r="AD529" s="9"/>
      <c r="AE529" s="9"/>
      <c r="AF529" s="9"/>
    </row>
    <row r="530">
      <c r="A530" s="9"/>
      <c r="B530" s="9"/>
      <c r="C530" s="9"/>
      <c r="D530" s="9"/>
      <c r="E530" s="9"/>
      <c r="F530" s="9"/>
      <c r="G530" s="9"/>
      <c r="H530" s="9"/>
      <c r="I530" s="9"/>
      <c r="J530" s="9"/>
      <c r="K530" s="232"/>
      <c r="L530" s="9"/>
      <c r="M530" s="9"/>
      <c r="N530" s="9"/>
      <c r="O530" s="9"/>
      <c r="P530" s="9"/>
      <c r="Q530" s="9"/>
      <c r="R530" s="9"/>
      <c r="S530" s="232"/>
      <c r="T530" s="9"/>
      <c r="U530" s="9"/>
      <c r="V530" s="9"/>
      <c r="W530" s="9"/>
      <c r="X530" s="9"/>
      <c r="Y530" s="9"/>
      <c r="Z530" s="9"/>
      <c r="AA530" s="9"/>
      <c r="AB530" s="9"/>
      <c r="AC530" s="9"/>
      <c r="AD530" s="9"/>
      <c r="AE530" s="9"/>
      <c r="AF530" s="9"/>
    </row>
    <row r="531">
      <c r="A531" s="9"/>
      <c r="B531" s="9"/>
      <c r="C531" s="9"/>
      <c r="D531" s="9"/>
      <c r="E531" s="9"/>
      <c r="F531" s="9"/>
      <c r="G531" s="9"/>
      <c r="H531" s="9"/>
      <c r="I531" s="9"/>
      <c r="J531" s="9"/>
      <c r="K531" s="232"/>
      <c r="L531" s="9"/>
      <c r="M531" s="9"/>
      <c r="N531" s="9"/>
      <c r="O531" s="9"/>
      <c r="P531" s="9"/>
      <c r="Q531" s="9"/>
      <c r="R531" s="9"/>
      <c r="S531" s="232"/>
      <c r="T531" s="9"/>
      <c r="U531" s="9"/>
      <c r="V531" s="9"/>
      <c r="W531" s="9"/>
      <c r="X531" s="9"/>
      <c r="Y531" s="9"/>
      <c r="Z531" s="9"/>
      <c r="AA531" s="9"/>
      <c r="AB531" s="9"/>
      <c r="AC531" s="9"/>
      <c r="AD531" s="9"/>
      <c r="AE531" s="9"/>
      <c r="AF531" s="9"/>
    </row>
    <row r="532">
      <c r="A532" s="9"/>
      <c r="B532" s="9"/>
      <c r="C532" s="9"/>
      <c r="D532" s="9"/>
      <c r="E532" s="9"/>
      <c r="F532" s="9"/>
      <c r="G532" s="9"/>
      <c r="H532" s="9"/>
      <c r="I532" s="9"/>
      <c r="J532" s="9"/>
      <c r="K532" s="232"/>
      <c r="L532" s="9"/>
      <c r="M532" s="9"/>
      <c r="N532" s="9"/>
      <c r="O532" s="9"/>
      <c r="P532" s="9"/>
      <c r="Q532" s="9"/>
      <c r="R532" s="9"/>
      <c r="S532" s="232"/>
      <c r="T532" s="9"/>
      <c r="U532" s="9"/>
      <c r="V532" s="9"/>
      <c r="W532" s="9"/>
      <c r="X532" s="9"/>
      <c r="Y532" s="9"/>
      <c r="Z532" s="9"/>
      <c r="AA532" s="9"/>
      <c r="AB532" s="9"/>
      <c r="AC532" s="9"/>
      <c r="AD532" s="9"/>
      <c r="AE532" s="9"/>
      <c r="AF532" s="9"/>
    </row>
    <row r="533">
      <c r="A533" s="9"/>
      <c r="B533" s="9"/>
      <c r="C533" s="9"/>
      <c r="D533" s="9"/>
      <c r="E533" s="9"/>
      <c r="F533" s="9"/>
      <c r="G533" s="9"/>
      <c r="H533" s="9"/>
      <c r="I533" s="9"/>
      <c r="J533" s="9"/>
      <c r="K533" s="232"/>
      <c r="L533" s="9"/>
      <c r="M533" s="9"/>
      <c r="N533" s="9"/>
      <c r="O533" s="9"/>
      <c r="P533" s="9"/>
      <c r="Q533" s="9"/>
      <c r="R533" s="9"/>
      <c r="S533" s="232"/>
      <c r="T533" s="9"/>
      <c r="U533" s="9"/>
      <c r="V533" s="9"/>
      <c r="W533" s="9"/>
      <c r="X533" s="9"/>
      <c r="Y533" s="9"/>
      <c r="Z533" s="9"/>
      <c r="AA533" s="9"/>
      <c r="AB533" s="9"/>
      <c r="AC533" s="9"/>
      <c r="AD533" s="9"/>
      <c r="AE533" s="9"/>
      <c r="AF533" s="9"/>
    </row>
    <row r="534">
      <c r="A534" s="9"/>
      <c r="B534" s="9"/>
      <c r="C534" s="9"/>
      <c r="D534" s="9"/>
      <c r="E534" s="9"/>
      <c r="F534" s="9"/>
      <c r="G534" s="9"/>
      <c r="H534" s="9"/>
      <c r="I534" s="9"/>
      <c r="J534" s="9"/>
      <c r="K534" s="232"/>
      <c r="L534" s="9"/>
      <c r="M534" s="9"/>
      <c r="N534" s="9"/>
      <c r="O534" s="9"/>
      <c r="P534" s="9"/>
      <c r="Q534" s="9"/>
      <c r="R534" s="9"/>
      <c r="S534" s="232"/>
      <c r="T534" s="9"/>
      <c r="U534" s="9"/>
      <c r="V534" s="9"/>
      <c r="W534" s="9"/>
      <c r="X534" s="9"/>
      <c r="Y534" s="9"/>
      <c r="Z534" s="9"/>
      <c r="AA534" s="9"/>
      <c r="AB534" s="9"/>
      <c r="AC534" s="9"/>
      <c r="AD534" s="9"/>
      <c r="AE534" s="9"/>
      <c r="AF534" s="9"/>
    </row>
    <row r="535">
      <c r="A535" s="9"/>
      <c r="B535" s="9"/>
      <c r="C535" s="9"/>
      <c r="D535" s="9"/>
      <c r="E535" s="9"/>
      <c r="F535" s="9"/>
      <c r="G535" s="9"/>
      <c r="H535" s="9"/>
      <c r="I535" s="9"/>
      <c r="J535" s="9"/>
      <c r="K535" s="232"/>
      <c r="L535" s="9"/>
      <c r="M535" s="9"/>
      <c r="N535" s="9"/>
      <c r="O535" s="9"/>
      <c r="P535" s="9"/>
      <c r="Q535" s="9"/>
      <c r="R535" s="9"/>
      <c r="S535" s="232"/>
      <c r="T535" s="9"/>
      <c r="U535" s="9"/>
      <c r="V535" s="9"/>
      <c r="W535" s="9"/>
      <c r="X535" s="9"/>
      <c r="Y535" s="9"/>
      <c r="Z535" s="9"/>
      <c r="AA535" s="9"/>
      <c r="AB535" s="9"/>
      <c r="AC535" s="9"/>
      <c r="AD535" s="9"/>
      <c r="AE535" s="9"/>
      <c r="AF535" s="9"/>
    </row>
    <row r="536">
      <c r="A536" s="9"/>
      <c r="B536" s="9"/>
      <c r="C536" s="9"/>
      <c r="D536" s="9"/>
      <c r="E536" s="9"/>
      <c r="F536" s="9"/>
      <c r="G536" s="9"/>
      <c r="H536" s="9"/>
      <c r="I536" s="9"/>
      <c r="J536" s="9"/>
      <c r="K536" s="232"/>
      <c r="L536" s="9"/>
      <c r="M536" s="9"/>
      <c r="N536" s="9"/>
      <c r="O536" s="9"/>
      <c r="P536" s="9"/>
      <c r="Q536" s="9"/>
      <c r="R536" s="9"/>
      <c r="S536" s="232"/>
      <c r="T536" s="9"/>
      <c r="U536" s="9"/>
      <c r="V536" s="9"/>
      <c r="W536" s="9"/>
      <c r="X536" s="9"/>
      <c r="Y536" s="9"/>
      <c r="Z536" s="9"/>
      <c r="AA536" s="9"/>
      <c r="AB536" s="9"/>
      <c r="AC536" s="9"/>
      <c r="AD536" s="9"/>
      <c r="AE536" s="9"/>
      <c r="AF536" s="9"/>
    </row>
    <row r="537">
      <c r="A537" s="9"/>
      <c r="B537" s="9"/>
      <c r="C537" s="9"/>
      <c r="D537" s="9"/>
      <c r="E537" s="9"/>
      <c r="F537" s="9"/>
      <c r="G537" s="9"/>
      <c r="H537" s="9"/>
      <c r="I537" s="9"/>
      <c r="J537" s="9"/>
      <c r="K537" s="232"/>
      <c r="L537" s="9"/>
      <c r="M537" s="9"/>
      <c r="N537" s="9"/>
      <c r="O537" s="9"/>
      <c r="P537" s="9"/>
      <c r="Q537" s="9"/>
      <c r="R537" s="9"/>
      <c r="S537" s="232"/>
      <c r="T537" s="9"/>
      <c r="U537" s="9"/>
      <c r="V537" s="9"/>
      <c r="W537" s="9"/>
      <c r="X537" s="9"/>
      <c r="Y537" s="9"/>
      <c r="Z537" s="9"/>
      <c r="AA537" s="9"/>
      <c r="AB537" s="9"/>
      <c r="AC537" s="9"/>
      <c r="AD537" s="9"/>
      <c r="AE537" s="9"/>
      <c r="AF537" s="9"/>
    </row>
    <row r="538">
      <c r="A538" s="9"/>
      <c r="B538" s="9"/>
      <c r="C538" s="9"/>
      <c r="D538" s="9"/>
      <c r="E538" s="9"/>
      <c r="F538" s="9"/>
      <c r="G538" s="9"/>
      <c r="H538" s="9"/>
      <c r="I538" s="9"/>
      <c r="J538" s="9"/>
      <c r="K538" s="232"/>
      <c r="L538" s="9"/>
      <c r="M538" s="9"/>
      <c r="N538" s="9"/>
      <c r="O538" s="9"/>
      <c r="P538" s="9"/>
      <c r="Q538" s="9"/>
      <c r="R538" s="9"/>
      <c r="S538" s="232"/>
      <c r="T538" s="9"/>
      <c r="U538" s="9"/>
      <c r="V538" s="9"/>
      <c r="W538" s="9"/>
      <c r="X538" s="9"/>
      <c r="Y538" s="9"/>
      <c r="Z538" s="9"/>
      <c r="AA538" s="9"/>
      <c r="AB538" s="9"/>
      <c r="AC538" s="9"/>
      <c r="AD538" s="9"/>
      <c r="AE538" s="9"/>
      <c r="AF538" s="9"/>
    </row>
    <row r="539">
      <c r="A539" s="9"/>
      <c r="B539" s="9"/>
      <c r="C539" s="9"/>
      <c r="D539" s="9"/>
      <c r="E539" s="9"/>
      <c r="F539" s="9"/>
      <c r="G539" s="9"/>
      <c r="H539" s="9"/>
      <c r="I539" s="9"/>
      <c r="J539" s="9"/>
      <c r="K539" s="232"/>
      <c r="L539" s="9"/>
      <c r="M539" s="9"/>
      <c r="N539" s="9"/>
      <c r="O539" s="9"/>
      <c r="P539" s="9"/>
      <c r="Q539" s="9"/>
      <c r="R539" s="9"/>
      <c r="S539" s="232"/>
      <c r="T539" s="9"/>
      <c r="U539" s="9"/>
      <c r="V539" s="9"/>
      <c r="W539" s="9"/>
      <c r="X539" s="9"/>
      <c r="Y539" s="9"/>
      <c r="Z539" s="9"/>
      <c r="AA539" s="9"/>
      <c r="AB539" s="9"/>
      <c r="AC539" s="9"/>
      <c r="AD539" s="9"/>
      <c r="AE539" s="9"/>
      <c r="AF539" s="9"/>
    </row>
    <row r="540">
      <c r="A540" s="9"/>
      <c r="B540" s="9"/>
      <c r="C540" s="9"/>
      <c r="D540" s="9"/>
      <c r="E540" s="9"/>
      <c r="F540" s="9"/>
      <c r="G540" s="9"/>
      <c r="H540" s="9"/>
      <c r="I540" s="9"/>
      <c r="J540" s="9"/>
      <c r="K540" s="232"/>
      <c r="L540" s="9"/>
      <c r="M540" s="9"/>
      <c r="N540" s="9"/>
      <c r="O540" s="9"/>
      <c r="P540" s="9"/>
      <c r="Q540" s="9"/>
      <c r="R540" s="9"/>
      <c r="S540" s="232"/>
      <c r="T540" s="9"/>
      <c r="U540" s="9"/>
      <c r="V540" s="9"/>
      <c r="W540" s="9"/>
      <c r="X540" s="9"/>
      <c r="Y540" s="9"/>
      <c r="Z540" s="9"/>
      <c r="AA540" s="9"/>
      <c r="AB540" s="9"/>
      <c r="AC540" s="9"/>
      <c r="AD540" s="9"/>
      <c r="AE540" s="9"/>
      <c r="AF540" s="9"/>
    </row>
    <row r="541">
      <c r="A541" s="9"/>
      <c r="B541" s="9"/>
      <c r="C541" s="9"/>
      <c r="D541" s="9"/>
      <c r="E541" s="9"/>
      <c r="F541" s="9"/>
      <c r="G541" s="9"/>
      <c r="H541" s="9"/>
      <c r="I541" s="9"/>
      <c r="J541" s="9"/>
      <c r="K541" s="232"/>
      <c r="L541" s="9"/>
      <c r="M541" s="9"/>
      <c r="N541" s="9"/>
      <c r="O541" s="9"/>
      <c r="P541" s="9"/>
      <c r="Q541" s="9"/>
      <c r="R541" s="9"/>
      <c r="S541" s="232"/>
      <c r="T541" s="9"/>
      <c r="U541" s="9"/>
      <c r="V541" s="9"/>
      <c r="W541" s="9"/>
      <c r="X541" s="9"/>
      <c r="Y541" s="9"/>
      <c r="Z541" s="9"/>
      <c r="AA541" s="9"/>
      <c r="AB541" s="9"/>
      <c r="AC541" s="9"/>
      <c r="AD541" s="9"/>
      <c r="AE541" s="9"/>
      <c r="AF541" s="9"/>
    </row>
    <row r="542">
      <c r="A542" s="9"/>
      <c r="B542" s="9"/>
      <c r="C542" s="9"/>
      <c r="D542" s="9"/>
      <c r="E542" s="9"/>
      <c r="F542" s="9"/>
      <c r="G542" s="9"/>
      <c r="H542" s="9"/>
      <c r="I542" s="9"/>
      <c r="J542" s="9"/>
      <c r="K542" s="232"/>
      <c r="L542" s="9"/>
      <c r="M542" s="9"/>
      <c r="N542" s="9"/>
      <c r="O542" s="9"/>
      <c r="P542" s="9"/>
      <c r="Q542" s="9"/>
      <c r="R542" s="9"/>
      <c r="S542" s="232"/>
      <c r="T542" s="9"/>
      <c r="U542" s="9"/>
      <c r="V542" s="9"/>
      <c r="W542" s="9"/>
      <c r="X542" s="9"/>
      <c r="Y542" s="9"/>
      <c r="Z542" s="9"/>
      <c r="AA542" s="9"/>
      <c r="AB542" s="9"/>
      <c r="AC542" s="9"/>
      <c r="AD542" s="9"/>
      <c r="AE542" s="9"/>
      <c r="AF542" s="9"/>
    </row>
    <row r="543">
      <c r="A543" s="9"/>
      <c r="B543" s="9"/>
      <c r="C543" s="9"/>
      <c r="D543" s="9"/>
      <c r="E543" s="9"/>
      <c r="F543" s="9"/>
      <c r="G543" s="9"/>
      <c r="H543" s="9"/>
      <c r="I543" s="9"/>
      <c r="J543" s="9"/>
      <c r="K543" s="232"/>
      <c r="L543" s="9"/>
      <c r="M543" s="9"/>
      <c r="N543" s="9"/>
      <c r="O543" s="9"/>
      <c r="P543" s="9"/>
      <c r="Q543" s="9"/>
      <c r="R543" s="9"/>
      <c r="S543" s="232"/>
      <c r="T543" s="9"/>
      <c r="U543" s="9"/>
      <c r="V543" s="9"/>
      <c r="W543" s="9"/>
      <c r="X543" s="9"/>
      <c r="Y543" s="9"/>
      <c r="Z543" s="9"/>
      <c r="AA543" s="9"/>
      <c r="AB543" s="9"/>
      <c r="AC543" s="9"/>
      <c r="AD543" s="9"/>
      <c r="AE543" s="9"/>
      <c r="AF543" s="9"/>
    </row>
    <row r="544">
      <c r="A544" s="9"/>
      <c r="B544" s="9"/>
      <c r="C544" s="9"/>
      <c r="D544" s="9"/>
      <c r="E544" s="9"/>
      <c r="F544" s="9"/>
      <c r="G544" s="9"/>
      <c r="H544" s="9"/>
      <c r="I544" s="9"/>
      <c r="J544" s="9"/>
      <c r="K544" s="232"/>
      <c r="L544" s="9"/>
      <c r="M544" s="9"/>
      <c r="N544" s="9"/>
      <c r="O544" s="9"/>
      <c r="P544" s="9"/>
      <c r="Q544" s="9"/>
      <c r="R544" s="9"/>
      <c r="S544" s="232"/>
      <c r="T544" s="9"/>
      <c r="U544" s="9"/>
      <c r="V544" s="9"/>
      <c r="W544" s="9"/>
      <c r="X544" s="9"/>
      <c r="Y544" s="9"/>
      <c r="Z544" s="9"/>
      <c r="AA544" s="9"/>
      <c r="AB544" s="9"/>
      <c r="AC544" s="9"/>
      <c r="AD544" s="9"/>
      <c r="AE544" s="9"/>
      <c r="AF544" s="9"/>
    </row>
    <row r="545">
      <c r="A545" s="9"/>
      <c r="B545" s="9"/>
      <c r="C545" s="9"/>
      <c r="D545" s="9"/>
      <c r="E545" s="9"/>
      <c r="F545" s="9"/>
      <c r="G545" s="9"/>
      <c r="H545" s="9"/>
      <c r="I545" s="9"/>
      <c r="J545" s="9"/>
      <c r="K545" s="232"/>
      <c r="L545" s="9"/>
      <c r="M545" s="9"/>
      <c r="N545" s="9"/>
      <c r="O545" s="9"/>
      <c r="P545" s="9"/>
      <c r="Q545" s="9"/>
      <c r="R545" s="9"/>
      <c r="S545" s="232"/>
      <c r="T545" s="9"/>
      <c r="U545" s="9"/>
      <c r="V545" s="9"/>
      <c r="W545" s="9"/>
      <c r="X545" s="9"/>
      <c r="Y545" s="9"/>
      <c r="Z545" s="9"/>
      <c r="AA545" s="9"/>
      <c r="AB545" s="9"/>
      <c r="AC545" s="9"/>
      <c r="AD545" s="9"/>
      <c r="AE545" s="9"/>
      <c r="AF545" s="9"/>
    </row>
    <row r="546">
      <c r="A546" s="9"/>
      <c r="B546" s="9"/>
      <c r="C546" s="9"/>
      <c r="D546" s="9"/>
      <c r="E546" s="9"/>
      <c r="F546" s="9"/>
      <c r="G546" s="9"/>
      <c r="H546" s="9"/>
      <c r="I546" s="9"/>
      <c r="J546" s="9"/>
      <c r="K546" s="232"/>
      <c r="L546" s="9"/>
      <c r="M546" s="9"/>
      <c r="N546" s="9"/>
      <c r="O546" s="9"/>
      <c r="P546" s="9"/>
      <c r="Q546" s="9"/>
      <c r="R546" s="9"/>
      <c r="S546" s="232"/>
      <c r="T546" s="9"/>
      <c r="U546" s="9"/>
      <c r="V546" s="9"/>
      <c r="W546" s="9"/>
      <c r="X546" s="9"/>
      <c r="Y546" s="9"/>
      <c r="Z546" s="9"/>
      <c r="AA546" s="9"/>
      <c r="AB546" s="9"/>
      <c r="AC546" s="9"/>
      <c r="AD546" s="9"/>
      <c r="AE546" s="9"/>
      <c r="AF546" s="9"/>
    </row>
    <row r="547">
      <c r="A547" s="9"/>
      <c r="B547" s="9"/>
      <c r="C547" s="9"/>
      <c r="D547" s="9"/>
      <c r="E547" s="9"/>
      <c r="F547" s="9"/>
      <c r="G547" s="9"/>
      <c r="H547" s="9"/>
      <c r="I547" s="9"/>
      <c r="J547" s="9"/>
      <c r="K547" s="232"/>
      <c r="L547" s="9"/>
      <c r="M547" s="9"/>
      <c r="N547" s="9"/>
      <c r="O547" s="9"/>
      <c r="P547" s="9"/>
      <c r="Q547" s="9"/>
      <c r="R547" s="9"/>
      <c r="S547" s="232"/>
      <c r="T547" s="9"/>
      <c r="U547" s="9"/>
      <c r="V547" s="9"/>
      <c r="W547" s="9"/>
      <c r="X547" s="9"/>
      <c r="Y547" s="9"/>
      <c r="Z547" s="9"/>
      <c r="AA547" s="9"/>
      <c r="AB547" s="9"/>
      <c r="AC547" s="9"/>
      <c r="AD547" s="9"/>
      <c r="AE547" s="9"/>
      <c r="AF547" s="9"/>
    </row>
    <row r="548">
      <c r="A548" s="9"/>
      <c r="B548" s="9"/>
      <c r="C548" s="9"/>
      <c r="D548" s="9"/>
      <c r="E548" s="9"/>
      <c r="F548" s="9"/>
      <c r="G548" s="9"/>
      <c r="H548" s="9"/>
      <c r="I548" s="9"/>
      <c r="J548" s="9"/>
      <c r="K548" s="232"/>
      <c r="L548" s="9"/>
      <c r="M548" s="9"/>
      <c r="N548" s="9"/>
      <c r="O548" s="9"/>
      <c r="P548" s="9"/>
      <c r="Q548" s="9"/>
      <c r="R548" s="9"/>
      <c r="S548" s="232"/>
      <c r="T548" s="9"/>
      <c r="U548" s="9"/>
      <c r="V548" s="9"/>
      <c r="W548" s="9"/>
      <c r="X548" s="9"/>
      <c r="Y548" s="9"/>
      <c r="Z548" s="9"/>
      <c r="AA548" s="9"/>
      <c r="AB548" s="9"/>
      <c r="AC548" s="9"/>
      <c r="AD548" s="9"/>
      <c r="AE548" s="9"/>
      <c r="AF548" s="9"/>
    </row>
    <row r="549">
      <c r="A549" s="9"/>
      <c r="B549" s="9"/>
      <c r="C549" s="9"/>
      <c r="D549" s="9"/>
      <c r="E549" s="9"/>
      <c r="F549" s="9"/>
      <c r="G549" s="9"/>
      <c r="H549" s="9"/>
      <c r="I549" s="9"/>
      <c r="J549" s="9"/>
      <c r="K549" s="232"/>
      <c r="L549" s="9"/>
      <c r="M549" s="9"/>
      <c r="N549" s="9"/>
      <c r="O549" s="9"/>
      <c r="P549" s="9"/>
      <c r="Q549" s="9"/>
      <c r="R549" s="9"/>
      <c r="S549" s="232"/>
      <c r="T549" s="9"/>
      <c r="U549" s="9"/>
      <c r="V549" s="9"/>
      <c r="W549" s="9"/>
      <c r="X549" s="9"/>
      <c r="Y549" s="9"/>
      <c r="Z549" s="9"/>
      <c r="AA549" s="9"/>
      <c r="AB549" s="9"/>
      <c r="AC549" s="9"/>
      <c r="AD549" s="9"/>
      <c r="AE549" s="9"/>
      <c r="AF549" s="9"/>
    </row>
    <row r="550">
      <c r="A550" s="9"/>
      <c r="B550" s="9"/>
      <c r="C550" s="9"/>
      <c r="D550" s="9"/>
      <c r="E550" s="9"/>
      <c r="F550" s="9"/>
      <c r="G550" s="9"/>
      <c r="H550" s="9"/>
      <c r="I550" s="9"/>
      <c r="J550" s="9"/>
      <c r="K550" s="232"/>
      <c r="L550" s="9"/>
      <c r="M550" s="9"/>
      <c r="N550" s="9"/>
      <c r="O550" s="9"/>
      <c r="P550" s="9"/>
      <c r="Q550" s="9"/>
      <c r="R550" s="9"/>
      <c r="S550" s="232"/>
      <c r="T550" s="9"/>
      <c r="U550" s="9"/>
      <c r="V550" s="9"/>
      <c r="W550" s="9"/>
      <c r="X550" s="9"/>
      <c r="Y550" s="9"/>
      <c r="Z550" s="9"/>
      <c r="AA550" s="9"/>
      <c r="AB550" s="9"/>
      <c r="AC550" s="9"/>
      <c r="AD550" s="9"/>
      <c r="AE550" s="9"/>
      <c r="AF550" s="9"/>
    </row>
    <row r="551">
      <c r="A551" s="9"/>
      <c r="B551" s="9"/>
      <c r="C551" s="9"/>
      <c r="D551" s="9"/>
      <c r="E551" s="9"/>
      <c r="F551" s="9"/>
      <c r="G551" s="9"/>
      <c r="H551" s="9"/>
      <c r="I551" s="9"/>
      <c r="J551" s="9"/>
      <c r="K551" s="232"/>
      <c r="L551" s="9"/>
      <c r="M551" s="9"/>
      <c r="N551" s="9"/>
      <c r="O551" s="9"/>
      <c r="P551" s="9"/>
      <c r="Q551" s="9"/>
      <c r="R551" s="9"/>
      <c r="S551" s="232"/>
      <c r="T551" s="9"/>
      <c r="U551" s="9"/>
      <c r="V551" s="9"/>
      <c r="W551" s="9"/>
      <c r="X551" s="9"/>
      <c r="Y551" s="9"/>
      <c r="Z551" s="9"/>
      <c r="AA551" s="9"/>
      <c r="AB551" s="9"/>
      <c r="AC551" s="9"/>
      <c r="AD551" s="9"/>
      <c r="AE551" s="9"/>
      <c r="AF551" s="9"/>
    </row>
    <row r="552">
      <c r="A552" s="9"/>
      <c r="B552" s="9"/>
      <c r="C552" s="9"/>
      <c r="D552" s="9"/>
      <c r="E552" s="9"/>
      <c r="F552" s="9"/>
      <c r="G552" s="9"/>
      <c r="H552" s="9"/>
      <c r="I552" s="9"/>
      <c r="J552" s="9"/>
      <c r="K552" s="232"/>
      <c r="L552" s="9"/>
      <c r="M552" s="9"/>
      <c r="N552" s="9"/>
      <c r="O552" s="9"/>
      <c r="P552" s="9"/>
      <c r="Q552" s="9"/>
      <c r="R552" s="9"/>
      <c r="S552" s="232"/>
      <c r="T552" s="9"/>
      <c r="U552" s="9"/>
      <c r="V552" s="9"/>
      <c r="W552" s="9"/>
      <c r="X552" s="9"/>
      <c r="Y552" s="9"/>
      <c r="Z552" s="9"/>
      <c r="AA552" s="9"/>
      <c r="AB552" s="9"/>
      <c r="AC552" s="9"/>
      <c r="AD552" s="9"/>
      <c r="AE552" s="9"/>
      <c r="AF552" s="9"/>
    </row>
    <row r="553">
      <c r="A553" s="9"/>
      <c r="B553" s="9"/>
      <c r="C553" s="9"/>
      <c r="D553" s="9"/>
      <c r="E553" s="9"/>
      <c r="F553" s="9"/>
      <c r="G553" s="9"/>
      <c r="H553" s="9"/>
      <c r="I553" s="9"/>
      <c r="J553" s="9"/>
      <c r="K553" s="232"/>
      <c r="L553" s="9"/>
      <c r="M553" s="9"/>
      <c r="N553" s="9"/>
      <c r="O553" s="9"/>
      <c r="P553" s="9"/>
      <c r="Q553" s="9"/>
      <c r="R553" s="9"/>
      <c r="S553" s="232"/>
      <c r="T553" s="9"/>
      <c r="U553" s="9"/>
      <c r="V553" s="9"/>
      <c r="W553" s="9"/>
      <c r="X553" s="9"/>
      <c r="Y553" s="9"/>
      <c r="Z553" s="9"/>
      <c r="AA553" s="9"/>
      <c r="AB553" s="9"/>
      <c r="AC553" s="9"/>
      <c r="AD553" s="9"/>
      <c r="AE553" s="9"/>
      <c r="AF553" s="9"/>
    </row>
    <row r="554">
      <c r="A554" s="9"/>
      <c r="B554" s="9"/>
      <c r="C554" s="9"/>
      <c r="D554" s="9"/>
      <c r="E554" s="9"/>
      <c r="F554" s="9"/>
      <c r="G554" s="9"/>
      <c r="H554" s="9"/>
      <c r="I554" s="9"/>
      <c r="J554" s="9"/>
      <c r="K554" s="232"/>
      <c r="L554" s="9"/>
      <c r="M554" s="9"/>
      <c r="N554" s="9"/>
      <c r="O554" s="9"/>
      <c r="P554" s="9"/>
      <c r="Q554" s="9"/>
      <c r="R554" s="9"/>
      <c r="S554" s="232"/>
      <c r="T554" s="9"/>
      <c r="U554" s="9"/>
      <c r="V554" s="9"/>
      <c r="W554" s="9"/>
      <c r="X554" s="9"/>
      <c r="Y554" s="9"/>
      <c r="Z554" s="9"/>
      <c r="AA554" s="9"/>
      <c r="AB554" s="9"/>
      <c r="AC554" s="9"/>
      <c r="AD554" s="9"/>
      <c r="AE554" s="9"/>
      <c r="AF554" s="9"/>
    </row>
    <row r="555">
      <c r="A555" s="9"/>
      <c r="B555" s="9"/>
      <c r="C555" s="9"/>
      <c r="D555" s="9"/>
      <c r="E555" s="9"/>
      <c r="F555" s="9"/>
      <c r="G555" s="9"/>
      <c r="H555" s="9"/>
      <c r="I555" s="9"/>
      <c r="J555" s="9"/>
      <c r="K555" s="232"/>
      <c r="L555" s="9"/>
      <c r="M555" s="9"/>
      <c r="N555" s="9"/>
      <c r="O555" s="9"/>
      <c r="P555" s="9"/>
      <c r="Q555" s="9"/>
      <c r="R555" s="9"/>
      <c r="S555" s="232"/>
      <c r="T555" s="9"/>
      <c r="U555" s="9"/>
      <c r="V555" s="9"/>
      <c r="W555" s="9"/>
      <c r="X555" s="9"/>
      <c r="Y555" s="9"/>
      <c r="Z555" s="9"/>
      <c r="AA555" s="9"/>
      <c r="AB555" s="9"/>
      <c r="AC555" s="9"/>
      <c r="AD555" s="9"/>
      <c r="AE555" s="9"/>
      <c r="AF555" s="9"/>
    </row>
    <row r="556">
      <c r="A556" s="9"/>
      <c r="B556" s="9"/>
      <c r="C556" s="9"/>
      <c r="D556" s="9"/>
      <c r="E556" s="9"/>
      <c r="F556" s="9"/>
      <c r="G556" s="9"/>
      <c r="H556" s="9"/>
      <c r="I556" s="9"/>
      <c r="J556" s="9"/>
      <c r="K556" s="232"/>
      <c r="L556" s="9"/>
      <c r="M556" s="9"/>
      <c r="N556" s="9"/>
      <c r="O556" s="9"/>
      <c r="P556" s="9"/>
      <c r="Q556" s="9"/>
      <c r="R556" s="9"/>
      <c r="S556" s="232"/>
      <c r="T556" s="9"/>
      <c r="U556" s="9"/>
      <c r="V556" s="9"/>
      <c r="W556" s="9"/>
      <c r="X556" s="9"/>
      <c r="Y556" s="9"/>
      <c r="Z556" s="9"/>
      <c r="AA556" s="9"/>
      <c r="AB556" s="9"/>
      <c r="AC556" s="9"/>
      <c r="AD556" s="9"/>
      <c r="AE556" s="9"/>
      <c r="AF556" s="9"/>
    </row>
    <row r="557">
      <c r="A557" s="9"/>
      <c r="B557" s="9"/>
      <c r="C557" s="9"/>
      <c r="D557" s="9"/>
      <c r="E557" s="9"/>
      <c r="F557" s="9"/>
      <c r="G557" s="9"/>
      <c r="H557" s="9"/>
      <c r="I557" s="9"/>
      <c r="J557" s="9"/>
      <c r="K557" s="232"/>
      <c r="L557" s="9"/>
      <c r="M557" s="9"/>
      <c r="N557" s="9"/>
      <c r="O557" s="9"/>
      <c r="P557" s="9"/>
      <c r="Q557" s="9"/>
      <c r="R557" s="9"/>
      <c r="S557" s="232"/>
      <c r="T557" s="9"/>
      <c r="U557" s="9"/>
      <c r="V557" s="9"/>
      <c r="W557" s="9"/>
      <c r="X557" s="9"/>
      <c r="Y557" s="9"/>
      <c r="Z557" s="9"/>
      <c r="AA557" s="9"/>
      <c r="AB557" s="9"/>
      <c r="AC557" s="9"/>
      <c r="AD557" s="9"/>
      <c r="AE557" s="9"/>
      <c r="AF557" s="9"/>
    </row>
    <row r="558">
      <c r="A558" s="9"/>
      <c r="B558" s="9"/>
      <c r="C558" s="9"/>
      <c r="D558" s="9"/>
      <c r="E558" s="9"/>
      <c r="F558" s="9"/>
      <c r="G558" s="9"/>
      <c r="H558" s="9"/>
      <c r="I558" s="9"/>
      <c r="J558" s="9"/>
      <c r="K558" s="232"/>
      <c r="L558" s="9"/>
      <c r="M558" s="9"/>
      <c r="N558" s="9"/>
      <c r="O558" s="9"/>
      <c r="P558" s="9"/>
      <c r="Q558" s="9"/>
      <c r="R558" s="9"/>
      <c r="S558" s="232"/>
      <c r="T558" s="9"/>
      <c r="U558" s="9"/>
      <c r="V558" s="9"/>
      <c r="W558" s="9"/>
      <c r="X558" s="9"/>
      <c r="Y558" s="9"/>
      <c r="Z558" s="9"/>
      <c r="AA558" s="9"/>
      <c r="AB558" s="9"/>
      <c r="AC558" s="9"/>
      <c r="AD558" s="9"/>
      <c r="AE558" s="9"/>
      <c r="AF558" s="9"/>
    </row>
    <row r="559">
      <c r="A559" s="9"/>
      <c r="B559" s="9"/>
      <c r="C559" s="9"/>
      <c r="D559" s="9"/>
      <c r="E559" s="9"/>
      <c r="F559" s="9"/>
      <c r="G559" s="9"/>
      <c r="H559" s="9"/>
      <c r="I559" s="9"/>
      <c r="J559" s="9"/>
      <c r="K559" s="232"/>
      <c r="L559" s="9"/>
      <c r="M559" s="9"/>
      <c r="N559" s="9"/>
      <c r="O559" s="9"/>
      <c r="P559" s="9"/>
      <c r="Q559" s="9"/>
      <c r="R559" s="9"/>
      <c r="S559" s="232"/>
      <c r="T559" s="9"/>
      <c r="U559" s="9"/>
      <c r="V559" s="9"/>
      <c r="W559" s="9"/>
      <c r="X559" s="9"/>
      <c r="Y559" s="9"/>
      <c r="Z559" s="9"/>
      <c r="AA559" s="9"/>
      <c r="AB559" s="9"/>
      <c r="AC559" s="9"/>
      <c r="AD559" s="9"/>
      <c r="AE559" s="9"/>
      <c r="AF559" s="9"/>
    </row>
    <row r="560">
      <c r="A560" s="9"/>
      <c r="B560" s="9"/>
      <c r="C560" s="9"/>
      <c r="D560" s="9"/>
      <c r="E560" s="9"/>
      <c r="F560" s="9"/>
      <c r="G560" s="9"/>
      <c r="H560" s="9"/>
      <c r="I560" s="9"/>
      <c r="J560" s="9"/>
      <c r="K560" s="232"/>
      <c r="L560" s="9"/>
      <c r="M560" s="9"/>
      <c r="N560" s="9"/>
      <c r="O560" s="9"/>
      <c r="P560" s="9"/>
      <c r="Q560" s="9"/>
      <c r="R560" s="9"/>
      <c r="S560" s="232"/>
      <c r="T560" s="9"/>
      <c r="U560" s="9"/>
      <c r="V560" s="9"/>
      <c r="W560" s="9"/>
      <c r="X560" s="9"/>
      <c r="Y560" s="9"/>
      <c r="Z560" s="9"/>
      <c r="AA560" s="9"/>
      <c r="AB560" s="9"/>
      <c r="AC560" s="9"/>
      <c r="AD560" s="9"/>
      <c r="AE560" s="9"/>
      <c r="AF560" s="9"/>
    </row>
    <row r="561">
      <c r="A561" s="9"/>
      <c r="B561" s="9"/>
      <c r="C561" s="9"/>
      <c r="D561" s="9"/>
      <c r="E561" s="9"/>
      <c r="F561" s="9"/>
      <c r="G561" s="9"/>
      <c r="H561" s="9"/>
      <c r="I561" s="9"/>
      <c r="J561" s="9"/>
      <c r="K561" s="232"/>
      <c r="L561" s="9"/>
      <c r="M561" s="9"/>
      <c r="N561" s="9"/>
      <c r="O561" s="9"/>
      <c r="P561" s="9"/>
      <c r="Q561" s="9"/>
      <c r="R561" s="9"/>
      <c r="S561" s="232"/>
      <c r="T561" s="9"/>
      <c r="U561" s="9"/>
      <c r="V561" s="9"/>
      <c r="W561" s="9"/>
      <c r="X561" s="9"/>
      <c r="Y561" s="9"/>
      <c r="Z561" s="9"/>
      <c r="AA561" s="9"/>
      <c r="AB561" s="9"/>
      <c r="AC561" s="9"/>
      <c r="AD561" s="9"/>
      <c r="AE561" s="9"/>
      <c r="AF561" s="9"/>
    </row>
    <row r="562">
      <c r="A562" s="9"/>
      <c r="B562" s="9"/>
      <c r="C562" s="9"/>
      <c r="D562" s="9"/>
      <c r="E562" s="9"/>
      <c r="F562" s="9"/>
      <c r="G562" s="9"/>
      <c r="H562" s="9"/>
      <c r="I562" s="9"/>
      <c r="J562" s="9"/>
      <c r="K562" s="232"/>
      <c r="L562" s="9"/>
      <c r="M562" s="9"/>
      <c r="N562" s="9"/>
      <c r="O562" s="9"/>
      <c r="P562" s="9"/>
      <c r="Q562" s="9"/>
      <c r="R562" s="9"/>
      <c r="S562" s="232"/>
      <c r="T562" s="9"/>
      <c r="U562" s="9"/>
      <c r="V562" s="9"/>
      <c r="W562" s="9"/>
      <c r="X562" s="9"/>
      <c r="Y562" s="9"/>
      <c r="Z562" s="9"/>
      <c r="AA562" s="9"/>
      <c r="AB562" s="9"/>
      <c r="AC562" s="9"/>
      <c r="AD562" s="9"/>
      <c r="AE562" s="9"/>
      <c r="AF562" s="9"/>
    </row>
    <row r="563">
      <c r="A563" s="9"/>
      <c r="B563" s="9"/>
      <c r="C563" s="9"/>
      <c r="D563" s="9"/>
      <c r="E563" s="9"/>
      <c r="F563" s="9"/>
      <c r="G563" s="9"/>
      <c r="H563" s="9"/>
      <c r="I563" s="9"/>
      <c r="J563" s="9"/>
      <c r="K563" s="232"/>
      <c r="L563" s="9"/>
      <c r="M563" s="9"/>
      <c r="N563" s="9"/>
      <c r="O563" s="9"/>
      <c r="P563" s="9"/>
      <c r="Q563" s="9"/>
      <c r="R563" s="9"/>
      <c r="S563" s="232"/>
      <c r="T563" s="9"/>
      <c r="U563" s="9"/>
      <c r="V563" s="9"/>
      <c r="W563" s="9"/>
      <c r="X563" s="9"/>
      <c r="Y563" s="9"/>
      <c r="Z563" s="9"/>
      <c r="AA563" s="9"/>
      <c r="AB563" s="9"/>
      <c r="AC563" s="9"/>
      <c r="AD563" s="9"/>
      <c r="AE563" s="9"/>
      <c r="AF563" s="9"/>
    </row>
    <row r="564">
      <c r="A564" s="9"/>
      <c r="B564" s="9"/>
      <c r="C564" s="9"/>
      <c r="D564" s="9"/>
      <c r="E564" s="9"/>
      <c r="F564" s="9"/>
      <c r="G564" s="9"/>
      <c r="H564" s="9"/>
      <c r="I564" s="9"/>
      <c r="J564" s="9"/>
      <c r="K564" s="232"/>
      <c r="L564" s="9"/>
      <c r="M564" s="9"/>
      <c r="N564" s="9"/>
      <c r="O564" s="9"/>
      <c r="P564" s="9"/>
      <c r="Q564" s="9"/>
      <c r="R564" s="9"/>
      <c r="S564" s="232"/>
      <c r="T564" s="9"/>
      <c r="U564" s="9"/>
      <c r="V564" s="9"/>
      <c r="W564" s="9"/>
      <c r="X564" s="9"/>
      <c r="Y564" s="9"/>
      <c r="Z564" s="9"/>
      <c r="AA564" s="9"/>
      <c r="AB564" s="9"/>
      <c r="AC564" s="9"/>
      <c r="AD564" s="9"/>
      <c r="AE564" s="9"/>
      <c r="AF564" s="9"/>
    </row>
    <row r="565">
      <c r="A565" s="9"/>
      <c r="B565" s="9"/>
      <c r="C565" s="9"/>
      <c r="D565" s="9"/>
      <c r="E565" s="9"/>
      <c r="F565" s="9"/>
      <c r="G565" s="9"/>
      <c r="H565" s="9"/>
      <c r="I565" s="9"/>
      <c r="J565" s="9"/>
      <c r="K565" s="232"/>
      <c r="L565" s="9"/>
      <c r="M565" s="9"/>
      <c r="N565" s="9"/>
      <c r="O565" s="9"/>
      <c r="P565" s="9"/>
      <c r="Q565" s="9"/>
      <c r="R565" s="9"/>
      <c r="S565" s="232"/>
      <c r="T565" s="9"/>
      <c r="U565" s="9"/>
      <c r="V565" s="9"/>
      <c r="W565" s="9"/>
      <c r="X565" s="9"/>
      <c r="Y565" s="9"/>
      <c r="Z565" s="9"/>
      <c r="AA565" s="9"/>
      <c r="AB565" s="9"/>
      <c r="AC565" s="9"/>
      <c r="AD565" s="9"/>
      <c r="AE565" s="9"/>
      <c r="AF565" s="9"/>
    </row>
    <row r="566">
      <c r="A566" s="9"/>
      <c r="B566" s="9"/>
      <c r="C566" s="9"/>
      <c r="D566" s="9"/>
      <c r="E566" s="9"/>
      <c r="F566" s="9"/>
      <c r="G566" s="9"/>
      <c r="H566" s="9"/>
      <c r="I566" s="9"/>
      <c r="J566" s="9"/>
      <c r="K566" s="232"/>
      <c r="L566" s="9"/>
      <c r="M566" s="9"/>
      <c r="N566" s="9"/>
      <c r="O566" s="9"/>
      <c r="P566" s="9"/>
      <c r="Q566" s="9"/>
      <c r="R566" s="9"/>
      <c r="S566" s="232"/>
      <c r="T566" s="9"/>
      <c r="U566" s="9"/>
      <c r="V566" s="9"/>
      <c r="W566" s="9"/>
      <c r="X566" s="9"/>
      <c r="Y566" s="9"/>
      <c r="Z566" s="9"/>
      <c r="AA566" s="9"/>
      <c r="AB566" s="9"/>
      <c r="AC566" s="9"/>
      <c r="AD566" s="9"/>
      <c r="AE566" s="9"/>
      <c r="AF566" s="9"/>
    </row>
    <row r="567">
      <c r="A567" s="9"/>
      <c r="B567" s="9"/>
      <c r="C567" s="9"/>
      <c r="D567" s="9"/>
      <c r="E567" s="9"/>
      <c r="F567" s="9"/>
      <c r="G567" s="9"/>
      <c r="H567" s="9"/>
      <c r="I567" s="9"/>
      <c r="J567" s="9"/>
      <c r="K567" s="232"/>
      <c r="L567" s="9"/>
      <c r="M567" s="9"/>
      <c r="N567" s="9"/>
      <c r="O567" s="9"/>
      <c r="P567" s="9"/>
      <c r="Q567" s="9"/>
      <c r="R567" s="9"/>
      <c r="S567" s="232"/>
      <c r="T567" s="9"/>
      <c r="U567" s="9"/>
      <c r="V567" s="9"/>
      <c r="W567" s="9"/>
      <c r="X567" s="9"/>
      <c r="Y567" s="9"/>
      <c r="Z567" s="9"/>
      <c r="AA567" s="9"/>
      <c r="AB567" s="9"/>
      <c r="AC567" s="9"/>
      <c r="AD567" s="9"/>
      <c r="AE567" s="9"/>
      <c r="AF567" s="9"/>
    </row>
    <row r="568">
      <c r="A568" s="9"/>
      <c r="B568" s="9"/>
      <c r="C568" s="9"/>
      <c r="D568" s="9"/>
      <c r="E568" s="9"/>
      <c r="F568" s="9"/>
      <c r="G568" s="9"/>
      <c r="H568" s="9"/>
      <c r="I568" s="9"/>
      <c r="J568" s="9"/>
      <c r="K568" s="232"/>
      <c r="L568" s="9"/>
      <c r="M568" s="9"/>
      <c r="N568" s="9"/>
      <c r="O568" s="9"/>
      <c r="P568" s="9"/>
      <c r="Q568" s="9"/>
      <c r="R568" s="9"/>
      <c r="S568" s="232"/>
      <c r="T568" s="9"/>
      <c r="U568" s="9"/>
      <c r="V568" s="9"/>
      <c r="W568" s="9"/>
      <c r="X568" s="9"/>
      <c r="Y568" s="9"/>
      <c r="Z568" s="9"/>
      <c r="AA568" s="9"/>
      <c r="AB568" s="9"/>
      <c r="AC568" s="9"/>
      <c r="AD568" s="9"/>
      <c r="AE568" s="9"/>
      <c r="AF568" s="9"/>
    </row>
    <row r="569">
      <c r="A569" s="9"/>
      <c r="B569" s="9"/>
      <c r="C569" s="9"/>
      <c r="D569" s="9"/>
      <c r="E569" s="9"/>
      <c r="F569" s="9"/>
      <c r="G569" s="9"/>
      <c r="H569" s="9"/>
      <c r="I569" s="9"/>
      <c r="J569" s="9"/>
      <c r="K569" s="232"/>
      <c r="L569" s="9"/>
      <c r="M569" s="9"/>
      <c r="N569" s="9"/>
      <c r="O569" s="9"/>
      <c r="P569" s="9"/>
      <c r="Q569" s="9"/>
      <c r="R569" s="9"/>
      <c r="S569" s="232"/>
      <c r="T569" s="9"/>
      <c r="U569" s="9"/>
      <c r="V569" s="9"/>
      <c r="W569" s="9"/>
      <c r="X569" s="9"/>
      <c r="Y569" s="9"/>
      <c r="Z569" s="9"/>
      <c r="AA569" s="9"/>
      <c r="AB569" s="9"/>
      <c r="AC569" s="9"/>
      <c r="AD569" s="9"/>
      <c r="AE569" s="9"/>
      <c r="AF569" s="9"/>
    </row>
    <row r="570">
      <c r="A570" s="9"/>
      <c r="B570" s="9"/>
      <c r="C570" s="9"/>
      <c r="D570" s="9"/>
      <c r="E570" s="9"/>
      <c r="F570" s="9"/>
      <c r="G570" s="9"/>
      <c r="H570" s="9"/>
      <c r="I570" s="9"/>
      <c r="J570" s="9"/>
      <c r="K570" s="232"/>
      <c r="L570" s="9"/>
      <c r="M570" s="9"/>
      <c r="N570" s="9"/>
      <c r="O570" s="9"/>
      <c r="P570" s="9"/>
      <c r="Q570" s="9"/>
      <c r="R570" s="9"/>
      <c r="S570" s="232"/>
      <c r="T570" s="9"/>
      <c r="U570" s="9"/>
      <c r="V570" s="9"/>
      <c r="W570" s="9"/>
      <c r="X570" s="9"/>
      <c r="Y570" s="9"/>
      <c r="Z570" s="9"/>
      <c r="AA570" s="9"/>
      <c r="AB570" s="9"/>
      <c r="AC570" s="9"/>
      <c r="AD570" s="9"/>
      <c r="AE570" s="9"/>
      <c r="AF570" s="9"/>
    </row>
    <row r="571">
      <c r="A571" s="9"/>
      <c r="B571" s="9"/>
      <c r="C571" s="9"/>
      <c r="D571" s="9"/>
      <c r="E571" s="9"/>
      <c r="F571" s="9"/>
      <c r="G571" s="9"/>
      <c r="H571" s="9"/>
      <c r="I571" s="9"/>
      <c r="J571" s="9"/>
      <c r="K571" s="232"/>
      <c r="L571" s="9"/>
      <c r="M571" s="9"/>
      <c r="N571" s="9"/>
      <c r="O571" s="9"/>
      <c r="P571" s="9"/>
      <c r="Q571" s="9"/>
      <c r="R571" s="9"/>
      <c r="S571" s="232"/>
      <c r="T571" s="9"/>
      <c r="U571" s="9"/>
      <c r="V571" s="9"/>
      <c r="W571" s="9"/>
      <c r="X571" s="9"/>
      <c r="Y571" s="9"/>
      <c r="Z571" s="9"/>
      <c r="AA571" s="9"/>
      <c r="AB571" s="9"/>
      <c r="AC571" s="9"/>
      <c r="AD571" s="9"/>
      <c r="AE571" s="9"/>
      <c r="AF571" s="9"/>
    </row>
    <row r="572">
      <c r="A572" s="9"/>
      <c r="B572" s="9"/>
      <c r="C572" s="9"/>
      <c r="D572" s="9"/>
      <c r="E572" s="9"/>
      <c r="F572" s="9"/>
      <c r="G572" s="9"/>
      <c r="H572" s="9"/>
      <c r="I572" s="9"/>
      <c r="J572" s="9"/>
      <c r="K572" s="232"/>
      <c r="L572" s="9"/>
      <c r="M572" s="9"/>
      <c r="N572" s="9"/>
      <c r="O572" s="9"/>
      <c r="P572" s="9"/>
      <c r="Q572" s="9"/>
      <c r="R572" s="9"/>
      <c r="S572" s="232"/>
      <c r="T572" s="9"/>
      <c r="U572" s="9"/>
      <c r="V572" s="9"/>
      <c r="W572" s="9"/>
      <c r="X572" s="9"/>
      <c r="Y572" s="9"/>
      <c r="Z572" s="9"/>
      <c r="AA572" s="9"/>
      <c r="AB572" s="9"/>
      <c r="AC572" s="9"/>
      <c r="AD572" s="9"/>
      <c r="AE572" s="9"/>
      <c r="AF572" s="9"/>
    </row>
    <row r="573">
      <c r="A573" s="9"/>
      <c r="B573" s="9"/>
      <c r="C573" s="9"/>
      <c r="D573" s="9"/>
      <c r="E573" s="9"/>
      <c r="F573" s="9"/>
      <c r="G573" s="9"/>
      <c r="H573" s="9"/>
      <c r="I573" s="9"/>
      <c r="J573" s="9"/>
      <c r="K573" s="232"/>
      <c r="L573" s="9"/>
      <c r="M573" s="9"/>
      <c r="N573" s="9"/>
      <c r="O573" s="9"/>
      <c r="P573" s="9"/>
      <c r="Q573" s="9"/>
      <c r="R573" s="9"/>
      <c r="S573" s="232"/>
      <c r="T573" s="9"/>
      <c r="U573" s="9"/>
      <c r="V573" s="9"/>
      <c r="W573" s="9"/>
      <c r="X573" s="9"/>
      <c r="Y573" s="9"/>
      <c r="Z573" s="9"/>
      <c r="AA573" s="9"/>
      <c r="AB573" s="9"/>
      <c r="AC573" s="9"/>
      <c r="AD573" s="9"/>
      <c r="AE573" s="9"/>
      <c r="AF573" s="9"/>
    </row>
    <row r="574">
      <c r="A574" s="9"/>
      <c r="B574" s="9"/>
      <c r="C574" s="9"/>
      <c r="D574" s="9"/>
      <c r="E574" s="9"/>
      <c r="F574" s="9"/>
      <c r="G574" s="9"/>
      <c r="H574" s="9"/>
      <c r="I574" s="9"/>
      <c r="J574" s="9"/>
      <c r="K574" s="232"/>
      <c r="L574" s="9"/>
      <c r="M574" s="9"/>
      <c r="N574" s="9"/>
      <c r="O574" s="9"/>
      <c r="P574" s="9"/>
      <c r="Q574" s="9"/>
      <c r="R574" s="9"/>
      <c r="S574" s="232"/>
      <c r="T574" s="9"/>
      <c r="U574" s="9"/>
      <c r="V574" s="9"/>
      <c r="W574" s="9"/>
      <c r="X574" s="9"/>
      <c r="Y574" s="9"/>
      <c r="Z574" s="9"/>
      <c r="AA574" s="9"/>
      <c r="AB574" s="9"/>
      <c r="AC574" s="9"/>
      <c r="AD574" s="9"/>
      <c r="AE574" s="9"/>
      <c r="AF574" s="9"/>
    </row>
    <row r="575">
      <c r="A575" s="9"/>
      <c r="B575" s="9"/>
      <c r="C575" s="9"/>
      <c r="D575" s="9"/>
      <c r="E575" s="9"/>
      <c r="F575" s="9"/>
      <c r="G575" s="9"/>
      <c r="H575" s="9"/>
      <c r="I575" s="9"/>
      <c r="J575" s="9"/>
      <c r="K575" s="232"/>
      <c r="L575" s="9"/>
      <c r="M575" s="9"/>
      <c r="N575" s="9"/>
      <c r="O575" s="9"/>
      <c r="P575" s="9"/>
      <c r="Q575" s="9"/>
      <c r="R575" s="9"/>
      <c r="S575" s="232"/>
      <c r="T575" s="9"/>
      <c r="U575" s="9"/>
      <c r="V575" s="9"/>
      <c r="W575" s="9"/>
      <c r="X575" s="9"/>
      <c r="Y575" s="9"/>
      <c r="Z575" s="9"/>
      <c r="AA575" s="9"/>
      <c r="AB575" s="9"/>
      <c r="AC575" s="9"/>
      <c r="AD575" s="9"/>
      <c r="AE575" s="9"/>
      <c r="AF575" s="9"/>
    </row>
    <row r="576">
      <c r="A576" s="9"/>
      <c r="B576" s="9"/>
      <c r="C576" s="9"/>
      <c r="D576" s="9"/>
      <c r="E576" s="9"/>
      <c r="F576" s="9"/>
      <c r="G576" s="9"/>
      <c r="H576" s="9"/>
      <c r="I576" s="9"/>
      <c r="J576" s="9"/>
      <c r="K576" s="232"/>
      <c r="L576" s="9"/>
      <c r="M576" s="9"/>
      <c r="N576" s="9"/>
      <c r="O576" s="9"/>
      <c r="P576" s="9"/>
      <c r="Q576" s="9"/>
      <c r="R576" s="9"/>
      <c r="S576" s="232"/>
      <c r="T576" s="9"/>
      <c r="U576" s="9"/>
      <c r="V576" s="9"/>
      <c r="W576" s="9"/>
      <c r="X576" s="9"/>
      <c r="Y576" s="9"/>
      <c r="Z576" s="9"/>
      <c r="AA576" s="9"/>
      <c r="AB576" s="9"/>
      <c r="AC576" s="9"/>
      <c r="AD576" s="9"/>
      <c r="AE576" s="9"/>
      <c r="AF576" s="9"/>
    </row>
    <row r="577">
      <c r="A577" s="9"/>
      <c r="B577" s="9"/>
      <c r="C577" s="9"/>
      <c r="D577" s="9"/>
      <c r="E577" s="9"/>
      <c r="F577" s="9"/>
      <c r="G577" s="9"/>
      <c r="H577" s="9"/>
      <c r="I577" s="9"/>
      <c r="J577" s="9"/>
      <c r="K577" s="232"/>
      <c r="L577" s="9"/>
      <c r="M577" s="9"/>
      <c r="N577" s="9"/>
      <c r="O577" s="9"/>
      <c r="P577" s="9"/>
      <c r="Q577" s="9"/>
      <c r="R577" s="9"/>
      <c r="S577" s="232"/>
      <c r="T577" s="9"/>
      <c r="U577" s="9"/>
      <c r="V577" s="9"/>
      <c r="W577" s="9"/>
      <c r="X577" s="9"/>
      <c r="Y577" s="9"/>
      <c r="Z577" s="9"/>
      <c r="AA577" s="9"/>
      <c r="AB577" s="9"/>
      <c r="AC577" s="9"/>
      <c r="AD577" s="9"/>
      <c r="AE577" s="9"/>
      <c r="AF577" s="9"/>
    </row>
    <row r="578">
      <c r="A578" s="9"/>
      <c r="B578" s="9"/>
      <c r="C578" s="9"/>
      <c r="D578" s="9"/>
      <c r="E578" s="9"/>
      <c r="F578" s="9"/>
      <c r="G578" s="9"/>
      <c r="H578" s="9"/>
      <c r="I578" s="9"/>
      <c r="J578" s="9"/>
      <c r="K578" s="232"/>
      <c r="L578" s="9"/>
      <c r="M578" s="9"/>
      <c r="N578" s="9"/>
      <c r="O578" s="9"/>
      <c r="P578" s="9"/>
      <c r="Q578" s="9"/>
      <c r="R578" s="9"/>
      <c r="S578" s="232"/>
      <c r="T578" s="9"/>
      <c r="U578" s="9"/>
      <c r="V578" s="9"/>
      <c r="W578" s="9"/>
      <c r="X578" s="9"/>
      <c r="Y578" s="9"/>
      <c r="Z578" s="9"/>
      <c r="AA578" s="9"/>
      <c r="AB578" s="9"/>
      <c r="AC578" s="9"/>
      <c r="AD578" s="9"/>
      <c r="AE578" s="9"/>
      <c r="AF578" s="9"/>
    </row>
    <row r="579">
      <c r="A579" s="9"/>
      <c r="B579" s="9"/>
      <c r="C579" s="9"/>
      <c r="D579" s="9"/>
      <c r="E579" s="9"/>
      <c r="F579" s="9"/>
      <c r="G579" s="9"/>
      <c r="H579" s="9"/>
      <c r="I579" s="9"/>
      <c r="J579" s="9"/>
      <c r="K579" s="232"/>
      <c r="L579" s="9"/>
      <c r="M579" s="9"/>
      <c r="N579" s="9"/>
      <c r="O579" s="9"/>
      <c r="P579" s="9"/>
      <c r="Q579" s="9"/>
      <c r="R579" s="9"/>
      <c r="S579" s="232"/>
      <c r="T579" s="9"/>
      <c r="U579" s="9"/>
      <c r="V579" s="9"/>
      <c r="W579" s="9"/>
      <c r="X579" s="9"/>
      <c r="Y579" s="9"/>
      <c r="Z579" s="9"/>
      <c r="AA579" s="9"/>
      <c r="AB579" s="9"/>
      <c r="AC579" s="9"/>
      <c r="AD579" s="9"/>
      <c r="AE579" s="9"/>
      <c r="AF579" s="9"/>
    </row>
    <row r="580">
      <c r="A580" s="9"/>
      <c r="B580" s="9"/>
      <c r="C580" s="9"/>
      <c r="D580" s="9"/>
      <c r="E580" s="9"/>
      <c r="F580" s="9"/>
      <c r="G580" s="9"/>
      <c r="H580" s="9"/>
      <c r="I580" s="9"/>
      <c r="J580" s="9"/>
      <c r="K580" s="232"/>
      <c r="L580" s="9"/>
      <c r="M580" s="9"/>
      <c r="N580" s="9"/>
      <c r="O580" s="9"/>
      <c r="P580" s="9"/>
      <c r="Q580" s="9"/>
      <c r="R580" s="9"/>
      <c r="S580" s="232"/>
      <c r="T580" s="9"/>
      <c r="U580" s="9"/>
      <c r="V580" s="9"/>
      <c r="W580" s="9"/>
      <c r="X580" s="9"/>
      <c r="Y580" s="9"/>
      <c r="Z580" s="9"/>
      <c r="AA580" s="9"/>
      <c r="AB580" s="9"/>
      <c r="AC580" s="9"/>
      <c r="AD580" s="9"/>
      <c r="AE580" s="9"/>
      <c r="AF580" s="9"/>
    </row>
    <row r="581">
      <c r="A581" s="9"/>
      <c r="B581" s="9"/>
      <c r="C581" s="9"/>
      <c r="D581" s="9"/>
      <c r="E581" s="9"/>
      <c r="F581" s="9"/>
      <c r="G581" s="9"/>
      <c r="H581" s="9"/>
      <c r="I581" s="9"/>
      <c r="J581" s="9"/>
      <c r="K581" s="232"/>
      <c r="L581" s="9"/>
      <c r="M581" s="9"/>
      <c r="N581" s="9"/>
      <c r="O581" s="9"/>
      <c r="P581" s="9"/>
      <c r="Q581" s="9"/>
      <c r="R581" s="9"/>
      <c r="S581" s="232"/>
      <c r="T581" s="9"/>
      <c r="U581" s="9"/>
      <c r="V581" s="9"/>
      <c r="W581" s="9"/>
      <c r="X581" s="9"/>
      <c r="Y581" s="9"/>
      <c r="Z581" s="9"/>
      <c r="AA581" s="9"/>
      <c r="AB581" s="9"/>
      <c r="AC581" s="9"/>
      <c r="AD581" s="9"/>
      <c r="AE581" s="9"/>
      <c r="AF581" s="9"/>
    </row>
    <row r="582">
      <c r="A582" s="9"/>
      <c r="B582" s="9"/>
      <c r="C582" s="9"/>
      <c r="D582" s="9"/>
      <c r="E582" s="9"/>
      <c r="F582" s="9"/>
      <c r="G582" s="9"/>
      <c r="H582" s="9"/>
      <c r="I582" s="9"/>
      <c r="J582" s="9"/>
      <c r="K582" s="232"/>
      <c r="L582" s="9"/>
      <c r="M582" s="9"/>
      <c r="N582" s="9"/>
      <c r="O582" s="9"/>
      <c r="P582" s="9"/>
      <c r="Q582" s="9"/>
      <c r="R582" s="9"/>
      <c r="S582" s="232"/>
      <c r="T582" s="9"/>
      <c r="U582" s="9"/>
      <c r="V582" s="9"/>
      <c r="W582" s="9"/>
      <c r="X582" s="9"/>
      <c r="Y582" s="9"/>
      <c r="Z582" s="9"/>
      <c r="AA582" s="9"/>
      <c r="AB582" s="9"/>
      <c r="AC582" s="9"/>
      <c r="AD582" s="9"/>
      <c r="AE582" s="9"/>
      <c r="AF582" s="9"/>
    </row>
    <row r="583">
      <c r="A583" s="9"/>
      <c r="B583" s="9"/>
      <c r="C583" s="9"/>
      <c r="D583" s="9"/>
      <c r="E583" s="9"/>
      <c r="F583" s="9"/>
      <c r="G583" s="9"/>
      <c r="H583" s="9"/>
      <c r="I583" s="9"/>
      <c r="J583" s="9"/>
      <c r="K583" s="232"/>
      <c r="L583" s="9"/>
      <c r="M583" s="9"/>
      <c r="N583" s="9"/>
      <c r="O583" s="9"/>
      <c r="P583" s="9"/>
      <c r="Q583" s="9"/>
      <c r="R583" s="9"/>
      <c r="S583" s="232"/>
      <c r="T583" s="9"/>
      <c r="U583" s="9"/>
      <c r="V583" s="9"/>
      <c r="W583" s="9"/>
      <c r="X583" s="9"/>
      <c r="Y583" s="9"/>
      <c r="Z583" s="9"/>
      <c r="AA583" s="9"/>
      <c r="AB583" s="9"/>
      <c r="AC583" s="9"/>
      <c r="AD583" s="9"/>
      <c r="AE583" s="9"/>
      <c r="AF583" s="9"/>
    </row>
    <row r="584">
      <c r="A584" s="9"/>
      <c r="B584" s="9"/>
      <c r="C584" s="9"/>
      <c r="D584" s="9"/>
      <c r="E584" s="9"/>
      <c r="F584" s="9"/>
      <c r="G584" s="9"/>
      <c r="H584" s="9"/>
      <c r="I584" s="9"/>
      <c r="J584" s="9"/>
      <c r="K584" s="232"/>
      <c r="L584" s="9"/>
      <c r="M584" s="9"/>
      <c r="N584" s="9"/>
      <c r="O584" s="9"/>
      <c r="P584" s="9"/>
      <c r="Q584" s="9"/>
      <c r="R584" s="9"/>
      <c r="S584" s="232"/>
      <c r="T584" s="9"/>
      <c r="U584" s="9"/>
      <c r="V584" s="9"/>
      <c r="W584" s="9"/>
      <c r="X584" s="9"/>
      <c r="Y584" s="9"/>
      <c r="Z584" s="9"/>
      <c r="AA584" s="9"/>
      <c r="AB584" s="9"/>
      <c r="AC584" s="9"/>
      <c r="AD584" s="9"/>
      <c r="AE584" s="9"/>
      <c r="AF584" s="9"/>
    </row>
    <row r="585">
      <c r="A585" s="9"/>
      <c r="B585" s="9"/>
      <c r="C585" s="9"/>
      <c r="D585" s="9"/>
      <c r="E585" s="9"/>
      <c r="F585" s="9"/>
      <c r="G585" s="9"/>
      <c r="H585" s="9"/>
      <c r="I585" s="9"/>
      <c r="J585" s="9"/>
      <c r="K585" s="232"/>
      <c r="L585" s="9"/>
      <c r="M585" s="9"/>
      <c r="N585" s="9"/>
      <c r="O585" s="9"/>
      <c r="P585" s="9"/>
      <c r="Q585" s="9"/>
      <c r="R585" s="9"/>
      <c r="S585" s="232"/>
      <c r="T585" s="9"/>
      <c r="U585" s="9"/>
      <c r="V585" s="9"/>
      <c r="W585" s="9"/>
      <c r="X585" s="9"/>
      <c r="Y585" s="9"/>
      <c r="Z585" s="9"/>
      <c r="AA585" s="9"/>
      <c r="AB585" s="9"/>
      <c r="AC585" s="9"/>
      <c r="AD585" s="9"/>
      <c r="AE585" s="9"/>
      <c r="AF585" s="9"/>
    </row>
    <row r="586">
      <c r="A586" s="9"/>
      <c r="B586" s="9"/>
      <c r="C586" s="9"/>
      <c r="D586" s="9"/>
      <c r="E586" s="9"/>
      <c r="F586" s="9"/>
      <c r="G586" s="9"/>
      <c r="H586" s="9"/>
      <c r="I586" s="9"/>
      <c r="J586" s="9"/>
      <c r="K586" s="232"/>
      <c r="L586" s="9"/>
      <c r="M586" s="9"/>
      <c r="N586" s="9"/>
      <c r="O586" s="9"/>
      <c r="P586" s="9"/>
      <c r="Q586" s="9"/>
      <c r="R586" s="9"/>
      <c r="S586" s="232"/>
      <c r="T586" s="9"/>
      <c r="U586" s="9"/>
      <c r="V586" s="9"/>
      <c r="W586" s="9"/>
      <c r="X586" s="9"/>
      <c r="Y586" s="9"/>
      <c r="Z586" s="9"/>
      <c r="AA586" s="9"/>
      <c r="AB586" s="9"/>
      <c r="AC586" s="9"/>
      <c r="AD586" s="9"/>
      <c r="AE586" s="9"/>
      <c r="AF586" s="9"/>
    </row>
    <row r="587">
      <c r="A587" s="9"/>
      <c r="B587" s="9"/>
      <c r="C587" s="9"/>
      <c r="D587" s="9"/>
      <c r="E587" s="9"/>
      <c r="F587" s="9"/>
      <c r="G587" s="9"/>
      <c r="H587" s="9"/>
      <c r="I587" s="9"/>
      <c r="J587" s="9"/>
      <c r="K587" s="232"/>
      <c r="L587" s="9"/>
      <c r="M587" s="9"/>
      <c r="N587" s="9"/>
      <c r="O587" s="9"/>
      <c r="P587" s="9"/>
      <c r="Q587" s="9"/>
      <c r="R587" s="9"/>
      <c r="S587" s="232"/>
      <c r="T587" s="9"/>
      <c r="U587" s="9"/>
      <c r="V587" s="9"/>
      <c r="W587" s="9"/>
      <c r="X587" s="9"/>
      <c r="Y587" s="9"/>
      <c r="Z587" s="9"/>
      <c r="AA587" s="9"/>
      <c r="AB587" s="9"/>
      <c r="AC587" s="9"/>
      <c r="AD587" s="9"/>
      <c r="AE587" s="9"/>
      <c r="AF587" s="9"/>
    </row>
    <row r="588">
      <c r="A588" s="9"/>
      <c r="B588" s="9"/>
      <c r="C588" s="9"/>
      <c r="D588" s="9"/>
      <c r="E588" s="9"/>
      <c r="F588" s="9"/>
      <c r="G588" s="9"/>
      <c r="H588" s="9"/>
      <c r="I588" s="9"/>
      <c r="J588" s="9"/>
      <c r="K588" s="232"/>
      <c r="L588" s="9"/>
      <c r="M588" s="9"/>
      <c r="N588" s="9"/>
      <c r="O588" s="9"/>
      <c r="P588" s="9"/>
      <c r="Q588" s="9"/>
      <c r="R588" s="9"/>
      <c r="S588" s="232"/>
      <c r="T588" s="9"/>
      <c r="U588" s="9"/>
      <c r="V588" s="9"/>
      <c r="W588" s="9"/>
      <c r="X588" s="9"/>
      <c r="Y588" s="9"/>
      <c r="Z588" s="9"/>
      <c r="AA588" s="9"/>
      <c r="AB588" s="9"/>
      <c r="AC588" s="9"/>
      <c r="AD588" s="9"/>
      <c r="AE588" s="9"/>
      <c r="AF588" s="9"/>
    </row>
    <row r="589">
      <c r="A589" s="9"/>
      <c r="B589" s="9"/>
      <c r="C589" s="9"/>
      <c r="D589" s="9"/>
      <c r="E589" s="9"/>
      <c r="F589" s="9"/>
      <c r="G589" s="9"/>
      <c r="H589" s="9"/>
      <c r="I589" s="9"/>
      <c r="J589" s="9"/>
      <c r="K589" s="232"/>
      <c r="L589" s="9"/>
      <c r="M589" s="9"/>
      <c r="N589" s="9"/>
      <c r="O589" s="9"/>
      <c r="P589" s="9"/>
      <c r="Q589" s="9"/>
      <c r="R589" s="9"/>
      <c r="S589" s="232"/>
      <c r="T589" s="9"/>
      <c r="U589" s="9"/>
      <c r="V589" s="9"/>
      <c r="W589" s="9"/>
      <c r="X589" s="9"/>
      <c r="Y589" s="9"/>
      <c r="Z589" s="9"/>
      <c r="AA589" s="9"/>
      <c r="AB589" s="9"/>
      <c r="AC589" s="9"/>
      <c r="AD589" s="9"/>
      <c r="AE589" s="9"/>
      <c r="AF589" s="9"/>
    </row>
    <row r="590">
      <c r="A590" s="9"/>
      <c r="B590" s="9"/>
      <c r="C590" s="9"/>
      <c r="D590" s="9"/>
      <c r="E590" s="9"/>
      <c r="F590" s="9"/>
      <c r="G590" s="9"/>
      <c r="H590" s="9"/>
      <c r="I590" s="9"/>
      <c r="J590" s="9"/>
      <c r="K590" s="232"/>
      <c r="L590" s="9"/>
      <c r="M590" s="9"/>
      <c r="N590" s="9"/>
      <c r="O590" s="9"/>
      <c r="P590" s="9"/>
      <c r="Q590" s="9"/>
      <c r="R590" s="9"/>
      <c r="S590" s="232"/>
      <c r="T590" s="9"/>
      <c r="U590" s="9"/>
      <c r="V590" s="9"/>
      <c r="W590" s="9"/>
      <c r="X590" s="9"/>
      <c r="Y590" s="9"/>
      <c r="Z590" s="9"/>
      <c r="AA590" s="9"/>
      <c r="AB590" s="9"/>
      <c r="AC590" s="9"/>
      <c r="AD590" s="9"/>
      <c r="AE590" s="9"/>
      <c r="AF590" s="9"/>
    </row>
    <row r="591">
      <c r="A591" s="9"/>
      <c r="B591" s="9"/>
      <c r="C591" s="9"/>
      <c r="D591" s="9"/>
      <c r="E591" s="9"/>
      <c r="F591" s="9"/>
      <c r="G591" s="9"/>
      <c r="H591" s="9"/>
      <c r="I591" s="9"/>
      <c r="J591" s="9"/>
      <c r="K591" s="232"/>
      <c r="L591" s="9"/>
      <c r="M591" s="9"/>
      <c r="N591" s="9"/>
      <c r="O591" s="9"/>
      <c r="P591" s="9"/>
      <c r="Q591" s="9"/>
      <c r="R591" s="9"/>
      <c r="S591" s="232"/>
      <c r="T591" s="9"/>
      <c r="U591" s="9"/>
      <c r="V591" s="9"/>
      <c r="W591" s="9"/>
      <c r="X591" s="9"/>
      <c r="Y591" s="9"/>
      <c r="Z591" s="9"/>
      <c r="AA591" s="9"/>
      <c r="AB591" s="9"/>
      <c r="AC591" s="9"/>
      <c r="AD591" s="9"/>
      <c r="AE591" s="9"/>
      <c r="AF591" s="9"/>
    </row>
    <row r="592">
      <c r="A592" s="9"/>
      <c r="B592" s="9"/>
      <c r="C592" s="9"/>
      <c r="D592" s="9"/>
      <c r="E592" s="9"/>
      <c r="F592" s="9"/>
      <c r="G592" s="9"/>
      <c r="H592" s="9"/>
      <c r="I592" s="9"/>
      <c r="J592" s="9"/>
      <c r="K592" s="232"/>
      <c r="L592" s="9"/>
      <c r="M592" s="9"/>
      <c r="N592" s="9"/>
      <c r="O592" s="9"/>
      <c r="P592" s="9"/>
      <c r="Q592" s="9"/>
      <c r="R592" s="9"/>
      <c r="S592" s="232"/>
      <c r="T592" s="9"/>
      <c r="U592" s="9"/>
      <c r="V592" s="9"/>
      <c r="W592" s="9"/>
      <c r="X592" s="9"/>
      <c r="Y592" s="9"/>
      <c r="Z592" s="9"/>
      <c r="AA592" s="9"/>
      <c r="AB592" s="9"/>
      <c r="AC592" s="9"/>
      <c r="AD592" s="9"/>
      <c r="AE592" s="9"/>
      <c r="AF592" s="9"/>
    </row>
    <row r="593">
      <c r="A593" s="9"/>
      <c r="B593" s="9"/>
      <c r="C593" s="9"/>
      <c r="D593" s="9"/>
      <c r="E593" s="9"/>
      <c r="F593" s="9"/>
      <c r="G593" s="9"/>
      <c r="H593" s="9"/>
      <c r="I593" s="9"/>
      <c r="J593" s="9"/>
      <c r="K593" s="232"/>
      <c r="L593" s="9"/>
      <c r="M593" s="9"/>
      <c r="N593" s="9"/>
      <c r="O593" s="9"/>
      <c r="P593" s="9"/>
      <c r="Q593" s="9"/>
      <c r="R593" s="9"/>
      <c r="S593" s="232"/>
      <c r="T593" s="9"/>
      <c r="U593" s="9"/>
      <c r="V593" s="9"/>
      <c r="W593" s="9"/>
      <c r="X593" s="9"/>
      <c r="Y593" s="9"/>
      <c r="Z593" s="9"/>
      <c r="AA593" s="9"/>
      <c r="AB593" s="9"/>
      <c r="AC593" s="9"/>
      <c r="AD593" s="9"/>
      <c r="AE593" s="9"/>
      <c r="AF593" s="9"/>
    </row>
    <row r="594">
      <c r="A594" s="9"/>
      <c r="B594" s="9"/>
      <c r="C594" s="9"/>
      <c r="D594" s="9"/>
      <c r="E594" s="9"/>
      <c r="F594" s="9"/>
      <c r="G594" s="9"/>
      <c r="H594" s="9"/>
      <c r="I594" s="9"/>
      <c r="J594" s="9"/>
      <c r="K594" s="232"/>
      <c r="L594" s="9"/>
      <c r="M594" s="9"/>
      <c r="N594" s="9"/>
      <c r="O594" s="9"/>
      <c r="P594" s="9"/>
      <c r="Q594" s="9"/>
      <c r="R594" s="9"/>
      <c r="S594" s="232"/>
      <c r="T594" s="9"/>
      <c r="U594" s="9"/>
      <c r="V594" s="9"/>
      <c r="W594" s="9"/>
      <c r="X594" s="9"/>
      <c r="Y594" s="9"/>
      <c r="Z594" s="9"/>
      <c r="AA594" s="9"/>
      <c r="AB594" s="9"/>
      <c r="AC594" s="9"/>
      <c r="AD594" s="9"/>
      <c r="AE594" s="9"/>
      <c r="AF594" s="9"/>
    </row>
    <row r="595">
      <c r="A595" s="9"/>
      <c r="B595" s="9"/>
      <c r="C595" s="9"/>
      <c r="D595" s="9"/>
      <c r="E595" s="9"/>
      <c r="F595" s="9"/>
      <c r="G595" s="9"/>
      <c r="H595" s="9"/>
      <c r="I595" s="9"/>
      <c r="J595" s="9"/>
      <c r="K595" s="232"/>
      <c r="L595" s="9"/>
      <c r="M595" s="9"/>
      <c r="N595" s="9"/>
      <c r="O595" s="9"/>
      <c r="P595" s="9"/>
      <c r="Q595" s="9"/>
      <c r="R595" s="9"/>
      <c r="S595" s="232"/>
      <c r="T595" s="9"/>
      <c r="U595" s="9"/>
      <c r="V595" s="9"/>
      <c r="W595" s="9"/>
      <c r="X595" s="9"/>
      <c r="Y595" s="9"/>
      <c r="Z595" s="9"/>
      <c r="AA595" s="9"/>
      <c r="AB595" s="9"/>
      <c r="AC595" s="9"/>
      <c r="AD595" s="9"/>
      <c r="AE595" s="9"/>
      <c r="AF595" s="9"/>
    </row>
    <row r="596">
      <c r="A596" s="9"/>
      <c r="B596" s="9"/>
      <c r="C596" s="9"/>
      <c r="D596" s="9"/>
      <c r="E596" s="9"/>
      <c r="F596" s="9"/>
      <c r="G596" s="9"/>
      <c r="H596" s="9"/>
      <c r="I596" s="9"/>
      <c r="J596" s="9"/>
      <c r="K596" s="232"/>
      <c r="L596" s="9"/>
      <c r="M596" s="9"/>
      <c r="N596" s="9"/>
      <c r="O596" s="9"/>
      <c r="P596" s="9"/>
      <c r="Q596" s="9"/>
      <c r="R596" s="9"/>
      <c r="S596" s="232"/>
      <c r="T596" s="9"/>
      <c r="U596" s="9"/>
      <c r="V596" s="9"/>
      <c r="W596" s="9"/>
      <c r="X596" s="9"/>
      <c r="Y596" s="9"/>
      <c r="Z596" s="9"/>
      <c r="AA596" s="9"/>
      <c r="AB596" s="9"/>
      <c r="AC596" s="9"/>
      <c r="AD596" s="9"/>
      <c r="AE596" s="9"/>
      <c r="AF596" s="9"/>
    </row>
    <row r="597">
      <c r="A597" s="9"/>
      <c r="B597" s="9"/>
      <c r="C597" s="9"/>
      <c r="D597" s="9"/>
      <c r="E597" s="9"/>
      <c r="F597" s="9"/>
      <c r="G597" s="9"/>
      <c r="H597" s="9"/>
      <c r="I597" s="9"/>
      <c r="J597" s="9"/>
      <c r="K597" s="232"/>
      <c r="L597" s="9"/>
      <c r="M597" s="9"/>
      <c r="N597" s="9"/>
      <c r="O597" s="9"/>
      <c r="P597" s="9"/>
      <c r="Q597" s="9"/>
      <c r="R597" s="9"/>
      <c r="S597" s="232"/>
      <c r="T597" s="9"/>
      <c r="U597" s="9"/>
      <c r="V597" s="9"/>
      <c r="W597" s="9"/>
      <c r="X597" s="9"/>
      <c r="Y597" s="9"/>
      <c r="Z597" s="9"/>
      <c r="AA597" s="9"/>
      <c r="AB597" s="9"/>
      <c r="AC597" s="9"/>
      <c r="AD597" s="9"/>
      <c r="AE597" s="9"/>
      <c r="AF597" s="9"/>
    </row>
    <row r="598">
      <c r="A598" s="9"/>
      <c r="B598" s="9"/>
      <c r="C598" s="9"/>
      <c r="D598" s="9"/>
      <c r="E598" s="9"/>
      <c r="F598" s="9"/>
      <c r="G598" s="9"/>
      <c r="H598" s="9"/>
      <c r="I598" s="9"/>
      <c r="J598" s="9"/>
      <c r="K598" s="232"/>
      <c r="L598" s="9"/>
      <c r="M598" s="9"/>
      <c r="N598" s="9"/>
      <c r="O598" s="9"/>
      <c r="P598" s="9"/>
      <c r="Q598" s="9"/>
      <c r="R598" s="9"/>
      <c r="S598" s="232"/>
      <c r="T598" s="9"/>
      <c r="U598" s="9"/>
      <c r="V598" s="9"/>
      <c r="W598" s="9"/>
      <c r="X598" s="9"/>
      <c r="Y598" s="9"/>
      <c r="Z598" s="9"/>
      <c r="AA598" s="9"/>
      <c r="AB598" s="9"/>
      <c r="AC598" s="9"/>
      <c r="AD598" s="9"/>
      <c r="AE598" s="9"/>
      <c r="AF598" s="9"/>
    </row>
    <row r="599">
      <c r="A599" s="9"/>
      <c r="B599" s="9"/>
      <c r="C599" s="9"/>
      <c r="D599" s="9"/>
      <c r="E599" s="9"/>
      <c r="F599" s="9"/>
      <c r="G599" s="9"/>
      <c r="H599" s="9"/>
      <c r="I599" s="9"/>
      <c r="J599" s="9"/>
      <c r="K599" s="232"/>
      <c r="L599" s="9"/>
      <c r="M599" s="9"/>
      <c r="N599" s="9"/>
      <c r="O599" s="9"/>
      <c r="P599" s="9"/>
      <c r="Q599" s="9"/>
      <c r="R599" s="9"/>
      <c r="S599" s="232"/>
      <c r="T599" s="9"/>
      <c r="U599" s="9"/>
      <c r="V599" s="9"/>
      <c r="W599" s="9"/>
      <c r="X599" s="9"/>
      <c r="Y599" s="9"/>
      <c r="Z599" s="9"/>
      <c r="AA599" s="9"/>
      <c r="AB599" s="9"/>
      <c r="AC599" s="9"/>
      <c r="AD599" s="9"/>
      <c r="AE599" s="9"/>
      <c r="AF599" s="9"/>
    </row>
    <row r="600">
      <c r="A600" s="9"/>
      <c r="B600" s="9"/>
      <c r="C600" s="9"/>
      <c r="D600" s="9"/>
      <c r="E600" s="9"/>
      <c r="F600" s="9"/>
      <c r="G600" s="9"/>
      <c r="H600" s="9"/>
      <c r="I600" s="9"/>
      <c r="J600" s="9"/>
      <c r="K600" s="232"/>
      <c r="L600" s="9"/>
      <c r="M600" s="9"/>
      <c r="N600" s="9"/>
      <c r="O600" s="9"/>
      <c r="P600" s="9"/>
      <c r="Q600" s="9"/>
      <c r="R600" s="9"/>
      <c r="S600" s="232"/>
      <c r="T600" s="9"/>
      <c r="U600" s="9"/>
      <c r="V600" s="9"/>
      <c r="W600" s="9"/>
      <c r="X600" s="9"/>
      <c r="Y600" s="9"/>
      <c r="Z600" s="9"/>
      <c r="AA600" s="9"/>
      <c r="AB600" s="9"/>
      <c r="AC600" s="9"/>
      <c r="AD600" s="9"/>
      <c r="AE600" s="9"/>
      <c r="AF600" s="9"/>
    </row>
    <row r="601">
      <c r="A601" s="9"/>
      <c r="B601" s="9"/>
      <c r="C601" s="9"/>
      <c r="D601" s="9"/>
      <c r="E601" s="9"/>
      <c r="F601" s="9"/>
      <c r="G601" s="9"/>
      <c r="H601" s="9"/>
      <c r="I601" s="9"/>
      <c r="J601" s="9"/>
      <c r="K601" s="232"/>
      <c r="L601" s="9"/>
      <c r="M601" s="9"/>
      <c r="N601" s="9"/>
      <c r="O601" s="9"/>
      <c r="P601" s="9"/>
      <c r="Q601" s="9"/>
      <c r="R601" s="9"/>
      <c r="S601" s="232"/>
      <c r="T601" s="9"/>
      <c r="U601" s="9"/>
      <c r="V601" s="9"/>
      <c r="W601" s="9"/>
      <c r="X601" s="9"/>
      <c r="Y601" s="9"/>
      <c r="Z601" s="9"/>
      <c r="AA601" s="9"/>
      <c r="AB601" s="9"/>
      <c r="AC601" s="9"/>
      <c r="AD601" s="9"/>
      <c r="AE601" s="9"/>
      <c r="AF601" s="9"/>
    </row>
    <row r="602">
      <c r="A602" s="9"/>
      <c r="B602" s="9"/>
      <c r="C602" s="9"/>
      <c r="D602" s="9"/>
      <c r="E602" s="9"/>
      <c r="F602" s="9"/>
      <c r="G602" s="9"/>
      <c r="H602" s="9"/>
      <c r="I602" s="9"/>
      <c r="J602" s="9"/>
      <c r="K602" s="232"/>
      <c r="L602" s="9"/>
      <c r="M602" s="9"/>
      <c r="N602" s="9"/>
      <c r="O602" s="9"/>
      <c r="P602" s="9"/>
      <c r="Q602" s="9"/>
      <c r="R602" s="9"/>
      <c r="S602" s="232"/>
      <c r="T602" s="9"/>
      <c r="U602" s="9"/>
      <c r="V602" s="9"/>
      <c r="W602" s="9"/>
      <c r="X602" s="9"/>
      <c r="Y602" s="9"/>
      <c r="Z602" s="9"/>
      <c r="AA602" s="9"/>
      <c r="AB602" s="9"/>
      <c r="AC602" s="9"/>
      <c r="AD602" s="9"/>
      <c r="AE602" s="9"/>
      <c r="AF602" s="9"/>
    </row>
    <row r="603">
      <c r="A603" s="9"/>
      <c r="B603" s="9"/>
      <c r="C603" s="9"/>
      <c r="D603" s="9"/>
      <c r="E603" s="9"/>
      <c r="F603" s="9"/>
      <c r="G603" s="9"/>
      <c r="H603" s="9"/>
      <c r="I603" s="9"/>
      <c r="J603" s="9"/>
      <c r="K603" s="232"/>
      <c r="L603" s="9"/>
      <c r="M603" s="9"/>
      <c r="N603" s="9"/>
      <c r="O603" s="9"/>
      <c r="P603" s="9"/>
      <c r="Q603" s="9"/>
      <c r="R603" s="9"/>
      <c r="S603" s="232"/>
      <c r="T603" s="9"/>
      <c r="U603" s="9"/>
      <c r="V603" s="9"/>
      <c r="W603" s="9"/>
      <c r="X603" s="9"/>
      <c r="Y603" s="9"/>
      <c r="Z603" s="9"/>
      <c r="AA603" s="9"/>
      <c r="AB603" s="9"/>
      <c r="AC603" s="9"/>
      <c r="AD603" s="9"/>
      <c r="AE603" s="9"/>
      <c r="AF603" s="9"/>
    </row>
    <row r="604">
      <c r="A604" s="9"/>
      <c r="B604" s="9"/>
      <c r="C604" s="9"/>
      <c r="D604" s="9"/>
      <c r="E604" s="9"/>
      <c r="F604" s="9"/>
      <c r="G604" s="9"/>
      <c r="H604" s="9"/>
      <c r="I604" s="9"/>
      <c r="J604" s="9"/>
      <c r="K604" s="232"/>
      <c r="L604" s="9"/>
      <c r="M604" s="9"/>
      <c r="N604" s="9"/>
      <c r="O604" s="9"/>
      <c r="P604" s="9"/>
      <c r="Q604" s="9"/>
      <c r="R604" s="9"/>
      <c r="S604" s="232"/>
      <c r="T604" s="9"/>
      <c r="U604" s="9"/>
      <c r="V604" s="9"/>
      <c r="W604" s="9"/>
      <c r="X604" s="9"/>
      <c r="Y604" s="9"/>
      <c r="Z604" s="9"/>
      <c r="AA604" s="9"/>
      <c r="AB604" s="9"/>
      <c r="AC604" s="9"/>
      <c r="AD604" s="9"/>
      <c r="AE604" s="9"/>
      <c r="AF604" s="9"/>
    </row>
    <row r="605">
      <c r="A605" s="9"/>
      <c r="B605" s="9"/>
      <c r="C605" s="9"/>
      <c r="D605" s="9"/>
      <c r="E605" s="9"/>
      <c r="F605" s="9"/>
      <c r="G605" s="9"/>
      <c r="H605" s="9"/>
      <c r="I605" s="9"/>
      <c r="J605" s="9"/>
      <c r="K605" s="232"/>
      <c r="L605" s="9"/>
      <c r="M605" s="9"/>
      <c r="N605" s="9"/>
      <c r="O605" s="9"/>
      <c r="P605" s="9"/>
      <c r="Q605" s="9"/>
      <c r="R605" s="9"/>
      <c r="S605" s="232"/>
      <c r="T605" s="9"/>
      <c r="U605" s="9"/>
      <c r="V605" s="9"/>
      <c r="W605" s="9"/>
      <c r="X605" s="9"/>
      <c r="Y605" s="9"/>
      <c r="Z605" s="9"/>
      <c r="AA605" s="9"/>
      <c r="AB605" s="9"/>
      <c r="AC605" s="9"/>
      <c r="AD605" s="9"/>
      <c r="AE605" s="9"/>
      <c r="AF605" s="9"/>
    </row>
    <row r="606">
      <c r="A606" s="9"/>
      <c r="B606" s="9"/>
      <c r="C606" s="9"/>
      <c r="D606" s="9"/>
      <c r="E606" s="9"/>
      <c r="F606" s="9"/>
      <c r="G606" s="9"/>
      <c r="H606" s="9"/>
      <c r="I606" s="9"/>
      <c r="J606" s="9"/>
      <c r="K606" s="232"/>
      <c r="L606" s="9"/>
      <c r="M606" s="9"/>
      <c r="N606" s="9"/>
      <c r="O606" s="9"/>
      <c r="P606" s="9"/>
      <c r="Q606" s="9"/>
      <c r="R606" s="9"/>
      <c r="S606" s="232"/>
      <c r="T606" s="9"/>
      <c r="U606" s="9"/>
      <c r="V606" s="9"/>
      <c r="W606" s="9"/>
      <c r="X606" s="9"/>
      <c r="Y606" s="9"/>
      <c r="Z606" s="9"/>
      <c r="AA606" s="9"/>
      <c r="AB606" s="9"/>
      <c r="AC606" s="9"/>
      <c r="AD606" s="9"/>
      <c r="AE606" s="9"/>
      <c r="AF606" s="9"/>
    </row>
    <row r="607">
      <c r="A607" s="9"/>
      <c r="B607" s="9"/>
      <c r="C607" s="9"/>
      <c r="D607" s="9"/>
      <c r="E607" s="9"/>
      <c r="F607" s="9"/>
      <c r="G607" s="9"/>
      <c r="H607" s="9"/>
      <c r="I607" s="9"/>
      <c r="J607" s="9"/>
      <c r="K607" s="232"/>
      <c r="L607" s="9"/>
      <c r="M607" s="9"/>
      <c r="N607" s="9"/>
      <c r="O607" s="9"/>
      <c r="P607" s="9"/>
      <c r="Q607" s="9"/>
      <c r="R607" s="9"/>
      <c r="S607" s="232"/>
      <c r="T607" s="9"/>
      <c r="U607" s="9"/>
      <c r="V607" s="9"/>
      <c r="W607" s="9"/>
      <c r="X607" s="9"/>
      <c r="Y607" s="9"/>
      <c r="Z607" s="9"/>
      <c r="AA607" s="9"/>
      <c r="AB607" s="9"/>
      <c r="AC607" s="9"/>
      <c r="AD607" s="9"/>
      <c r="AE607" s="9"/>
      <c r="AF607" s="9"/>
    </row>
    <row r="608">
      <c r="A608" s="9"/>
      <c r="B608" s="9"/>
      <c r="C608" s="9"/>
      <c r="D608" s="9"/>
      <c r="E608" s="9"/>
      <c r="F608" s="9"/>
      <c r="G608" s="9"/>
      <c r="H608" s="9"/>
      <c r="I608" s="9"/>
      <c r="J608" s="9"/>
      <c r="K608" s="232"/>
      <c r="L608" s="9"/>
      <c r="M608" s="9"/>
      <c r="N608" s="9"/>
      <c r="O608" s="9"/>
      <c r="P608" s="9"/>
      <c r="Q608" s="9"/>
      <c r="R608" s="9"/>
      <c r="S608" s="232"/>
      <c r="T608" s="9"/>
      <c r="U608" s="9"/>
      <c r="V608" s="9"/>
      <c r="W608" s="9"/>
      <c r="X608" s="9"/>
      <c r="Y608" s="9"/>
      <c r="Z608" s="9"/>
      <c r="AA608" s="9"/>
      <c r="AB608" s="9"/>
      <c r="AC608" s="9"/>
      <c r="AD608" s="9"/>
      <c r="AE608" s="9"/>
      <c r="AF608" s="9"/>
    </row>
    <row r="609">
      <c r="A609" s="9"/>
      <c r="B609" s="9"/>
      <c r="C609" s="9"/>
      <c r="D609" s="9"/>
      <c r="E609" s="9"/>
      <c r="F609" s="9"/>
      <c r="G609" s="9"/>
      <c r="H609" s="9"/>
      <c r="I609" s="9"/>
      <c r="J609" s="9"/>
      <c r="K609" s="232"/>
      <c r="L609" s="9"/>
      <c r="M609" s="9"/>
      <c r="N609" s="9"/>
      <c r="O609" s="9"/>
      <c r="P609" s="9"/>
      <c r="Q609" s="9"/>
      <c r="R609" s="9"/>
      <c r="S609" s="232"/>
      <c r="T609" s="9"/>
      <c r="U609" s="9"/>
      <c r="V609" s="9"/>
      <c r="W609" s="9"/>
      <c r="X609" s="9"/>
      <c r="Y609" s="9"/>
      <c r="Z609" s="9"/>
      <c r="AA609" s="9"/>
      <c r="AB609" s="9"/>
      <c r="AC609" s="9"/>
      <c r="AD609" s="9"/>
      <c r="AE609" s="9"/>
      <c r="AF609" s="9"/>
    </row>
    <row r="610">
      <c r="A610" s="9"/>
      <c r="B610" s="9"/>
      <c r="C610" s="9"/>
      <c r="D610" s="9"/>
      <c r="E610" s="9"/>
      <c r="F610" s="9"/>
      <c r="G610" s="9"/>
      <c r="H610" s="9"/>
      <c r="I610" s="9"/>
      <c r="J610" s="9"/>
      <c r="K610" s="232"/>
      <c r="L610" s="9"/>
      <c r="M610" s="9"/>
      <c r="N610" s="9"/>
      <c r="O610" s="9"/>
      <c r="P610" s="9"/>
      <c r="Q610" s="9"/>
      <c r="R610" s="9"/>
      <c r="S610" s="232"/>
      <c r="T610" s="9"/>
      <c r="U610" s="9"/>
      <c r="V610" s="9"/>
      <c r="W610" s="9"/>
      <c r="X610" s="9"/>
      <c r="Y610" s="9"/>
      <c r="Z610" s="9"/>
      <c r="AA610" s="9"/>
      <c r="AB610" s="9"/>
      <c r="AC610" s="9"/>
      <c r="AD610" s="9"/>
      <c r="AE610" s="9"/>
      <c r="AF610" s="9"/>
    </row>
    <row r="611">
      <c r="A611" s="9"/>
      <c r="B611" s="9"/>
      <c r="C611" s="9"/>
      <c r="D611" s="9"/>
      <c r="E611" s="9"/>
      <c r="F611" s="9"/>
      <c r="G611" s="9"/>
      <c r="H611" s="9"/>
      <c r="I611" s="9"/>
      <c r="J611" s="9"/>
      <c r="K611" s="232"/>
      <c r="L611" s="9"/>
      <c r="M611" s="9"/>
      <c r="N611" s="9"/>
      <c r="O611" s="9"/>
      <c r="P611" s="9"/>
      <c r="Q611" s="9"/>
      <c r="R611" s="9"/>
      <c r="S611" s="232"/>
      <c r="T611" s="9"/>
      <c r="U611" s="9"/>
      <c r="V611" s="9"/>
      <c r="W611" s="9"/>
      <c r="X611" s="9"/>
      <c r="Y611" s="9"/>
      <c r="Z611" s="9"/>
      <c r="AA611" s="9"/>
      <c r="AB611" s="9"/>
      <c r="AC611" s="9"/>
      <c r="AD611" s="9"/>
      <c r="AE611" s="9"/>
      <c r="AF611" s="9"/>
    </row>
    <row r="612">
      <c r="A612" s="9"/>
      <c r="B612" s="9"/>
      <c r="C612" s="9"/>
      <c r="D612" s="9"/>
      <c r="E612" s="9"/>
      <c r="F612" s="9"/>
      <c r="G612" s="9"/>
      <c r="H612" s="9"/>
      <c r="I612" s="9"/>
      <c r="J612" s="9"/>
      <c r="K612" s="232"/>
      <c r="L612" s="9"/>
      <c r="M612" s="9"/>
      <c r="N612" s="9"/>
      <c r="O612" s="9"/>
      <c r="P612" s="9"/>
      <c r="Q612" s="9"/>
      <c r="R612" s="9"/>
      <c r="S612" s="232"/>
      <c r="T612" s="9"/>
      <c r="U612" s="9"/>
      <c r="V612" s="9"/>
      <c r="W612" s="9"/>
      <c r="X612" s="9"/>
      <c r="Y612" s="9"/>
      <c r="Z612" s="9"/>
      <c r="AA612" s="9"/>
      <c r="AB612" s="9"/>
      <c r="AC612" s="9"/>
      <c r="AD612" s="9"/>
      <c r="AE612" s="9"/>
      <c r="AF612" s="9"/>
    </row>
    <row r="613">
      <c r="A613" s="9"/>
      <c r="B613" s="9"/>
      <c r="C613" s="9"/>
      <c r="D613" s="9"/>
      <c r="E613" s="9"/>
      <c r="F613" s="9"/>
      <c r="G613" s="9"/>
      <c r="H613" s="9"/>
      <c r="I613" s="9"/>
      <c r="J613" s="9"/>
      <c r="K613" s="232"/>
      <c r="L613" s="9"/>
      <c r="M613" s="9"/>
      <c r="N613" s="9"/>
      <c r="O613" s="9"/>
      <c r="P613" s="9"/>
      <c r="Q613" s="9"/>
      <c r="R613" s="9"/>
      <c r="S613" s="232"/>
      <c r="T613" s="9"/>
      <c r="U613" s="9"/>
      <c r="V613" s="9"/>
      <c r="W613" s="9"/>
      <c r="X613" s="9"/>
      <c r="Y613" s="9"/>
      <c r="Z613" s="9"/>
      <c r="AA613" s="9"/>
      <c r="AB613" s="9"/>
      <c r="AC613" s="9"/>
      <c r="AD613" s="9"/>
      <c r="AE613" s="9"/>
      <c r="AF613" s="9"/>
    </row>
    <row r="614">
      <c r="A614" s="9"/>
      <c r="B614" s="9"/>
      <c r="C614" s="9"/>
      <c r="D614" s="9"/>
      <c r="E614" s="9"/>
      <c r="F614" s="9"/>
      <c r="G614" s="9"/>
      <c r="H614" s="9"/>
      <c r="I614" s="9"/>
      <c r="J614" s="9"/>
      <c r="K614" s="232"/>
      <c r="L614" s="9"/>
      <c r="M614" s="9"/>
      <c r="N614" s="9"/>
      <c r="O614" s="9"/>
      <c r="P614" s="9"/>
      <c r="Q614" s="9"/>
      <c r="R614" s="9"/>
      <c r="S614" s="232"/>
      <c r="T614" s="9"/>
      <c r="U614" s="9"/>
      <c r="V614" s="9"/>
      <c r="W614" s="9"/>
      <c r="X614" s="9"/>
      <c r="Y614" s="9"/>
      <c r="Z614" s="9"/>
      <c r="AA614" s="9"/>
      <c r="AB614" s="9"/>
      <c r="AC614" s="9"/>
      <c r="AD614" s="9"/>
      <c r="AE614" s="9"/>
      <c r="AF614" s="9"/>
    </row>
    <row r="615">
      <c r="A615" s="9"/>
      <c r="B615" s="9"/>
      <c r="C615" s="9"/>
      <c r="D615" s="9"/>
      <c r="E615" s="9"/>
      <c r="F615" s="9"/>
      <c r="G615" s="9"/>
      <c r="H615" s="9"/>
      <c r="I615" s="9"/>
      <c r="J615" s="9"/>
      <c r="K615" s="232"/>
      <c r="L615" s="9"/>
      <c r="M615" s="9"/>
      <c r="N615" s="9"/>
      <c r="O615" s="9"/>
      <c r="P615" s="9"/>
      <c r="Q615" s="9"/>
      <c r="R615" s="9"/>
      <c r="S615" s="232"/>
      <c r="T615" s="9"/>
      <c r="U615" s="9"/>
      <c r="V615" s="9"/>
      <c r="W615" s="9"/>
      <c r="X615" s="9"/>
      <c r="Y615" s="9"/>
      <c r="Z615" s="9"/>
      <c r="AA615" s="9"/>
      <c r="AB615" s="9"/>
      <c r="AC615" s="9"/>
      <c r="AD615" s="9"/>
      <c r="AE615" s="9"/>
      <c r="AF615" s="9"/>
    </row>
    <row r="616">
      <c r="A616" s="9"/>
      <c r="B616" s="9"/>
      <c r="C616" s="9"/>
      <c r="D616" s="9"/>
      <c r="E616" s="9"/>
      <c r="F616" s="9"/>
      <c r="G616" s="9"/>
      <c r="H616" s="9"/>
      <c r="I616" s="9"/>
      <c r="J616" s="9"/>
      <c r="K616" s="232"/>
      <c r="L616" s="9"/>
      <c r="M616" s="9"/>
      <c r="N616" s="9"/>
      <c r="O616" s="9"/>
      <c r="P616" s="9"/>
      <c r="Q616" s="9"/>
      <c r="R616" s="9"/>
      <c r="S616" s="232"/>
      <c r="T616" s="9"/>
      <c r="U616" s="9"/>
      <c r="V616" s="9"/>
      <c r="W616" s="9"/>
      <c r="X616" s="9"/>
      <c r="Y616" s="9"/>
      <c r="Z616" s="9"/>
      <c r="AA616" s="9"/>
      <c r="AB616" s="9"/>
      <c r="AC616" s="9"/>
      <c r="AD616" s="9"/>
      <c r="AE616" s="9"/>
      <c r="AF616" s="9"/>
    </row>
    <row r="617">
      <c r="A617" s="9"/>
      <c r="B617" s="9"/>
      <c r="C617" s="9"/>
      <c r="D617" s="9"/>
      <c r="E617" s="9"/>
      <c r="F617" s="9"/>
      <c r="G617" s="9"/>
      <c r="H617" s="9"/>
      <c r="I617" s="9"/>
      <c r="J617" s="9"/>
      <c r="K617" s="232"/>
      <c r="L617" s="9"/>
      <c r="M617" s="9"/>
      <c r="N617" s="9"/>
      <c r="O617" s="9"/>
      <c r="P617" s="9"/>
      <c r="Q617" s="9"/>
      <c r="R617" s="9"/>
      <c r="S617" s="232"/>
      <c r="T617" s="9"/>
      <c r="U617" s="9"/>
      <c r="V617" s="9"/>
      <c r="W617" s="9"/>
      <c r="X617" s="9"/>
      <c r="Y617" s="9"/>
      <c r="Z617" s="9"/>
      <c r="AA617" s="9"/>
      <c r="AB617" s="9"/>
      <c r="AC617" s="9"/>
      <c r="AD617" s="9"/>
      <c r="AE617" s="9"/>
      <c r="AF617" s="9"/>
    </row>
    <row r="618">
      <c r="A618" s="9"/>
      <c r="B618" s="9"/>
      <c r="C618" s="9"/>
      <c r="D618" s="9"/>
      <c r="E618" s="9"/>
      <c r="F618" s="9"/>
      <c r="G618" s="9"/>
      <c r="H618" s="9"/>
      <c r="I618" s="9"/>
      <c r="J618" s="9"/>
      <c r="K618" s="232"/>
      <c r="L618" s="9"/>
      <c r="M618" s="9"/>
      <c r="N618" s="9"/>
      <c r="O618" s="9"/>
      <c r="P618" s="9"/>
      <c r="Q618" s="9"/>
      <c r="R618" s="9"/>
      <c r="S618" s="232"/>
      <c r="T618" s="9"/>
      <c r="U618" s="9"/>
      <c r="V618" s="9"/>
      <c r="W618" s="9"/>
      <c r="X618" s="9"/>
      <c r="Y618" s="9"/>
      <c r="Z618" s="9"/>
      <c r="AA618" s="9"/>
      <c r="AB618" s="9"/>
      <c r="AC618" s="9"/>
      <c r="AD618" s="9"/>
      <c r="AE618" s="9"/>
      <c r="AF618" s="9"/>
    </row>
    <row r="619">
      <c r="A619" s="9"/>
      <c r="B619" s="9"/>
      <c r="C619" s="9"/>
      <c r="D619" s="9"/>
      <c r="E619" s="9"/>
      <c r="F619" s="9"/>
      <c r="G619" s="9"/>
      <c r="H619" s="9"/>
      <c r="I619" s="9"/>
      <c r="J619" s="9"/>
      <c r="K619" s="232"/>
      <c r="L619" s="9"/>
      <c r="M619" s="9"/>
      <c r="N619" s="9"/>
      <c r="O619" s="9"/>
      <c r="P619" s="9"/>
      <c r="Q619" s="9"/>
      <c r="R619" s="9"/>
      <c r="S619" s="232"/>
      <c r="T619" s="9"/>
      <c r="U619" s="9"/>
      <c r="V619" s="9"/>
      <c r="W619" s="9"/>
      <c r="X619" s="9"/>
      <c r="Y619" s="9"/>
      <c r="Z619" s="9"/>
      <c r="AA619" s="9"/>
      <c r="AB619" s="9"/>
      <c r="AC619" s="9"/>
      <c r="AD619" s="9"/>
      <c r="AE619" s="9"/>
      <c r="AF619" s="9"/>
    </row>
    <row r="620">
      <c r="A620" s="9"/>
      <c r="B620" s="9"/>
      <c r="C620" s="9"/>
      <c r="D620" s="9"/>
      <c r="E620" s="9"/>
      <c r="F620" s="9"/>
      <c r="G620" s="9"/>
      <c r="H620" s="9"/>
      <c r="I620" s="9"/>
      <c r="J620" s="9"/>
      <c r="K620" s="232"/>
      <c r="L620" s="9"/>
      <c r="M620" s="9"/>
      <c r="N620" s="9"/>
      <c r="O620" s="9"/>
      <c r="P620" s="9"/>
      <c r="Q620" s="9"/>
      <c r="R620" s="9"/>
      <c r="S620" s="232"/>
      <c r="T620" s="9"/>
      <c r="U620" s="9"/>
      <c r="V620" s="9"/>
      <c r="W620" s="9"/>
      <c r="X620" s="9"/>
      <c r="Y620" s="9"/>
      <c r="Z620" s="9"/>
      <c r="AA620" s="9"/>
      <c r="AB620" s="9"/>
      <c r="AC620" s="9"/>
      <c r="AD620" s="9"/>
      <c r="AE620" s="9"/>
      <c r="AF620" s="9"/>
    </row>
    <row r="621">
      <c r="A621" s="9"/>
      <c r="B621" s="9"/>
      <c r="C621" s="9"/>
      <c r="D621" s="9"/>
      <c r="E621" s="9"/>
      <c r="F621" s="9"/>
      <c r="G621" s="9"/>
      <c r="H621" s="9"/>
      <c r="I621" s="9"/>
      <c r="J621" s="9"/>
      <c r="K621" s="232"/>
      <c r="L621" s="9"/>
      <c r="M621" s="9"/>
      <c r="N621" s="9"/>
      <c r="O621" s="9"/>
      <c r="P621" s="9"/>
      <c r="Q621" s="9"/>
      <c r="R621" s="9"/>
      <c r="S621" s="232"/>
      <c r="T621" s="9"/>
      <c r="U621" s="9"/>
      <c r="V621" s="9"/>
      <c r="W621" s="9"/>
      <c r="X621" s="9"/>
      <c r="Y621" s="9"/>
      <c r="Z621" s="9"/>
      <c r="AA621" s="9"/>
      <c r="AB621" s="9"/>
      <c r="AC621" s="9"/>
      <c r="AD621" s="9"/>
      <c r="AE621" s="9"/>
      <c r="AF621" s="9"/>
    </row>
    <row r="622">
      <c r="A622" s="9"/>
      <c r="B622" s="9"/>
      <c r="C622" s="9"/>
      <c r="D622" s="9"/>
      <c r="E622" s="9"/>
      <c r="F622" s="9"/>
      <c r="G622" s="9"/>
      <c r="H622" s="9"/>
      <c r="I622" s="9"/>
      <c r="J622" s="9"/>
      <c r="K622" s="232"/>
      <c r="L622" s="9"/>
      <c r="M622" s="9"/>
      <c r="N622" s="9"/>
      <c r="O622" s="9"/>
      <c r="P622" s="9"/>
      <c r="Q622" s="9"/>
      <c r="R622" s="9"/>
      <c r="S622" s="232"/>
      <c r="T622" s="9"/>
      <c r="U622" s="9"/>
      <c r="V622" s="9"/>
      <c r="W622" s="9"/>
      <c r="X622" s="9"/>
      <c r="Y622" s="9"/>
      <c r="Z622" s="9"/>
      <c r="AA622" s="9"/>
      <c r="AB622" s="9"/>
      <c r="AC622" s="9"/>
      <c r="AD622" s="9"/>
      <c r="AE622" s="9"/>
      <c r="AF622" s="9"/>
    </row>
    <row r="623">
      <c r="A623" s="9"/>
      <c r="B623" s="9"/>
      <c r="C623" s="9"/>
      <c r="D623" s="9"/>
      <c r="E623" s="9"/>
      <c r="F623" s="9"/>
      <c r="G623" s="9"/>
      <c r="H623" s="9"/>
      <c r="I623" s="9"/>
      <c r="J623" s="9"/>
      <c r="K623" s="232"/>
      <c r="L623" s="9"/>
      <c r="M623" s="9"/>
      <c r="N623" s="9"/>
      <c r="O623" s="9"/>
      <c r="P623" s="9"/>
      <c r="Q623" s="9"/>
      <c r="R623" s="9"/>
      <c r="S623" s="232"/>
      <c r="T623" s="9"/>
      <c r="U623" s="9"/>
      <c r="V623" s="9"/>
      <c r="W623" s="9"/>
      <c r="X623" s="9"/>
      <c r="Y623" s="9"/>
      <c r="Z623" s="9"/>
      <c r="AA623" s="9"/>
      <c r="AB623" s="9"/>
      <c r="AC623" s="9"/>
      <c r="AD623" s="9"/>
      <c r="AE623" s="9"/>
      <c r="AF623" s="9"/>
    </row>
    <row r="624">
      <c r="A624" s="9"/>
      <c r="B624" s="9"/>
      <c r="C624" s="9"/>
      <c r="D624" s="9"/>
      <c r="E624" s="9"/>
      <c r="F624" s="9"/>
      <c r="G624" s="9"/>
      <c r="H624" s="9"/>
      <c r="I624" s="9"/>
      <c r="J624" s="9"/>
      <c r="K624" s="232"/>
      <c r="L624" s="9"/>
      <c r="M624" s="9"/>
      <c r="N624" s="9"/>
      <c r="O624" s="9"/>
      <c r="P624" s="9"/>
      <c r="Q624" s="9"/>
      <c r="R624" s="9"/>
      <c r="S624" s="232"/>
      <c r="T624" s="9"/>
      <c r="U624" s="9"/>
      <c r="V624" s="9"/>
      <c r="W624" s="9"/>
      <c r="X624" s="9"/>
      <c r="Y624" s="9"/>
      <c r="Z624" s="9"/>
      <c r="AA624" s="9"/>
      <c r="AB624" s="9"/>
      <c r="AC624" s="9"/>
      <c r="AD624" s="9"/>
      <c r="AE624" s="9"/>
      <c r="AF624" s="9"/>
    </row>
    <row r="625">
      <c r="A625" s="9"/>
      <c r="B625" s="9"/>
      <c r="C625" s="9"/>
      <c r="D625" s="9"/>
      <c r="E625" s="9"/>
      <c r="F625" s="9"/>
      <c r="G625" s="9"/>
      <c r="H625" s="9"/>
      <c r="I625" s="9"/>
      <c r="J625" s="9"/>
      <c r="K625" s="232"/>
      <c r="L625" s="9"/>
      <c r="M625" s="9"/>
      <c r="N625" s="9"/>
      <c r="O625" s="9"/>
      <c r="P625" s="9"/>
      <c r="Q625" s="9"/>
      <c r="R625" s="9"/>
      <c r="S625" s="232"/>
      <c r="T625" s="9"/>
      <c r="U625" s="9"/>
      <c r="V625" s="9"/>
      <c r="W625" s="9"/>
      <c r="X625" s="9"/>
      <c r="Y625" s="9"/>
      <c r="Z625" s="9"/>
      <c r="AA625" s="9"/>
      <c r="AB625" s="9"/>
      <c r="AC625" s="9"/>
      <c r="AD625" s="9"/>
      <c r="AE625" s="9"/>
      <c r="AF625" s="9"/>
    </row>
    <row r="626">
      <c r="A626" s="9"/>
      <c r="B626" s="9"/>
      <c r="C626" s="9"/>
      <c r="D626" s="9"/>
      <c r="E626" s="9"/>
      <c r="F626" s="9"/>
      <c r="G626" s="9"/>
      <c r="H626" s="9"/>
      <c r="I626" s="9"/>
      <c r="J626" s="9"/>
      <c r="K626" s="232"/>
      <c r="L626" s="9"/>
      <c r="M626" s="9"/>
      <c r="N626" s="9"/>
      <c r="O626" s="9"/>
      <c r="P626" s="9"/>
      <c r="Q626" s="9"/>
      <c r="R626" s="9"/>
      <c r="S626" s="232"/>
      <c r="T626" s="9"/>
      <c r="U626" s="9"/>
      <c r="V626" s="9"/>
      <c r="W626" s="9"/>
      <c r="X626" s="9"/>
      <c r="Y626" s="9"/>
      <c r="Z626" s="9"/>
      <c r="AA626" s="9"/>
      <c r="AB626" s="9"/>
      <c r="AC626" s="9"/>
      <c r="AD626" s="9"/>
      <c r="AE626" s="9"/>
      <c r="AF626" s="9"/>
    </row>
    <row r="627">
      <c r="A627" s="9"/>
      <c r="B627" s="9"/>
      <c r="C627" s="9"/>
      <c r="D627" s="9"/>
      <c r="E627" s="9"/>
      <c r="F627" s="9"/>
      <c r="G627" s="9"/>
      <c r="H627" s="9"/>
      <c r="I627" s="9"/>
      <c r="J627" s="9"/>
      <c r="K627" s="232"/>
      <c r="L627" s="9"/>
      <c r="M627" s="9"/>
      <c r="N627" s="9"/>
      <c r="O627" s="9"/>
      <c r="P627" s="9"/>
      <c r="Q627" s="9"/>
      <c r="R627" s="9"/>
      <c r="S627" s="232"/>
      <c r="T627" s="9"/>
      <c r="U627" s="9"/>
      <c r="V627" s="9"/>
      <c r="W627" s="9"/>
      <c r="X627" s="9"/>
      <c r="Y627" s="9"/>
      <c r="Z627" s="9"/>
      <c r="AA627" s="9"/>
      <c r="AB627" s="9"/>
      <c r="AC627" s="9"/>
      <c r="AD627" s="9"/>
      <c r="AE627" s="9"/>
      <c r="AF627" s="9"/>
    </row>
    <row r="628">
      <c r="A628" s="9"/>
      <c r="B628" s="9"/>
      <c r="C628" s="9"/>
      <c r="D628" s="9"/>
      <c r="E628" s="9"/>
      <c r="F628" s="9"/>
      <c r="G628" s="9"/>
      <c r="H628" s="9"/>
      <c r="I628" s="9"/>
      <c r="J628" s="9"/>
      <c r="K628" s="232"/>
      <c r="L628" s="9"/>
      <c r="M628" s="9"/>
      <c r="N628" s="9"/>
      <c r="O628" s="9"/>
      <c r="P628" s="9"/>
      <c r="Q628" s="9"/>
      <c r="R628" s="9"/>
      <c r="S628" s="232"/>
      <c r="T628" s="9"/>
      <c r="U628" s="9"/>
      <c r="V628" s="9"/>
      <c r="W628" s="9"/>
      <c r="X628" s="9"/>
      <c r="Y628" s="9"/>
      <c r="Z628" s="9"/>
      <c r="AA628" s="9"/>
      <c r="AB628" s="9"/>
      <c r="AC628" s="9"/>
      <c r="AD628" s="9"/>
      <c r="AE628" s="9"/>
      <c r="AF628" s="9"/>
    </row>
    <row r="629">
      <c r="A629" s="9"/>
      <c r="B629" s="9"/>
      <c r="C629" s="9"/>
      <c r="D629" s="9"/>
      <c r="E629" s="9"/>
      <c r="F629" s="9"/>
      <c r="G629" s="9"/>
      <c r="H629" s="9"/>
      <c r="I629" s="9"/>
      <c r="J629" s="9"/>
      <c r="K629" s="232"/>
      <c r="L629" s="9"/>
      <c r="M629" s="9"/>
      <c r="N629" s="9"/>
      <c r="O629" s="9"/>
      <c r="P629" s="9"/>
      <c r="Q629" s="9"/>
      <c r="R629" s="9"/>
      <c r="S629" s="232"/>
      <c r="T629" s="9"/>
      <c r="U629" s="9"/>
      <c r="V629" s="9"/>
      <c r="W629" s="9"/>
      <c r="X629" s="9"/>
      <c r="Y629" s="9"/>
      <c r="Z629" s="9"/>
      <c r="AA629" s="9"/>
      <c r="AB629" s="9"/>
      <c r="AC629" s="9"/>
      <c r="AD629" s="9"/>
      <c r="AE629" s="9"/>
      <c r="AF629" s="9"/>
    </row>
    <row r="630">
      <c r="A630" s="9"/>
      <c r="B630" s="9"/>
      <c r="C630" s="9"/>
      <c r="D630" s="9"/>
      <c r="E630" s="9"/>
      <c r="F630" s="9"/>
      <c r="G630" s="9"/>
      <c r="H630" s="9"/>
      <c r="I630" s="9"/>
      <c r="J630" s="9"/>
      <c r="K630" s="232"/>
      <c r="L630" s="9"/>
      <c r="M630" s="9"/>
      <c r="N630" s="9"/>
      <c r="O630" s="9"/>
      <c r="P630" s="9"/>
      <c r="Q630" s="9"/>
      <c r="R630" s="9"/>
      <c r="S630" s="232"/>
      <c r="T630" s="9"/>
      <c r="U630" s="9"/>
      <c r="V630" s="9"/>
      <c r="W630" s="9"/>
      <c r="X630" s="9"/>
      <c r="Y630" s="9"/>
      <c r="Z630" s="9"/>
      <c r="AA630" s="9"/>
      <c r="AB630" s="9"/>
      <c r="AC630" s="9"/>
      <c r="AD630" s="9"/>
      <c r="AE630" s="9"/>
      <c r="AF630" s="9"/>
    </row>
    <row r="631">
      <c r="A631" s="9"/>
      <c r="B631" s="9"/>
      <c r="C631" s="9"/>
      <c r="D631" s="9"/>
      <c r="E631" s="9"/>
      <c r="F631" s="9"/>
      <c r="G631" s="9"/>
      <c r="H631" s="9"/>
      <c r="I631" s="9"/>
      <c r="J631" s="9"/>
      <c r="K631" s="232"/>
      <c r="L631" s="9"/>
      <c r="M631" s="9"/>
      <c r="N631" s="9"/>
      <c r="O631" s="9"/>
      <c r="P631" s="9"/>
      <c r="Q631" s="9"/>
      <c r="R631" s="9"/>
      <c r="S631" s="232"/>
      <c r="T631" s="9"/>
      <c r="U631" s="9"/>
      <c r="V631" s="9"/>
      <c r="W631" s="9"/>
      <c r="X631" s="9"/>
      <c r="Y631" s="9"/>
      <c r="Z631" s="9"/>
      <c r="AA631" s="9"/>
      <c r="AB631" s="9"/>
      <c r="AC631" s="9"/>
      <c r="AD631" s="9"/>
      <c r="AE631" s="9"/>
      <c r="AF631" s="9"/>
    </row>
    <row r="632">
      <c r="A632" s="9"/>
      <c r="B632" s="9"/>
      <c r="C632" s="9"/>
      <c r="D632" s="9"/>
      <c r="E632" s="9"/>
      <c r="F632" s="9"/>
      <c r="G632" s="9"/>
      <c r="H632" s="9"/>
      <c r="I632" s="9"/>
      <c r="J632" s="9"/>
      <c r="K632" s="232"/>
      <c r="L632" s="9"/>
      <c r="M632" s="9"/>
      <c r="N632" s="9"/>
      <c r="O632" s="9"/>
      <c r="P632" s="9"/>
      <c r="Q632" s="9"/>
      <c r="R632" s="9"/>
      <c r="S632" s="232"/>
      <c r="T632" s="9"/>
      <c r="U632" s="9"/>
      <c r="V632" s="9"/>
      <c r="W632" s="9"/>
      <c r="X632" s="9"/>
      <c r="Y632" s="9"/>
      <c r="Z632" s="9"/>
      <c r="AA632" s="9"/>
      <c r="AB632" s="9"/>
      <c r="AC632" s="9"/>
      <c r="AD632" s="9"/>
      <c r="AE632" s="9"/>
      <c r="AF632" s="9"/>
    </row>
    <row r="633">
      <c r="A633" s="9"/>
      <c r="B633" s="9"/>
      <c r="C633" s="9"/>
      <c r="D633" s="9"/>
      <c r="E633" s="9"/>
      <c r="F633" s="9"/>
      <c r="G633" s="9"/>
      <c r="H633" s="9"/>
      <c r="I633" s="9"/>
      <c r="J633" s="9"/>
      <c r="K633" s="232"/>
      <c r="L633" s="9"/>
      <c r="M633" s="9"/>
      <c r="N633" s="9"/>
      <c r="O633" s="9"/>
      <c r="P633" s="9"/>
      <c r="Q633" s="9"/>
      <c r="R633" s="9"/>
      <c r="S633" s="232"/>
      <c r="T633" s="9"/>
      <c r="U633" s="9"/>
      <c r="V633" s="9"/>
      <c r="W633" s="9"/>
      <c r="X633" s="9"/>
      <c r="Y633" s="9"/>
      <c r="Z633" s="9"/>
      <c r="AA633" s="9"/>
      <c r="AB633" s="9"/>
      <c r="AC633" s="9"/>
      <c r="AD633" s="9"/>
      <c r="AE633" s="9"/>
      <c r="AF633" s="9"/>
    </row>
    <row r="634">
      <c r="A634" s="9"/>
      <c r="B634" s="9"/>
      <c r="C634" s="9"/>
      <c r="D634" s="9"/>
      <c r="E634" s="9"/>
      <c r="F634" s="9"/>
      <c r="G634" s="9"/>
      <c r="H634" s="9"/>
      <c r="I634" s="9"/>
      <c r="J634" s="9"/>
      <c r="K634" s="232"/>
      <c r="L634" s="9"/>
      <c r="M634" s="9"/>
      <c r="N634" s="9"/>
      <c r="O634" s="9"/>
      <c r="P634" s="9"/>
      <c r="Q634" s="9"/>
      <c r="R634" s="9"/>
      <c r="S634" s="232"/>
      <c r="T634" s="9"/>
      <c r="U634" s="9"/>
      <c r="V634" s="9"/>
      <c r="W634" s="9"/>
      <c r="X634" s="9"/>
      <c r="Y634" s="9"/>
      <c r="Z634" s="9"/>
      <c r="AA634" s="9"/>
      <c r="AB634" s="9"/>
      <c r="AC634" s="9"/>
      <c r="AD634" s="9"/>
      <c r="AE634" s="9"/>
      <c r="AF634" s="9"/>
    </row>
    <row r="635">
      <c r="A635" s="9"/>
      <c r="B635" s="9"/>
      <c r="C635" s="9"/>
      <c r="D635" s="9"/>
      <c r="E635" s="9"/>
      <c r="F635" s="9"/>
      <c r="G635" s="9"/>
      <c r="H635" s="9"/>
      <c r="I635" s="9"/>
      <c r="J635" s="9"/>
      <c r="K635" s="232"/>
      <c r="L635" s="9"/>
      <c r="M635" s="9"/>
      <c r="N635" s="9"/>
      <c r="O635" s="9"/>
      <c r="P635" s="9"/>
      <c r="Q635" s="9"/>
      <c r="R635" s="9"/>
      <c r="S635" s="232"/>
      <c r="T635" s="9"/>
      <c r="U635" s="9"/>
      <c r="V635" s="9"/>
      <c r="W635" s="9"/>
      <c r="X635" s="9"/>
      <c r="Y635" s="9"/>
      <c r="Z635" s="9"/>
      <c r="AA635" s="9"/>
      <c r="AB635" s="9"/>
      <c r="AC635" s="9"/>
      <c r="AD635" s="9"/>
      <c r="AE635" s="9"/>
      <c r="AF635" s="9"/>
    </row>
    <row r="636">
      <c r="A636" s="9"/>
      <c r="B636" s="9"/>
      <c r="C636" s="9"/>
      <c r="D636" s="9"/>
      <c r="E636" s="9"/>
      <c r="F636" s="9"/>
      <c r="G636" s="9"/>
      <c r="H636" s="9"/>
      <c r="I636" s="9"/>
      <c r="J636" s="9"/>
      <c r="K636" s="232"/>
      <c r="L636" s="9"/>
      <c r="M636" s="9"/>
      <c r="N636" s="9"/>
      <c r="O636" s="9"/>
      <c r="P636" s="9"/>
      <c r="Q636" s="9"/>
      <c r="R636" s="9"/>
      <c r="S636" s="232"/>
      <c r="T636" s="9"/>
      <c r="U636" s="9"/>
      <c r="V636" s="9"/>
      <c r="W636" s="9"/>
      <c r="X636" s="9"/>
      <c r="Y636" s="9"/>
      <c r="Z636" s="9"/>
      <c r="AA636" s="9"/>
      <c r="AB636" s="9"/>
      <c r="AC636" s="9"/>
      <c r="AD636" s="9"/>
      <c r="AE636" s="9"/>
      <c r="AF636" s="9"/>
    </row>
    <row r="637">
      <c r="A637" s="9"/>
      <c r="B637" s="9"/>
      <c r="C637" s="9"/>
      <c r="D637" s="9"/>
      <c r="E637" s="9"/>
      <c r="F637" s="9"/>
      <c r="G637" s="9"/>
      <c r="H637" s="9"/>
      <c r="I637" s="9"/>
      <c r="J637" s="9"/>
      <c r="K637" s="232"/>
      <c r="L637" s="9"/>
      <c r="M637" s="9"/>
      <c r="N637" s="9"/>
      <c r="O637" s="9"/>
      <c r="P637" s="9"/>
      <c r="Q637" s="9"/>
      <c r="R637" s="9"/>
      <c r="S637" s="232"/>
      <c r="T637" s="9"/>
      <c r="U637" s="9"/>
      <c r="V637" s="9"/>
      <c r="W637" s="9"/>
      <c r="X637" s="9"/>
      <c r="Y637" s="9"/>
      <c r="Z637" s="9"/>
      <c r="AA637" s="9"/>
      <c r="AB637" s="9"/>
      <c r="AC637" s="9"/>
      <c r="AD637" s="9"/>
      <c r="AE637" s="9"/>
      <c r="AF637" s="9"/>
    </row>
    <row r="638">
      <c r="A638" s="9"/>
      <c r="B638" s="9"/>
      <c r="C638" s="9"/>
      <c r="D638" s="9"/>
      <c r="E638" s="9"/>
      <c r="F638" s="9"/>
      <c r="G638" s="9"/>
      <c r="H638" s="9"/>
      <c r="I638" s="9"/>
      <c r="J638" s="9"/>
      <c r="K638" s="232"/>
      <c r="L638" s="9"/>
      <c r="M638" s="9"/>
      <c r="N638" s="9"/>
      <c r="O638" s="9"/>
      <c r="P638" s="9"/>
      <c r="Q638" s="9"/>
      <c r="R638" s="9"/>
      <c r="S638" s="232"/>
      <c r="T638" s="9"/>
      <c r="U638" s="9"/>
      <c r="V638" s="9"/>
      <c r="W638" s="9"/>
      <c r="X638" s="9"/>
      <c r="Y638" s="9"/>
      <c r="Z638" s="9"/>
      <c r="AA638" s="9"/>
      <c r="AB638" s="9"/>
      <c r="AC638" s="9"/>
      <c r="AD638" s="9"/>
      <c r="AE638" s="9"/>
      <c r="AF638" s="9"/>
    </row>
    <row r="639">
      <c r="A639" s="9"/>
      <c r="B639" s="9"/>
      <c r="C639" s="9"/>
      <c r="D639" s="9"/>
      <c r="E639" s="9"/>
      <c r="F639" s="9"/>
      <c r="G639" s="9"/>
      <c r="H639" s="9"/>
      <c r="I639" s="9"/>
      <c r="J639" s="9"/>
      <c r="K639" s="232"/>
      <c r="L639" s="9"/>
      <c r="M639" s="9"/>
      <c r="N639" s="9"/>
      <c r="O639" s="9"/>
      <c r="P639" s="9"/>
      <c r="Q639" s="9"/>
      <c r="R639" s="9"/>
      <c r="S639" s="232"/>
      <c r="T639" s="9"/>
      <c r="U639" s="9"/>
      <c r="V639" s="9"/>
      <c r="W639" s="9"/>
      <c r="X639" s="9"/>
      <c r="Y639" s="9"/>
      <c r="Z639" s="9"/>
      <c r="AA639" s="9"/>
      <c r="AB639" s="9"/>
      <c r="AC639" s="9"/>
      <c r="AD639" s="9"/>
      <c r="AE639" s="9"/>
      <c r="AF639" s="9"/>
    </row>
    <row r="640">
      <c r="A640" s="9"/>
      <c r="B640" s="9"/>
      <c r="C640" s="9"/>
      <c r="D640" s="9"/>
      <c r="E640" s="9"/>
      <c r="F640" s="9"/>
      <c r="G640" s="9"/>
      <c r="H640" s="9"/>
      <c r="I640" s="9"/>
      <c r="J640" s="9"/>
      <c r="K640" s="232"/>
      <c r="L640" s="9"/>
      <c r="M640" s="9"/>
      <c r="N640" s="9"/>
      <c r="O640" s="9"/>
      <c r="P640" s="9"/>
      <c r="Q640" s="9"/>
      <c r="R640" s="9"/>
      <c r="S640" s="232"/>
      <c r="T640" s="9"/>
      <c r="U640" s="9"/>
      <c r="V640" s="9"/>
      <c r="W640" s="9"/>
      <c r="X640" s="9"/>
      <c r="Y640" s="9"/>
      <c r="Z640" s="9"/>
      <c r="AA640" s="9"/>
      <c r="AB640" s="9"/>
      <c r="AC640" s="9"/>
      <c r="AD640" s="9"/>
      <c r="AE640" s="9"/>
      <c r="AF640" s="9"/>
    </row>
    <row r="641">
      <c r="A641" s="9"/>
      <c r="B641" s="9"/>
      <c r="C641" s="9"/>
      <c r="D641" s="9"/>
      <c r="E641" s="9"/>
      <c r="F641" s="9"/>
      <c r="G641" s="9"/>
      <c r="H641" s="9"/>
      <c r="I641" s="9"/>
      <c r="J641" s="9"/>
      <c r="K641" s="232"/>
      <c r="L641" s="9"/>
      <c r="M641" s="9"/>
      <c r="N641" s="9"/>
      <c r="O641" s="9"/>
      <c r="P641" s="9"/>
      <c r="Q641" s="9"/>
      <c r="R641" s="9"/>
      <c r="S641" s="232"/>
      <c r="T641" s="9"/>
      <c r="U641" s="9"/>
      <c r="V641" s="9"/>
      <c r="W641" s="9"/>
      <c r="X641" s="9"/>
      <c r="Y641" s="9"/>
      <c r="Z641" s="9"/>
      <c r="AA641" s="9"/>
      <c r="AB641" s="9"/>
      <c r="AC641" s="9"/>
      <c r="AD641" s="9"/>
      <c r="AE641" s="9"/>
      <c r="AF641" s="9"/>
    </row>
    <row r="642">
      <c r="A642" s="9"/>
      <c r="B642" s="9"/>
      <c r="C642" s="9"/>
      <c r="D642" s="9"/>
      <c r="E642" s="9"/>
      <c r="F642" s="9"/>
      <c r="G642" s="9"/>
      <c r="H642" s="9"/>
      <c r="I642" s="9"/>
      <c r="J642" s="9"/>
      <c r="K642" s="232"/>
      <c r="L642" s="9"/>
      <c r="M642" s="9"/>
      <c r="N642" s="9"/>
      <c r="O642" s="9"/>
      <c r="P642" s="9"/>
      <c r="Q642" s="9"/>
      <c r="R642" s="9"/>
      <c r="S642" s="232"/>
      <c r="T642" s="9"/>
      <c r="U642" s="9"/>
      <c r="V642" s="9"/>
      <c r="W642" s="9"/>
      <c r="X642" s="9"/>
      <c r="Y642" s="9"/>
      <c r="Z642" s="9"/>
      <c r="AA642" s="9"/>
      <c r="AB642" s="9"/>
      <c r="AC642" s="9"/>
      <c r="AD642" s="9"/>
      <c r="AE642" s="9"/>
      <c r="AF642" s="9"/>
    </row>
    <row r="643">
      <c r="A643" s="9"/>
      <c r="B643" s="9"/>
      <c r="C643" s="9"/>
      <c r="D643" s="9"/>
      <c r="E643" s="9"/>
      <c r="F643" s="9"/>
      <c r="G643" s="9"/>
      <c r="H643" s="9"/>
      <c r="I643" s="9"/>
      <c r="J643" s="9"/>
      <c r="K643" s="232"/>
      <c r="L643" s="9"/>
      <c r="M643" s="9"/>
      <c r="N643" s="9"/>
      <c r="O643" s="9"/>
      <c r="P643" s="9"/>
      <c r="Q643" s="9"/>
      <c r="R643" s="9"/>
      <c r="S643" s="232"/>
      <c r="T643" s="9"/>
      <c r="U643" s="9"/>
      <c r="V643" s="9"/>
      <c r="W643" s="9"/>
      <c r="X643" s="9"/>
      <c r="Y643" s="9"/>
      <c r="Z643" s="9"/>
      <c r="AA643" s="9"/>
      <c r="AB643" s="9"/>
      <c r="AC643" s="9"/>
      <c r="AD643" s="9"/>
      <c r="AE643" s="9"/>
      <c r="AF643" s="9"/>
    </row>
    <row r="644">
      <c r="A644" s="9"/>
      <c r="B644" s="9"/>
      <c r="C644" s="9"/>
      <c r="D644" s="9"/>
      <c r="E644" s="9"/>
      <c r="F644" s="9"/>
      <c r="G644" s="9"/>
      <c r="H644" s="9"/>
      <c r="I644" s="9"/>
      <c r="J644" s="9"/>
      <c r="K644" s="232"/>
      <c r="L644" s="9"/>
      <c r="M644" s="9"/>
      <c r="N644" s="9"/>
      <c r="O644" s="9"/>
      <c r="P644" s="9"/>
      <c r="Q644" s="9"/>
      <c r="R644" s="9"/>
      <c r="S644" s="232"/>
      <c r="T644" s="9"/>
      <c r="U644" s="9"/>
      <c r="V644" s="9"/>
      <c r="W644" s="9"/>
      <c r="X644" s="9"/>
      <c r="Y644" s="9"/>
      <c r="Z644" s="9"/>
      <c r="AA644" s="9"/>
      <c r="AB644" s="9"/>
      <c r="AC644" s="9"/>
      <c r="AD644" s="9"/>
      <c r="AE644" s="9"/>
      <c r="AF644" s="9"/>
    </row>
    <row r="645">
      <c r="A645" s="9"/>
      <c r="B645" s="9"/>
      <c r="C645" s="9"/>
      <c r="D645" s="9"/>
      <c r="E645" s="9"/>
      <c r="F645" s="9"/>
      <c r="G645" s="9"/>
      <c r="H645" s="9"/>
      <c r="I645" s="9"/>
      <c r="J645" s="9"/>
      <c r="K645" s="232"/>
      <c r="L645" s="9"/>
      <c r="M645" s="9"/>
      <c r="N645" s="9"/>
      <c r="O645" s="9"/>
      <c r="P645" s="9"/>
      <c r="Q645" s="9"/>
      <c r="R645" s="9"/>
      <c r="S645" s="232"/>
      <c r="T645" s="9"/>
      <c r="U645" s="9"/>
      <c r="V645" s="9"/>
      <c r="W645" s="9"/>
      <c r="X645" s="9"/>
      <c r="Y645" s="9"/>
      <c r="Z645" s="9"/>
      <c r="AA645" s="9"/>
      <c r="AB645" s="9"/>
      <c r="AC645" s="9"/>
      <c r="AD645" s="9"/>
      <c r="AE645" s="9"/>
      <c r="AF645" s="9"/>
    </row>
    <row r="646">
      <c r="A646" s="9"/>
      <c r="B646" s="9"/>
      <c r="C646" s="9"/>
      <c r="D646" s="9"/>
      <c r="E646" s="9"/>
      <c r="F646" s="9"/>
      <c r="G646" s="9"/>
      <c r="H646" s="9"/>
      <c r="I646" s="9"/>
      <c r="J646" s="9"/>
      <c r="K646" s="232"/>
      <c r="L646" s="9"/>
      <c r="M646" s="9"/>
      <c r="N646" s="9"/>
      <c r="O646" s="9"/>
      <c r="P646" s="9"/>
      <c r="Q646" s="9"/>
      <c r="R646" s="9"/>
      <c r="S646" s="232"/>
      <c r="T646" s="9"/>
      <c r="U646" s="9"/>
      <c r="V646" s="9"/>
      <c r="W646" s="9"/>
      <c r="X646" s="9"/>
      <c r="Y646" s="9"/>
      <c r="Z646" s="9"/>
      <c r="AA646" s="9"/>
      <c r="AB646" s="9"/>
      <c r="AC646" s="9"/>
      <c r="AD646" s="9"/>
      <c r="AE646" s="9"/>
      <c r="AF646" s="9"/>
    </row>
    <row r="647">
      <c r="A647" s="9"/>
      <c r="B647" s="9"/>
      <c r="C647" s="9"/>
      <c r="D647" s="9"/>
      <c r="E647" s="9"/>
      <c r="F647" s="9"/>
      <c r="G647" s="9"/>
      <c r="H647" s="9"/>
      <c r="I647" s="9"/>
      <c r="J647" s="9"/>
      <c r="K647" s="232"/>
      <c r="L647" s="9"/>
      <c r="M647" s="9"/>
      <c r="N647" s="9"/>
      <c r="O647" s="9"/>
      <c r="P647" s="9"/>
      <c r="Q647" s="9"/>
      <c r="R647" s="9"/>
      <c r="S647" s="232"/>
      <c r="T647" s="9"/>
      <c r="U647" s="9"/>
      <c r="V647" s="9"/>
      <c r="W647" s="9"/>
      <c r="X647" s="9"/>
      <c r="Y647" s="9"/>
      <c r="Z647" s="9"/>
      <c r="AA647" s="9"/>
      <c r="AB647" s="9"/>
      <c r="AC647" s="9"/>
      <c r="AD647" s="9"/>
      <c r="AE647" s="9"/>
      <c r="AF647" s="9"/>
    </row>
    <row r="648">
      <c r="A648" s="9"/>
      <c r="B648" s="9"/>
      <c r="C648" s="9"/>
      <c r="D648" s="9"/>
      <c r="E648" s="9"/>
      <c r="F648" s="9"/>
      <c r="G648" s="9"/>
      <c r="H648" s="9"/>
      <c r="I648" s="9"/>
      <c r="J648" s="9"/>
      <c r="K648" s="232"/>
      <c r="L648" s="9"/>
      <c r="M648" s="9"/>
      <c r="N648" s="9"/>
      <c r="O648" s="9"/>
      <c r="P648" s="9"/>
      <c r="Q648" s="9"/>
      <c r="R648" s="9"/>
      <c r="S648" s="232"/>
      <c r="T648" s="9"/>
      <c r="U648" s="9"/>
      <c r="V648" s="9"/>
      <c r="W648" s="9"/>
      <c r="X648" s="9"/>
      <c r="Y648" s="9"/>
      <c r="Z648" s="9"/>
      <c r="AA648" s="9"/>
      <c r="AB648" s="9"/>
      <c r="AC648" s="9"/>
      <c r="AD648" s="9"/>
      <c r="AE648" s="9"/>
      <c r="AF648" s="9"/>
    </row>
    <row r="649">
      <c r="A649" s="9"/>
      <c r="B649" s="9"/>
      <c r="C649" s="9"/>
      <c r="D649" s="9"/>
      <c r="E649" s="9"/>
      <c r="F649" s="9"/>
      <c r="G649" s="9"/>
      <c r="H649" s="9"/>
      <c r="I649" s="9"/>
      <c r="J649" s="9"/>
      <c r="K649" s="232"/>
      <c r="L649" s="9"/>
      <c r="M649" s="9"/>
      <c r="N649" s="9"/>
      <c r="O649" s="9"/>
      <c r="P649" s="9"/>
      <c r="Q649" s="9"/>
      <c r="R649" s="9"/>
      <c r="S649" s="232"/>
      <c r="T649" s="9"/>
      <c r="U649" s="9"/>
      <c r="V649" s="9"/>
      <c r="W649" s="9"/>
      <c r="X649" s="9"/>
      <c r="Y649" s="9"/>
      <c r="Z649" s="9"/>
      <c r="AA649" s="9"/>
      <c r="AB649" s="9"/>
      <c r="AC649" s="9"/>
      <c r="AD649" s="9"/>
      <c r="AE649" s="9"/>
      <c r="AF649" s="9"/>
    </row>
    <row r="650">
      <c r="A650" s="9"/>
      <c r="B650" s="9"/>
      <c r="C650" s="9"/>
      <c r="D650" s="9"/>
      <c r="E650" s="9"/>
      <c r="F650" s="9"/>
      <c r="G650" s="9"/>
      <c r="H650" s="9"/>
      <c r="I650" s="9"/>
      <c r="J650" s="9"/>
      <c r="K650" s="232"/>
      <c r="L650" s="9"/>
      <c r="M650" s="9"/>
      <c r="N650" s="9"/>
      <c r="O650" s="9"/>
      <c r="P650" s="9"/>
      <c r="Q650" s="9"/>
      <c r="R650" s="9"/>
      <c r="S650" s="232"/>
      <c r="T650" s="9"/>
      <c r="U650" s="9"/>
      <c r="V650" s="9"/>
      <c r="W650" s="9"/>
      <c r="X650" s="9"/>
      <c r="Y650" s="9"/>
      <c r="Z650" s="9"/>
      <c r="AA650" s="9"/>
      <c r="AB650" s="9"/>
      <c r="AC650" s="9"/>
      <c r="AD650" s="9"/>
      <c r="AE650" s="9"/>
      <c r="AF650" s="9"/>
    </row>
    <row r="651">
      <c r="A651" s="9"/>
      <c r="B651" s="9"/>
      <c r="C651" s="9"/>
      <c r="D651" s="9"/>
      <c r="E651" s="9"/>
      <c r="F651" s="9"/>
      <c r="G651" s="9"/>
      <c r="H651" s="9"/>
      <c r="I651" s="9"/>
      <c r="J651" s="9"/>
      <c r="K651" s="232"/>
      <c r="L651" s="9"/>
      <c r="M651" s="9"/>
      <c r="N651" s="9"/>
      <c r="O651" s="9"/>
      <c r="P651" s="9"/>
      <c r="Q651" s="9"/>
      <c r="R651" s="9"/>
      <c r="S651" s="232"/>
      <c r="T651" s="9"/>
      <c r="U651" s="9"/>
      <c r="V651" s="9"/>
      <c r="W651" s="9"/>
      <c r="X651" s="9"/>
      <c r="Y651" s="9"/>
      <c r="Z651" s="9"/>
      <c r="AA651" s="9"/>
      <c r="AB651" s="9"/>
      <c r="AC651" s="9"/>
      <c r="AD651" s="9"/>
      <c r="AE651" s="9"/>
      <c r="AF651" s="9"/>
    </row>
    <row r="652">
      <c r="A652" s="9"/>
      <c r="B652" s="9"/>
      <c r="C652" s="9"/>
      <c r="D652" s="9"/>
      <c r="E652" s="9"/>
      <c r="F652" s="9"/>
      <c r="G652" s="9"/>
      <c r="H652" s="9"/>
      <c r="I652" s="9"/>
      <c r="J652" s="9"/>
      <c r="K652" s="232"/>
      <c r="L652" s="9"/>
      <c r="M652" s="9"/>
      <c r="N652" s="9"/>
      <c r="O652" s="9"/>
      <c r="P652" s="9"/>
      <c r="Q652" s="9"/>
      <c r="R652" s="9"/>
      <c r="S652" s="232"/>
      <c r="T652" s="9"/>
      <c r="U652" s="9"/>
      <c r="V652" s="9"/>
      <c r="W652" s="9"/>
      <c r="X652" s="9"/>
      <c r="Y652" s="9"/>
      <c r="Z652" s="9"/>
      <c r="AA652" s="9"/>
      <c r="AB652" s="9"/>
      <c r="AC652" s="9"/>
      <c r="AD652" s="9"/>
      <c r="AE652" s="9"/>
      <c r="AF652" s="9"/>
    </row>
    <row r="653">
      <c r="A653" s="9"/>
      <c r="B653" s="9"/>
      <c r="C653" s="9"/>
      <c r="D653" s="9"/>
      <c r="E653" s="9"/>
      <c r="F653" s="9"/>
      <c r="G653" s="9"/>
      <c r="H653" s="9"/>
      <c r="I653" s="9"/>
      <c r="J653" s="9"/>
      <c r="K653" s="232"/>
      <c r="L653" s="9"/>
      <c r="M653" s="9"/>
      <c r="N653" s="9"/>
      <c r="O653" s="9"/>
      <c r="P653" s="9"/>
      <c r="Q653" s="9"/>
      <c r="R653" s="9"/>
      <c r="S653" s="232"/>
      <c r="T653" s="9"/>
      <c r="U653" s="9"/>
      <c r="V653" s="9"/>
      <c r="W653" s="9"/>
      <c r="X653" s="9"/>
      <c r="Y653" s="9"/>
      <c r="Z653" s="9"/>
      <c r="AA653" s="9"/>
      <c r="AB653" s="9"/>
      <c r="AC653" s="9"/>
      <c r="AD653" s="9"/>
      <c r="AE653" s="9"/>
      <c r="AF653" s="9"/>
    </row>
    <row r="654">
      <c r="A654" s="9"/>
      <c r="B654" s="9"/>
      <c r="C654" s="9"/>
      <c r="D654" s="9"/>
      <c r="E654" s="9"/>
      <c r="F654" s="9"/>
      <c r="G654" s="9"/>
      <c r="H654" s="9"/>
      <c r="I654" s="9"/>
      <c r="J654" s="9"/>
      <c r="K654" s="232"/>
      <c r="L654" s="9"/>
      <c r="M654" s="9"/>
      <c r="N654" s="9"/>
      <c r="O654" s="9"/>
      <c r="P654" s="9"/>
      <c r="Q654" s="9"/>
      <c r="R654" s="9"/>
      <c r="S654" s="232"/>
      <c r="T654" s="9"/>
      <c r="U654" s="9"/>
      <c r="V654" s="9"/>
      <c r="W654" s="9"/>
      <c r="X654" s="9"/>
      <c r="Y654" s="9"/>
      <c r="Z654" s="9"/>
      <c r="AA654" s="9"/>
      <c r="AB654" s="9"/>
      <c r="AC654" s="9"/>
      <c r="AD654" s="9"/>
      <c r="AE654" s="9"/>
      <c r="AF654" s="9"/>
    </row>
    <row r="655">
      <c r="A655" s="9"/>
      <c r="B655" s="9"/>
      <c r="C655" s="9"/>
      <c r="D655" s="9"/>
      <c r="E655" s="9"/>
      <c r="F655" s="9"/>
      <c r="G655" s="9"/>
      <c r="H655" s="9"/>
      <c r="I655" s="9"/>
      <c r="J655" s="9"/>
      <c r="K655" s="232"/>
      <c r="L655" s="9"/>
      <c r="M655" s="9"/>
      <c r="N655" s="9"/>
      <c r="O655" s="9"/>
      <c r="P655" s="9"/>
      <c r="Q655" s="9"/>
      <c r="R655" s="9"/>
      <c r="S655" s="232"/>
      <c r="T655" s="9"/>
      <c r="U655" s="9"/>
      <c r="V655" s="9"/>
      <c r="W655" s="9"/>
      <c r="X655" s="9"/>
      <c r="Y655" s="9"/>
      <c r="Z655" s="9"/>
      <c r="AA655" s="9"/>
      <c r="AB655" s="9"/>
      <c r="AC655" s="9"/>
      <c r="AD655" s="9"/>
      <c r="AE655" s="9"/>
      <c r="AF655" s="9"/>
    </row>
    <row r="656">
      <c r="A656" s="9"/>
      <c r="B656" s="9"/>
      <c r="C656" s="9"/>
      <c r="D656" s="9"/>
      <c r="E656" s="9"/>
      <c r="F656" s="9"/>
      <c r="G656" s="9"/>
      <c r="H656" s="9"/>
      <c r="I656" s="9"/>
      <c r="J656" s="9"/>
      <c r="K656" s="232"/>
      <c r="L656" s="9"/>
      <c r="M656" s="9"/>
      <c r="N656" s="9"/>
      <c r="O656" s="9"/>
      <c r="P656" s="9"/>
      <c r="Q656" s="9"/>
      <c r="R656" s="9"/>
      <c r="S656" s="232"/>
      <c r="T656" s="9"/>
      <c r="U656" s="9"/>
      <c r="V656" s="9"/>
      <c r="W656" s="9"/>
      <c r="X656" s="9"/>
      <c r="Y656" s="9"/>
      <c r="Z656" s="9"/>
      <c r="AA656" s="9"/>
      <c r="AB656" s="9"/>
      <c r="AC656" s="9"/>
      <c r="AD656" s="9"/>
      <c r="AE656" s="9"/>
      <c r="AF656" s="9"/>
    </row>
    <row r="657">
      <c r="A657" s="9"/>
      <c r="B657" s="9"/>
      <c r="C657" s="9"/>
      <c r="D657" s="9"/>
      <c r="E657" s="9"/>
      <c r="F657" s="9"/>
      <c r="G657" s="9"/>
      <c r="H657" s="9"/>
      <c r="I657" s="9"/>
      <c r="J657" s="9"/>
      <c r="K657" s="232"/>
      <c r="L657" s="9"/>
      <c r="M657" s="9"/>
      <c r="N657" s="9"/>
      <c r="O657" s="9"/>
      <c r="P657" s="9"/>
      <c r="Q657" s="9"/>
      <c r="R657" s="9"/>
      <c r="S657" s="232"/>
      <c r="T657" s="9"/>
      <c r="U657" s="9"/>
      <c r="V657" s="9"/>
      <c r="W657" s="9"/>
      <c r="X657" s="9"/>
      <c r="Y657" s="9"/>
      <c r="Z657" s="9"/>
      <c r="AA657" s="9"/>
      <c r="AB657" s="9"/>
      <c r="AC657" s="9"/>
      <c r="AD657" s="9"/>
      <c r="AE657" s="9"/>
      <c r="AF657" s="9"/>
    </row>
    <row r="658">
      <c r="A658" s="257"/>
      <c r="AC658" s="9"/>
      <c r="AD658" s="9"/>
      <c r="AE658" s="9"/>
      <c r="AF658" s="9"/>
    </row>
    <row r="659">
      <c r="A659" s="257"/>
    </row>
    <row r="660">
      <c r="A660" s="257"/>
    </row>
    <row r="661">
      <c r="A661" s="257"/>
    </row>
    <row r="662">
      <c r="A662" s="257"/>
    </row>
    <row r="663">
      <c r="A663" s="257"/>
    </row>
    <row r="664">
      <c r="A664" s="257"/>
    </row>
    <row r="665">
      <c r="A665" s="257"/>
    </row>
    <row r="666">
      <c r="A666" s="257"/>
    </row>
    <row r="667">
      <c r="A667" s="257"/>
    </row>
    <row r="668">
      <c r="A668" s="257"/>
    </row>
    <row r="669">
      <c r="A669" s="257"/>
    </row>
    <row r="670">
      <c r="A670" s="257"/>
    </row>
    <row r="671">
      <c r="A671" s="257"/>
    </row>
    <row r="672">
      <c r="A672" s="257"/>
    </row>
    <row r="673">
      <c r="A673" s="257"/>
    </row>
    <row r="674">
      <c r="A674" s="257"/>
    </row>
  </sheetData>
  <customSheetViews>
    <customSheetView guid="{C0FD2F62-3ADA-4E44-ABC2-10E955012945}" filter="1" showAutoFilter="1">
      <autoFilter ref="$O$22:$O$508"/>
    </customSheetView>
    <customSheetView guid="{20CAB334-E8B9-4848-AC8F-2E0A8DBFE604}" filter="1" showAutoFilter="1">
      <autoFilter ref="$N$6:$N$508">
        <filterColumn colId="0">
          <filters/>
        </filterColumn>
      </autoFilter>
    </customSheetView>
    <customSheetView guid="{D0A54268-7389-43AB-A5BA-78B6DAB825D3}" filter="1" showAutoFilter="1">
      <autoFilter ref="$A$6:$A$508"/>
    </customSheetView>
    <customSheetView guid="{95107451-AD48-4E36-95D5-D44A7511BFD9}" filter="1" showAutoFilter="1">
      <autoFilter ref="$P$7:$P$508">
        <filterColumn colId="0">
          <filters/>
        </filterColumn>
      </autoFilter>
    </customSheetView>
    <customSheetView guid="{E3B16FF4-157A-41A8-880D-5DDB83361892}" filter="1" showAutoFilter="1">
      <autoFilter ref="$Z$5:$Z$7"/>
    </customSheetView>
    <customSheetView guid="{66348944-9FC2-49D4-937A-1A6FEBFF4639}" filter="1" showAutoFilter="1">
      <autoFilter ref="$I$7:$I$508">
        <filterColumn colId="0">
          <filters>
            <filter val="1"/>
          </filters>
        </filterColumn>
      </autoFilter>
    </customSheetView>
    <customSheetView guid="{7A661D72-FC41-4646-AEAF-00CD193B6D95}" filter="1" showAutoFilter="1">
      <autoFilter ref="$I$7:$I$508">
        <filterColumn colId="0">
          <filters>
            <filter val="1"/>
          </filters>
        </filterColumn>
      </autoFilter>
    </customSheetView>
    <customSheetView guid="{17EFBF60-FA66-46DD-8C66-7DD74D543108}" filter="1" showAutoFilter="1">
      <autoFilter ref="$I$7:$I$508">
        <filterColumn colId="0">
          <filters blank="1">
            <filter val="2"/>
            <filter val="3"/>
            <filter val="4"/>
            <filter val="5"/>
          </filters>
        </filterColumn>
      </autoFilter>
    </customSheetView>
    <customSheetView guid="{B69A7256-2244-4A5A-98B8-5882F2FF8700}" filter="1" showAutoFilter="1">
      <autoFilter ref="$K$6:$K$508"/>
    </customSheetView>
    <customSheetView guid="{E0B68C8C-9E59-4D09-A796-DABAD0F2C26F}" filter="1" showAutoFilter="1">
      <autoFilter ref="$S$6:$S$508"/>
    </customSheetView>
    <customSheetView guid="{62CFFA2F-2CDE-4159-80E8-0067D9460027}" filter="1" showAutoFilter="1">
      <autoFilter ref="$Z$1:$Z$674"/>
    </customSheetView>
    <customSheetView guid="{0B48C2DC-E7D4-4DCC-ACB5-09BD4089ED05}" filter="1" showAutoFilter="1">
      <autoFilter ref="$Z$1:$Z$674"/>
    </customSheetView>
  </customSheetViews>
  <mergeCells count="31">
    <mergeCell ref="N2:P2"/>
    <mergeCell ref="Q2:Q4"/>
    <mergeCell ref="N3:N4"/>
    <mergeCell ref="O3:O4"/>
    <mergeCell ref="P3:P4"/>
    <mergeCell ref="W2:W4"/>
    <mergeCell ref="X2:X4"/>
    <mergeCell ref="R2:R4"/>
    <mergeCell ref="S3:S4"/>
    <mergeCell ref="A1:A5"/>
    <mergeCell ref="B1:B4"/>
    <mergeCell ref="C1:K1"/>
    <mergeCell ref="L1:P1"/>
    <mergeCell ref="W1:Y1"/>
    <mergeCell ref="C2:C4"/>
    <mergeCell ref="Y2:Y4"/>
    <mergeCell ref="T3:T4"/>
    <mergeCell ref="D2:D4"/>
    <mergeCell ref="E2:E4"/>
    <mergeCell ref="F2:F4"/>
    <mergeCell ref="G2:G4"/>
    <mergeCell ref="H2:H4"/>
    <mergeCell ref="I2:I4"/>
    <mergeCell ref="J2:J4"/>
    <mergeCell ref="K2:K4"/>
    <mergeCell ref="L2:L4"/>
    <mergeCell ref="M2:M4"/>
    <mergeCell ref="Q1:U1"/>
    <mergeCell ref="S2:T2"/>
    <mergeCell ref="U2:U4"/>
    <mergeCell ref="V2:V4"/>
  </mergeCells>
  <hyperlinks>
    <hyperlink r:id="rId2" ref="K452"/>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8.14"/>
    <col customWidth="1" min="2" max="2" width="5.57"/>
    <col customWidth="1" min="3" max="3" width="4.29"/>
    <col customWidth="1" min="4" max="4" width="7.43"/>
    <col customWidth="1" min="5" max="5" width="11.43"/>
    <col customWidth="1" min="6" max="6" width="7.43"/>
    <col customWidth="1" min="7" max="7" width="7.0"/>
    <col customWidth="1" min="8" max="10" width="11.29"/>
    <col customWidth="1" min="11" max="11" width="20.0"/>
    <col customWidth="1" min="12" max="13" width="10.71"/>
    <col customWidth="1" min="14" max="16" width="12.0"/>
    <col customWidth="1" min="17" max="18" width="13.43"/>
    <col customWidth="1" min="19" max="19" width="29.29"/>
    <col customWidth="1" min="20" max="20" width="8.29"/>
    <col customWidth="1" min="21" max="21" width="8.57"/>
    <col customWidth="1" min="22" max="22" width="10.71"/>
    <col customWidth="1" min="23" max="24" width="8.14"/>
    <col customWidth="1" min="25" max="26" width="9.86"/>
    <col customWidth="1" min="27" max="28" width="12.14"/>
  </cols>
  <sheetData>
    <row r="1">
      <c r="A1" s="143" t="s">
        <v>0</v>
      </c>
      <c r="B1" s="1" t="s">
        <v>1</v>
      </c>
      <c r="C1" s="2" t="s">
        <v>2</v>
      </c>
      <c r="D1" s="3"/>
      <c r="E1" s="3"/>
      <c r="F1" s="3"/>
      <c r="G1" s="3"/>
      <c r="H1" s="3"/>
      <c r="I1" s="3"/>
      <c r="J1" s="3"/>
      <c r="K1" s="4"/>
      <c r="L1" s="5" t="s">
        <v>3</v>
      </c>
      <c r="M1" s="3"/>
      <c r="N1" s="3"/>
      <c r="O1" s="3"/>
      <c r="P1" s="3"/>
      <c r="Q1" s="6" t="s">
        <v>4</v>
      </c>
      <c r="R1" s="3"/>
      <c r="S1" s="3"/>
      <c r="T1" s="3"/>
      <c r="U1" s="4"/>
      <c r="V1" s="7" t="s">
        <v>5</v>
      </c>
      <c r="W1" s="144" t="s">
        <v>6</v>
      </c>
      <c r="X1" s="3"/>
      <c r="Y1" s="4"/>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c r="B2" s="10"/>
      <c r="C2" s="11" t="s">
        <v>7</v>
      </c>
      <c r="D2" s="11" t="s">
        <v>8</v>
      </c>
      <c r="E2" s="11" t="s">
        <v>9</v>
      </c>
      <c r="F2" s="11" t="s">
        <v>10</v>
      </c>
      <c r="G2" s="11" t="s">
        <v>11</v>
      </c>
      <c r="H2" s="11" t="s">
        <v>12</v>
      </c>
      <c r="I2" s="11" t="s">
        <v>13</v>
      </c>
      <c r="J2" s="11" t="s">
        <v>14</v>
      </c>
      <c r="K2" s="11" t="s">
        <v>15</v>
      </c>
      <c r="L2" s="12" t="s">
        <v>16</v>
      </c>
      <c r="M2" s="13" t="s">
        <v>17</v>
      </c>
      <c r="N2" s="5" t="s">
        <v>18</v>
      </c>
      <c r="O2" s="3"/>
      <c r="P2" s="4"/>
      <c r="Q2" s="14" t="s">
        <v>19</v>
      </c>
      <c r="R2" s="14" t="s">
        <v>20</v>
      </c>
      <c r="S2" s="147" t="s">
        <v>21</v>
      </c>
      <c r="T2" s="4"/>
      <c r="U2" s="149" t="s">
        <v>22</v>
      </c>
      <c r="V2" s="16" t="s">
        <v>23</v>
      </c>
      <c r="W2" s="17" t="s">
        <v>24</v>
      </c>
      <c r="X2" s="17" t="s">
        <v>25</v>
      </c>
      <c r="Y2" s="266" t="s">
        <v>26</v>
      </c>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row>
    <row r="3" ht="9.75" customHeight="1">
      <c r="B3" s="10"/>
      <c r="C3" s="10"/>
      <c r="D3" s="10"/>
      <c r="E3" s="10"/>
      <c r="F3" s="10"/>
      <c r="G3" s="10"/>
      <c r="H3" s="10"/>
      <c r="I3" s="10"/>
      <c r="J3" s="10"/>
      <c r="K3" s="10"/>
      <c r="L3" s="10"/>
      <c r="M3" s="18"/>
      <c r="N3" s="19" t="s">
        <v>27</v>
      </c>
      <c r="O3" s="20" t="s">
        <v>28</v>
      </c>
      <c r="P3" s="12" t="s">
        <v>29</v>
      </c>
      <c r="Q3" s="10"/>
      <c r="R3" s="10"/>
      <c r="S3" s="149" t="s">
        <v>30</v>
      </c>
      <c r="T3" s="21" t="s">
        <v>31</v>
      </c>
      <c r="U3" s="10"/>
      <c r="V3" s="10"/>
      <c r="W3" s="10"/>
      <c r="X3" s="10"/>
      <c r="Y3" s="10"/>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row>
    <row r="4" ht="15.0" customHeight="1">
      <c r="B4" s="22"/>
      <c r="C4" s="22"/>
      <c r="D4" s="22"/>
      <c r="E4" s="22"/>
      <c r="F4" s="22"/>
      <c r="G4" s="22"/>
      <c r="H4" s="22"/>
      <c r="I4" s="22"/>
      <c r="J4" s="22"/>
      <c r="K4" s="22"/>
      <c r="L4" s="22"/>
      <c r="M4" s="23"/>
      <c r="N4" s="22"/>
      <c r="O4" s="22"/>
      <c r="P4" s="22"/>
      <c r="Q4" s="22"/>
      <c r="R4" s="22"/>
      <c r="S4" s="22"/>
      <c r="T4" s="18"/>
      <c r="U4" s="22"/>
      <c r="V4" s="22"/>
      <c r="W4" s="22"/>
      <c r="X4" s="22"/>
      <c r="Y4" s="22"/>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row>
    <row r="5">
      <c r="A5" s="361">
        <v>1.0</v>
      </c>
      <c r="B5" s="362" t="s">
        <v>4869</v>
      </c>
      <c r="C5" s="79">
        <v>1.0</v>
      </c>
      <c r="D5" s="79">
        <v>8.0</v>
      </c>
      <c r="E5" s="363">
        <v>43497.0</v>
      </c>
      <c r="F5" s="293" t="str">
        <f>HYPERLINK("https://www.suara.com/news/2019/01/02/183156/takut-pemukiman-jadi-angker-warga-desak-makam-ki-among-putro-dibongkar","sumber")</f>
        <v>sumber</v>
      </c>
      <c r="G5" s="79" t="s">
        <v>33</v>
      </c>
      <c r="H5" s="79">
        <v>370.0</v>
      </c>
      <c r="I5" s="188">
        <v>1.0</v>
      </c>
      <c r="J5" s="79">
        <v>4.0</v>
      </c>
      <c r="K5" s="191" t="s">
        <v>4870</v>
      </c>
      <c r="L5" s="79">
        <v>0.0</v>
      </c>
      <c r="M5" s="44">
        <v>0.0</v>
      </c>
      <c r="N5" s="364">
        <v>0.0</v>
      </c>
      <c r="O5" s="364">
        <v>0.0</v>
      </c>
      <c r="P5" s="79">
        <v>0.0</v>
      </c>
      <c r="Q5" s="79">
        <v>0.0</v>
      </c>
      <c r="R5" s="79">
        <v>0.0</v>
      </c>
      <c r="S5" s="191"/>
      <c r="T5" s="79">
        <v>0.0</v>
      </c>
      <c r="U5" s="79">
        <v>0.0</v>
      </c>
      <c r="V5" s="79">
        <v>1.0</v>
      </c>
      <c r="W5" s="79"/>
      <c r="X5" s="63"/>
      <c r="Y5" s="63"/>
      <c r="Z5" s="295"/>
      <c r="AA5" s="295"/>
      <c r="AB5" s="295"/>
      <c r="AC5" s="295"/>
      <c r="AD5" s="295"/>
      <c r="AE5" s="295"/>
      <c r="AF5" s="295"/>
      <c r="AG5" s="295"/>
      <c r="AH5" s="295"/>
      <c r="AI5" s="295"/>
      <c r="AJ5" s="295"/>
      <c r="AK5" s="295"/>
      <c r="AL5" s="295"/>
      <c r="AM5" s="295"/>
      <c r="AN5" s="295"/>
      <c r="AO5" s="295"/>
      <c r="AP5" s="295"/>
      <c r="AQ5" s="295"/>
      <c r="AR5" s="295"/>
      <c r="AS5" s="295"/>
      <c r="AT5" s="295"/>
      <c r="AU5" s="295"/>
      <c r="AV5" s="295"/>
      <c r="AW5" s="295"/>
      <c r="AX5" s="295"/>
      <c r="AY5" s="295"/>
      <c r="AZ5" s="295"/>
      <c r="BA5" s="295"/>
      <c r="BB5" s="295"/>
      <c r="BC5" s="295"/>
      <c r="BD5" s="295"/>
      <c r="BE5" s="295"/>
    </row>
    <row r="6">
      <c r="A6" s="158">
        <v>1.0</v>
      </c>
      <c r="B6" s="351" t="s">
        <v>2877</v>
      </c>
      <c r="C6" s="44">
        <v>2.0</v>
      </c>
      <c r="D6" s="44">
        <v>2.0</v>
      </c>
      <c r="E6" s="44" t="s">
        <v>4871</v>
      </c>
      <c r="F6" s="162" t="str">
        <f>HYPERLINK("https://www.suara.com/news/2019/01/06/155637/pembubaran-buku-haqiqatul-wahyi-jemaat-ahamadiyah-bandung-inkonstitusional ","sumber")</f>
        <v>sumber</v>
      </c>
      <c r="G6" s="162" t="str">
        <f>HYPERLINK("https://drive.google.com/open?id=1UaosKhdzM3n9Xc2hSsCaxM1XdhZO0bHy","lokasi")</f>
        <v>lokasi</v>
      </c>
      <c r="H6" s="44">
        <v>365.0</v>
      </c>
      <c r="I6" s="44">
        <v>1.0</v>
      </c>
      <c r="J6" s="44">
        <v>4.0</v>
      </c>
      <c r="K6" s="164" t="s">
        <v>4872</v>
      </c>
      <c r="L6" s="44">
        <v>0.0</v>
      </c>
      <c r="M6" s="44">
        <v>-1.0</v>
      </c>
      <c r="N6" s="166">
        <v>0.0</v>
      </c>
      <c r="O6" s="166">
        <v>0.0</v>
      </c>
      <c r="P6" s="44">
        <v>0.0</v>
      </c>
      <c r="Q6" s="44">
        <v>2.0</v>
      </c>
      <c r="R6" s="44">
        <v>0.0</v>
      </c>
      <c r="S6" s="175"/>
      <c r="T6" s="44">
        <v>0.0</v>
      </c>
      <c r="U6" s="44">
        <v>0.0</v>
      </c>
      <c r="V6" s="44">
        <v>1.0</v>
      </c>
      <c r="W6" s="45"/>
      <c r="X6" s="45"/>
      <c r="Y6" s="45"/>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row>
    <row r="7">
      <c r="A7" s="152">
        <v>2.0</v>
      </c>
      <c r="B7" s="365" t="s">
        <v>4873</v>
      </c>
      <c r="C7" s="47">
        <v>3.0</v>
      </c>
      <c r="D7" s="47">
        <v>1.0</v>
      </c>
      <c r="E7" s="47" t="s">
        <v>4874</v>
      </c>
      <c r="F7" s="156" t="str">
        <f>HYPERLINK("https://news.detik.com/berita/d-4374513/menristekdikti-perguruan-tinggi-harus-jelaskan-mitigasi-bencana ","sumber")</f>
        <v>sumber</v>
      </c>
      <c r="G7" s="47" t="s">
        <v>33</v>
      </c>
      <c r="H7" s="47"/>
      <c r="I7" s="48"/>
      <c r="J7" s="48"/>
      <c r="K7" s="165"/>
      <c r="L7" s="48"/>
      <c r="M7" s="48"/>
      <c r="N7" s="48"/>
      <c r="O7" s="48"/>
      <c r="P7" s="48"/>
      <c r="Q7" s="48"/>
      <c r="R7" s="48"/>
      <c r="S7" s="165"/>
      <c r="T7" s="48"/>
      <c r="U7" s="48"/>
      <c r="V7" s="48"/>
      <c r="W7" s="48"/>
      <c r="X7" s="48"/>
      <c r="Y7" s="48"/>
      <c r="Z7" s="338"/>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row>
    <row r="8">
      <c r="A8" s="152">
        <v>2.0</v>
      </c>
      <c r="B8" s="365" t="s">
        <v>4875</v>
      </c>
      <c r="C8" s="47">
        <v>4.0</v>
      </c>
      <c r="D8" s="48"/>
      <c r="E8" s="47" t="s">
        <v>93</v>
      </c>
      <c r="F8" s="156" t="str">
        <f>HYPERLINK("https://www.liputan6.com/global/read/3871157/iran-akan-meluncurkan-satelit-buatan-sendiri-ke-orbit-dalam-waktu-dekat ","sumber")</f>
        <v>sumber</v>
      </c>
      <c r="G8" s="47" t="s">
        <v>33</v>
      </c>
      <c r="H8" s="47"/>
      <c r="I8" s="48"/>
      <c r="J8" s="48"/>
      <c r="K8" s="165"/>
      <c r="L8" s="48"/>
      <c r="M8" s="48"/>
      <c r="N8" s="48"/>
      <c r="O8" s="48"/>
      <c r="P8" s="48"/>
      <c r="Q8" s="48"/>
      <c r="R8" s="48"/>
      <c r="S8" s="165"/>
      <c r="T8" s="48"/>
      <c r="U8" s="48"/>
      <c r="V8" s="48"/>
      <c r="W8" s="48"/>
      <c r="X8" s="48"/>
      <c r="Y8" s="48"/>
      <c r="Z8" s="338"/>
      <c r="AA8" s="366"/>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row>
    <row r="9">
      <c r="A9" s="158">
        <v>1.0</v>
      </c>
      <c r="B9" s="351" t="s">
        <v>4876</v>
      </c>
      <c r="C9" s="44">
        <v>5.0</v>
      </c>
      <c r="D9" s="44">
        <v>4.0</v>
      </c>
      <c r="E9" s="44" t="s">
        <v>1985</v>
      </c>
      <c r="F9" s="162" t="str">
        <f>HYPERLINK("https://www.liputan6.com/news/read/3875510/abu-bakar-baasyir-dibebaskan-politis-atau-humanis ","sumber")</f>
        <v>sumber</v>
      </c>
      <c r="G9" s="162" t="str">
        <f>HYPERLINK("https://drive.google.com/open?id=1ULgZhR9z_5br-XWkxX5bCelXr-vHzTmN","lokasi")</f>
        <v>lokasi</v>
      </c>
      <c r="H9" s="44">
        <v>1363.0</v>
      </c>
      <c r="I9" s="44">
        <v>4.0</v>
      </c>
      <c r="J9" s="44">
        <v>4.0</v>
      </c>
      <c r="K9" s="164" t="s">
        <v>4877</v>
      </c>
      <c r="L9" s="44">
        <v>0.0</v>
      </c>
      <c r="M9" s="44">
        <v>0.0</v>
      </c>
      <c r="N9" s="166">
        <v>0.0</v>
      </c>
      <c r="O9" s="166">
        <v>0.0</v>
      </c>
      <c r="P9" s="44">
        <v>0.0</v>
      </c>
      <c r="Q9" s="44" t="s">
        <v>3183</v>
      </c>
      <c r="R9" s="44" t="s">
        <v>217</v>
      </c>
      <c r="S9" s="175"/>
      <c r="T9" s="44">
        <v>0.0</v>
      </c>
      <c r="U9" s="44">
        <v>0.0</v>
      </c>
      <c r="V9" s="44">
        <v>1.0</v>
      </c>
      <c r="W9" s="45"/>
      <c r="X9" s="45"/>
      <c r="Y9" s="45"/>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row>
    <row r="10">
      <c r="A10" s="158">
        <v>1.0</v>
      </c>
      <c r="B10" s="351" t="s">
        <v>345</v>
      </c>
      <c r="C10" s="44">
        <v>6.0</v>
      </c>
      <c r="D10" s="44">
        <v>2.0</v>
      </c>
      <c r="E10" s="44" t="s">
        <v>346</v>
      </c>
      <c r="F10" s="162" t="str">
        <f>HYPERLINK("https://www.cnnindonesia.com/nasional/20190125133616-12-363795/kontras-sebut-bebasnya-ahok-momentum-hapus-pasal-156a ","sumber")</f>
        <v>sumber</v>
      </c>
      <c r="G10" s="162" t="str">
        <f>HYPERLINK("https://drive.google.com/open?id=1Yq1cQdqMpEA5XW82kA1PtNeY98ZHxh62","lokasi")</f>
        <v>lokasi</v>
      </c>
      <c r="H10" s="44">
        <v>653.0</v>
      </c>
      <c r="I10" s="44">
        <v>4.0</v>
      </c>
      <c r="J10" s="44">
        <v>4.0</v>
      </c>
      <c r="K10" s="164" t="s">
        <v>4878</v>
      </c>
      <c r="L10" s="44">
        <v>0.0</v>
      </c>
      <c r="M10" s="44">
        <v>0.0</v>
      </c>
      <c r="N10" s="166">
        <v>0.0</v>
      </c>
      <c r="O10" s="166">
        <v>0.0</v>
      </c>
      <c r="P10" s="44">
        <v>0.0</v>
      </c>
      <c r="Q10" s="44">
        <v>0.0</v>
      </c>
      <c r="R10" s="44">
        <v>1.0</v>
      </c>
      <c r="S10" s="175"/>
      <c r="T10" s="44">
        <v>0.0</v>
      </c>
      <c r="U10" s="44">
        <v>0.0</v>
      </c>
      <c r="V10" s="44">
        <v>1.0</v>
      </c>
      <c r="W10" s="45"/>
      <c r="X10" s="45"/>
      <c r="Y10" s="45"/>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row>
    <row r="11">
      <c r="A11" s="167">
        <v>1.0</v>
      </c>
      <c r="B11" s="341" t="s">
        <v>4879</v>
      </c>
      <c r="C11" s="55">
        <v>7.0</v>
      </c>
      <c r="D11" s="55">
        <v>1.0</v>
      </c>
      <c r="E11" s="55" t="s">
        <v>346</v>
      </c>
      <c r="F11" s="171" t="str">
        <f>HYPERLINK("https://news.detik.com/berita/d-4371398/imam-istiqlal-tanya-calon-hakim-agung-soal-pernikahan-pemeluk-ahmadiyah ","sumber")</f>
        <v>sumber</v>
      </c>
      <c r="G11" s="55" t="s">
        <v>33</v>
      </c>
      <c r="H11" s="55">
        <v>2.0</v>
      </c>
      <c r="I11" s="55">
        <v>3.0</v>
      </c>
      <c r="J11" s="55">
        <v>4.0</v>
      </c>
      <c r="K11" s="172" t="s">
        <v>4880</v>
      </c>
      <c r="L11" s="55">
        <v>0.0</v>
      </c>
      <c r="M11" s="55">
        <v>0.0</v>
      </c>
      <c r="N11" s="173">
        <v>0.0</v>
      </c>
      <c r="O11" s="173">
        <v>0.0</v>
      </c>
      <c r="P11" s="55">
        <v>0.0</v>
      </c>
      <c r="Q11" s="55" t="s">
        <v>61</v>
      </c>
      <c r="R11" s="55" t="s">
        <v>61</v>
      </c>
      <c r="S11" s="174"/>
      <c r="T11" s="55">
        <v>0.0</v>
      </c>
      <c r="U11" s="55">
        <v>0.0</v>
      </c>
      <c r="V11" s="55">
        <v>1.0</v>
      </c>
      <c r="W11" s="46"/>
      <c r="X11" s="46"/>
      <c r="Y11" s="46"/>
      <c r="Z11" s="302"/>
      <c r="AA11" s="367"/>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row>
    <row r="12">
      <c r="A12" s="152">
        <v>2.0</v>
      </c>
      <c r="B12" s="365" t="s">
        <v>4881</v>
      </c>
      <c r="C12" s="47">
        <v>8.0</v>
      </c>
      <c r="D12" s="48"/>
      <c r="E12" s="47" t="s">
        <v>98</v>
      </c>
      <c r="F12" s="156" t="str">
        <f>HYPERLINK("https://news.okezone.com/read/2019/01/30/65/2011354/80-kampus-garap-produk-unggulan-daerah ","sumber")</f>
        <v>sumber</v>
      </c>
      <c r="G12" s="47" t="s">
        <v>33</v>
      </c>
      <c r="H12" s="47"/>
      <c r="I12" s="48"/>
      <c r="J12" s="48"/>
      <c r="K12" s="165"/>
      <c r="L12" s="48"/>
      <c r="M12" s="48"/>
      <c r="N12" s="48"/>
      <c r="O12" s="48"/>
      <c r="P12" s="48"/>
      <c r="Q12" s="48"/>
      <c r="R12" s="48"/>
      <c r="S12" s="165"/>
      <c r="T12" s="48"/>
      <c r="U12" s="48"/>
      <c r="V12" s="48"/>
      <c r="W12" s="48"/>
      <c r="X12" s="48"/>
      <c r="Y12" s="48"/>
      <c r="Z12" s="338"/>
      <c r="AA12" s="366"/>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row>
    <row r="13">
      <c r="A13" s="158">
        <v>1.0</v>
      </c>
      <c r="B13" s="351" t="s">
        <v>4882</v>
      </c>
      <c r="C13" s="44">
        <v>9.0</v>
      </c>
      <c r="D13" s="44">
        <v>4.0</v>
      </c>
      <c r="E13" s="268">
        <v>43740.0</v>
      </c>
      <c r="F13" s="162" t="str">
        <f>HYPERLINK("https://www.liputan6.com/regional/read/3891729/cegah-intoleransi-ciptakan-pemilu-bebas-golput ","sumber")</f>
        <v>sumber</v>
      </c>
      <c r="G13" s="162" t="str">
        <f>HYPERLINK("https://drive.google.com/open?id=1jBxOSzyuTM1wWJL6yvToWIlpvUhUna6r","lokasi")</f>
        <v>lokasi</v>
      </c>
      <c r="H13" s="44">
        <v>448.0</v>
      </c>
      <c r="I13" s="44">
        <v>3.0</v>
      </c>
      <c r="J13" s="44">
        <v>4.0</v>
      </c>
      <c r="K13" s="164" t="s">
        <v>4883</v>
      </c>
      <c r="L13" s="44">
        <v>0.0</v>
      </c>
      <c r="M13" s="44">
        <v>0.0</v>
      </c>
      <c r="N13" s="166">
        <v>0.0</v>
      </c>
      <c r="O13" s="166">
        <v>0.0</v>
      </c>
      <c r="P13" s="44">
        <v>0.0</v>
      </c>
      <c r="Q13" s="44" t="s">
        <v>4884</v>
      </c>
      <c r="R13" s="44" t="s">
        <v>192</v>
      </c>
      <c r="S13" s="175"/>
      <c r="T13" s="44">
        <v>0.0</v>
      </c>
      <c r="U13" s="44">
        <v>0.0</v>
      </c>
      <c r="V13" s="44">
        <v>1.0</v>
      </c>
      <c r="W13" s="45"/>
      <c r="X13" s="45"/>
      <c r="Y13" s="45"/>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row>
    <row r="14">
      <c r="A14" s="152">
        <v>2.0</v>
      </c>
      <c r="B14" s="365" t="s">
        <v>352</v>
      </c>
      <c r="C14" s="47">
        <v>10.0</v>
      </c>
      <c r="D14" s="48"/>
      <c r="E14" s="47" t="s">
        <v>113</v>
      </c>
      <c r="F14" s="156" t="str">
        <f>HYPERLINK("https://www.cnnindonesia.com/internasional/20190214200320-120-369418/iran-janji-balas-serangan-bom-tuding-as-israel-dalang-teror","sumber")</f>
        <v>sumber</v>
      </c>
      <c r="G14" s="47" t="s">
        <v>33</v>
      </c>
      <c r="H14" s="47"/>
      <c r="I14" s="48"/>
      <c r="J14" s="48"/>
      <c r="K14" s="165"/>
      <c r="L14" s="48"/>
      <c r="M14" s="48"/>
      <c r="N14" s="48"/>
      <c r="O14" s="48"/>
      <c r="P14" s="48"/>
      <c r="Q14" s="48"/>
      <c r="R14" s="48"/>
      <c r="S14" s="165"/>
      <c r="T14" s="48"/>
      <c r="U14" s="48"/>
      <c r="V14" s="48"/>
      <c r="W14" s="48"/>
      <c r="X14" s="48"/>
      <c r="Y14" s="48"/>
      <c r="Z14" s="338"/>
      <c r="AA14" s="366"/>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row>
    <row r="15">
      <c r="A15" s="158">
        <v>1.0</v>
      </c>
      <c r="B15" s="351" t="s">
        <v>4885</v>
      </c>
      <c r="C15" s="44">
        <v>11.0</v>
      </c>
      <c r="D15" s="44">
        <v>7.0</v>
      </c>
      <c r="E15" s="44" t="s">
        <v>469</v>
      </c>
      <c r="F15" s="162" t="s">
        <v>2198</v>
      </c>
      <c r="G15" s="44" t="s">
        <v>33</v>
      </c>
      <c r="H15" s="44">
        <v>234.0</v>
      </c>
      <c r="I15" s="44">
        <v>3.0</v>
      </c>
      <c r="J15" s="44">
        <v>4.0</v>
      </c>
      <c r="K15" s="164" t="s">
        <v>4886</v>
      </c>
      <c r="L15" s="44">
        <v>0.0</v>
      </c>
      <c r="M15" s="44">
        <v>0.0</v>
      </c>
      <c r="N15" s="166">
        <v>0.0</v>
      </c>
      <c r="O15" s="166">
        <v>0.0</v>
      </c>
      <c r="P15" s="44">
        <v>0.0</v>
      </c>
      <c r="Q15" s="44">
        <v>0.0</v>
      </c>
      <c r="R15" s="44">
        <v>1.0</v>
      </c>
      <c r="S15" s="175"/>
      <c r="T15" s="44">
        <v>0.0</v>
      </c>
      <c r="U15" s="44">
        <v>0.0</v>
      </c>
      <c r="V15" s="44">
        <v>1.0</v>
      </c>
      <c r="W15" s="45"/>
      <c r="X15" s="45"/>
      <c r="Y15" s="45"/>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row>
    <row r="16">
      <c r="A16" s="158">
        <v>1.0</v>
      </c>
      <c r="B16" s="351" t="s">
        <v>4887</v>
      </c>
      <c r="C16" s="44">
        <v>12.0</v>
      </c>
      <c r="D16" s="44">
        <v>3.0</v>
      </c>
      <c r="E16" s="44" t="s">
        <v>360</v>
      </c>
      <c r="F16" s="162" t="str">
        <f>HYPERLINK("https://nasional.okezone.com/read/2019/02/27/337/2023508/ini-penjelasan-kemendagri-soal-kolom-agama-dan-kepercayaan-pada-e-ktp","sumber")</f>
        <v>sumber</v>
      </c>
      <c r="G16" s="44" t="s">
        <v>33</v>
      </c>
      <c r="H16" s="44">
        <v>389.0</v>
      </c>
      <c r="I16" s="44">
        <v>4.0</v>
      </c>
      <c r="J16" s="44">
        <v>4.0</v>
      </c>
      <c r="K16" s="164" t="s">
        <v>4888</v>
      </c>
      <c r="L16" s="44">
        <v>0.0</v>
      </c>
      <c r="M16" s="44">
        <v>0.0</v>
      </c>
      <c r="N16" s="166">
        <v>0.0</v>
      </c>
      <c r="O16" s="166">
        <v>0.0</v>
      </c>
      <c r="P16" s="44">
        <v>0.0</v>
      </c>
      <c r="Q16" s="44">
        <v>0.0</v>
      </c>
      <c r="R16" s="44">
        <v>1.0</v>
      </c>
      <c r="S16" s="175"/>
      <c r="T16" s="44">
        <v>0.0</v>
      </c>
      <c r="U16" s="44">
        <v>0.0</v>
      </c>
      <c r="V16" s="44">
        <v>1.0</v>
      </c>
      <c r="W16" s="45"/>
      <c r="X16" s="45"/>
      <c r="Y16" s="45"/>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row>
    <row r="17">
      <c r="A17" s="158">
        <v>1.0</v>
      </c>
      <c r="B17" s="351" t="s">
        <v>4889</v>
      </c>
      <c r="C17" s="44">
        <v>13.0</v>
      </c>
      <c r="D17" s="44">
        <v>6.0</v>
      </c>
      <c r="E17" s="44" t="s">
        <v>2339</v>
      </c>
      <c r="F17" s="162" t="str">
        <f>HYPERLINK("https://regional.kompas.com/read/2019/02/28/15281891/pemkot-bandung-sudah-keluarkan-6-ktp-untuk-penghayat ","sumber")</f>
        <v>sumber</v>
      </c>
      <c r="G17" s="44" t="s">
        <v>33</v>
      </c>
      <c r="H17" s="44">
        <v>226.0</v>
      </c>
      <c r="I17" s="44">
        <v>4.0</v>
      </c>
      <c r="J17" s="44">
        <v>4.0</v>
      </c>
      <c r="K17" s="164" t="s">
        <v>4890</v>
      </c>
      <c r="L17" s="44">
        <v>0.0</v>
      </c>
      <c r="M17" s="44">
        <v>0.0</v>
      </c>
      <c r="N17" s="166">
        <v>0.0</v>
      </c>
      <c r="O17" s="166">
        <v>0.0</v>
      </c>
      <c r="P17" s="44">
        <v>0.0</v>
      </c>
      <c r="Q17" s="44">
        <v>0.0</v>
      </c>
      <c r="R17" s="44">
        <v>0.0</v>
      </c>
      <c r="S17" s="175"/>
      <c r="T17" s="44">
        <v>0.0</v>
      </c>
      <c r="U17" s="44">
        <v>0.0</v>
      </c>
      <c r="V17" s="44">
        <v>1.0</v>
      </c>
      <c r="W17" s="45"/>
      <c r="X17" s="45"/>
      <c r="Y17" s="45"/>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row>
    <row r="18">
      <c r="A18" s="158">
        <v>1.0</v>
      </c>
      <c r="B18" s="351" t="s">
        <v>4891</v>
      </c>
      <c r="C18" s="44">
        <v>14.0</v>
      </c>
      <c r="D18" s="44">
        <v>5.0</v>
      </c>
      <c r="E18" s="268">
        <v>43468.0</v>
      </c>
      <c r="F18" s="162" t="str">
        <f>HYPERLINK("https://tirto.id/sering-dipakai-untuk-mendiskriminasi-kata-kafir-perlu-dihapus-dibu","sumber")</f>
        <v>sumber</v>
      </c>
      <c r="G18" s="44" t="s">
        <v>33</v>
      </c>
      <c r="H18" s="44">
        <v>572.0</v>
      </c>
      <c r="I18" s="44">
        <v>3.0</v>
      </c>
      <c r="J18" s="44">
        <v>4.0</v>
      </c>
      <c r="K18" s="164" t="s">
        <v>4892</v>
      </c>
      <c r="L18" s="44">
        <v>0.0</v>
      </c>
      <c r="M18" s="44">
        <v>0.0</v>
      </c>
      <c r="N18" s="166">
        <v>0.0</v>
      </c>
      <c r="O18" s="166">
        <v>0.0</v>
      </c>
      <c r="P18" s="44">
        <v>0.0</v>
      </c>
      <c r="Q18" s="44" t="s">
        <v>4884</v>
      </c>
      <c r="R18" s="44" t="s">
        <v>192</v>
      </c>
      <c r="S18" s="175"/>
      <c r="T18" s="44">
        <v>0.0</v>
      </c>
      <c r="U18" s="44">
        <v>0.0</v>
      </c>
      <c r="V18" s="44">
        <v>1.0</v>
      </c>
      <c r="W18" s="45"/>
      <c r="X18" s="45"/>
      <c r="Y18" s="45"/>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row>
    <row r="19">
      <c r="A19" s="152">
        <v>2.0</v>
      </c>
      <c r="B19" s="365" t="s">
        <v>4893</v>
      </c>
      <c r="C19" s="47">
        <v>15.0</v>
      </c>
      <c r="D19" s="48"/>
      <c r="E19" s="280">
        <v>43558.0</v>
      </c>
      <c r="F19" s="156" t="str">
        <f>HYPERLINK("http://www.tribunnews.com/regional/2019/03/04/lima-hotspot-terpantau-di-wilayah-aceh ","sumber")</f>
        <v>sumber</v>
      </c>
      <c r="G19" s="47" t="s">
        <v>33</v>
      </c>
      <c r="H19" s="47"/>
      <c r="I19" s="48"/>
      <c r="J19" s="48"/>
      <c r="K19" s="165"/>
      <c r="L19" s="48"/>
      <c r="M19" s="48"/>
      <c r="N19" s="48"/>
      <c r="O19" s="48"/>
      <c r="P19" s="48"/>
      <c r="Q19" s="48"/>
      <c r="R19" s="48"/>
      <c r="S19" s="165"/>
      <c r="T19" s="48"/>
      <c r="U19" s="48"/>
      <c r="V19" s="48"/>
      <c r="W19" s="48"/>
      <c r="X19" s="48"/>
      <c r="Y19" s="48"/>
      <c r="Z19" s="338"/>
      <c r="AA19" s="366"/>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row>
    <row r="20">
      <c r="A20" s="158">
        <v>1.0</v>
      </c>
      <c r="B20" s="351" t="s">
        <v>4894</v>
      </c>
      <c r="C20" s="44">
        <v>16.0</v>
      </c>
      <c r="D20" s="44">
        <v>9.0</v>
      </c>
      <c r="E20" s="268">
        <v>43649.0</v>
      </c>
      <c r="F20" s="162" t="str">
        <f>HYPERLINK("https://nasional.republika.co.id/berita/nasional/politik/pnzjsy430/kpu-sampang-coret-ratusan-pengungsi-syiah-dari-dpt ","sumber")</f>
        <v>sumber</v>
      </c>
      <c r="G20" s="44" t="s">
        <v>33</v>
      </c>
      <c r="H20" s="44">
        <v>430.0</v>
      </c>
      <c r="I20" s="44">
        <v>4.0</v>
      </c>
      <c r="J20" s="44">
        <v>4.0</v>
      </c>
      <c r="K20" s="164" t="s">
        <v>4895</v>
      </c>
      <c r="L20" s="44">
        <v>0.0</v>
      </c>
      <c r="M20" s="44">
        <v>0.0</v>
      </c>
      <c r="N20" s="166">
        <v>0.0</v>
      </c>
      <c r="O20" s="166">
        <v>0.0</v>
      </c>
      <c r="P20" s="44">
        <v>0.0</v>
      </c>
      <c r="Q20" s="44">
        <v>0.0</v>
      </c>
      <c r="R20" s="44">
        <v>0.0</v>
      </c>
      <c r="S20" s="175"/>
      <c r="T20" s="44">
        <v>0.0</v>
      </c>
      <c r="U20" s="44">
        <v>0.0</v>
      </c>
      <c r="V20" s="44">
        <v>1.0</v>
      </c>
      <c r="W20" s="45"/>
      <c r="X20" s="45"/>
      <c r="Y20" s="45"/>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row>
    <row r="21">
      <c r="A21" s="152">
        <v>2.0</v>
      </c>
      <c r="B21" s="365" t="s">
        <v>4896</v>
      </c>
      <c r="C21" s="47">
        <v>17.0</v>
      </c>
      <c r="D21" s="47"/>
      <c r="E21" s="280">
        <v>43649.0</v>
      </c>
      <c r="F21" s="156" t="str">
        <f>HYPERLINK("https://tirto.id/sejarah-hindu-bali-upaya-menuntut-pengakuan-dari-negara-diDD","sumber")</f>
        <v>sumber</v>
      </c>
      <c r="G21" s="47" t="s">
        <v>33</v>
      </c>
      <c r="H21" s="47"/>
      <c r="I21" s="48"/>
      <c r="J21" s="48"/>
      <c r="K21" s="165"/>
      <c r="L21" s="48"/>
      <c r="M21" s="48"/>
      <c r="N21" s="48"/>
      <c r="O21" s="48"/>
      <c r="P21" s="48"/>
      <c r="Q21" s="48"/>
      <c r="R21" s="48"/>
      <c r="S21" s="165"/>
      <c r="T21" s="48"/>
      <c r="U21" s="48"/>
      <c r="V21" s="48"/>
      <c r="W21" s="48"/>
      <c r="X21" s="48"/>
      <c r="Y21" s="48"/>
      <c r="Z21" s="338"/>
      <c r="AA21" s="366"/>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row>
    <row r="22">
      <c r="A22" s="152">
        <v>2.0</v>
      </c>
      <c r="B22" s="365" t="s">
        <v>4897</v>
      </c>
      <c r="C22" s="47">
        <v>18.0</v>
      </c>
      <c r="D22" s="48"/>
      <c r="E22" s="280">
        <v>43680.0</v>
      </c>
      <c r="F22" s="156" t="str">
        <f>HYPERLINK("https://www.liputan6.com/global/read/3911854/ledakan-maut-targetkan-agenda-kumpul-politik-di-afghanistan-3-orang-tewas ","sumber")</f>
        <v>sumber</v>
      </c>
      <c r="G22" s="47" t="s">
        <v>33</v>
      </c>
      <c r="H22" s="47"/>
      <c r="I22" s="48"/>
      <c r="J22" s="48"/>
      <c r="K22" s="165"/>
      <c r="L22" s="48"/>
      <c r="M22" s="48"/>
      <c r="N22" s="48"/>
      <c r="O22" s="48"/>
      <c r="P22" s="48"/>
      <c r="Q22" s="48"/>
      <c r="R22" s="48"/>
      <c r="S22" s="165"/>
      <c r="T22" s="48"/>
      <c r="U22" s="48"/>
      <c r="V22" s="48"/>
      <c r="W22" s="48"/>
      <c r="X22" s="48"/>
      <c r="Y22" s="48"/>
      <c r="Z22" s="338"/>
      <c r="AA22" s="366"/>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row>
    <row r="23">
      <c r="A23" s="152">
        <v>2.0</v>
      </c>
      <c r="B23" s="365" t="s">
        <v>4077</v>
      </c>
      <c r="C23" s="47">
        <v>19.0</v>
      </c>
      <c r="D23" s="48"/>
      <c r="E23" s="280">
        <v>43711.0</v>
      </c>
      <c r="F23" s="156" t="str">
        <f>HYPERLINK("https://nasional.republika.co.id/berita/nasional/politik/po3ppr409/bawaslu-sampang-temukan-dua-wna-masuk-dpt-pemilu-2019 ","sumber")</f>
        <v>sumber</v>
      </c>
      <c r="G23" s="47" t="s">
        <v>33</v>
      </c>
      <c r="H23" s="47"/>
      <c r="I23" s="48"/>
      <c r="J23" s="48"/>
      <c r="K23" s="165"/>
      <c r="L23" s="48"/>
      <c r="M23" s="48"/>
      <c r="N23" s="48"/>
      <c r="O23" s="48"/>
      <c r="P23" s="48"/>
      <c r="Q23" s="48"/>
      <c r="R23" s="48"/>
      <c r="S23" s="165"/>
      <c r="T23" s="48"/>
      <c r="U23" s="48"/>
      <c r="V23" s="48"/>
      <c r="W23" s="48"/>
      <c r="X23" s="48"/>
      <c r="Y23" s="48"/>
      <c r="Z23" s="338"/>
      <c r="AA23" s="366"/>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row>
    <row r="24">
      <c r="A24" s="152">
        <v>2.0</v>
      </c>
      <c r="B24" s="365" t="s">
        <v>4898</v>
      </c>
      <c r="C24" s="47">
        <v>20.0</v>
      </c>
      <c r="D24" s="48"/>
      <c r="E24" s="47" t="s">
        <v>153</v>
      </c>
      <c r="F24" s="156" t="str">
        <f>HYPERLINK("https://dunia.tempo.co/read/1183917/pertama-kali-presiden-iran-hassan-rouhani-akan-kunjungi-irak/full&amp;view=ok","sumber")</f>
        <v>sumber</v>
      </c>
      <c r="G24" s="47" t="s">
        <v>33</v>
      </c>
      <c r="H24" s="47"/>
      <c r="I24" s="48"/>
      <c r="J24" s="48"/>
      <c r="K24" s="165"/>
      <c r="L24" s="48"/>
      <c r="M24" s="48"/>
      <c r="N24" s="48"/>
      <c r="O24" s="48"/>
      <c r="P24" s="48"/>
      <c r="Q24" s="48"/>
      <c r="R24" s="48"/>
      <c r="S24" s="165"/>
      <c r="T24" s="48"/>
      <c r="U24" s="48"/>
      <c r="V24" s="48"/>
      <c r="W24" s="48"/>
      <c r="X24" s="48"/>
      <c r="Y24" s="48"/>
      <c r="Z24" s="338"/>
      <c r="AA24" s="366"/>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row>
    <row r="25">
      <c r="A25" s="158">
        <v>1.0</v>
      </c>
      <c r="B25" s="351" t="s">
        <v>2016</v>
      </c>
      <c r="C25" s="44">
        <v>21.0</v>
      </c>
      <c r="D25" s="44">
        <v>7.0</v>
      </c>
      <c r="E25" s="44" t="s">
        <v>523</v>
      </c>
      <c r="F25" s="162" t="str">
        <f>HYPERLINK("http://www.tribunnews.com/australia-plus/2019/03/19/penghayat-kepercayaan-indonesia-ingin-diakui-lebih-dari-kolom-ktp","sumber")</f>
        <v>sumber</v>
      </c>
      <c r="G25" s="44" t="s">
        <v>33</v>
      </c>
      <c r="H25" s="44">
        <v>271.0</v>
      </c>
      <c r="I25" s="44">
        <v>3.0</v>
      </c>
      <c r="J25" s="44">
        <v>4.0</v>
      </c>
      <c r="K25" s="164" t="s">
        <v>4899</v>
      </c>
      <c r="L25" s="44">
        <v>0.0</v>
      </c>
      <c r="M25" s="44">
        <v>0.0</v>
      </c>
      <c r="N25" s="166">
        <v>0.0</v>
      </c>
      <c r="O25" s="166">
        <v>0.0</v>
      </c>
      <c r="P25" s="44">
        <v>0.0</v>
      </c>
      <c r="Q25" s="44" t="s">
        <v>4900</v>
      </c>
      <c r="R25" s="44" t="s">
        <v>192</v>
      </c>
      <c r="S25" s="175"/>
      <c r="T25" s="44">
        <v>0.0</v>
      </c>
      <c r="U25" s="44">
        <v>0.0</v>
      </c>
      <c r="V25" s="44">
        <v>1.0</v>
      </c>
      <c r="W25" s="45"/>
      <c r="X25" s="45"/>
      <c r="Y25" s="45"/>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row>
    <row r="26">
      <c r="A26" s="152">
        <v>2.0</v>
      </c>
      <c r="B26" s="365" t="s">
        <v>4901</v>
      </c>
      <c r="C26" s="47">
        <v>22.0</v>
      </c>
      <c r="D26" s="48"/>
      <c r="E26" s="47" t="s">
        <v>525</v>
      </c>
      <c r="F26" s="156" t="str">
        <f>HYPERLINK("https://www.cnnindonesia.com/nasional/20190322173442-20-379850/jumlah-siswa-yang-lulus-snmptn-2019-lebih-sedikit-dari-2018 ","sumber")</f>
        <v>sumber</v>
      </c>
      <c r="G26" s="47" t="s">
        <v>33</v>
      </c>
      <c r="H26" s="47"/>
      <c r="I26" s="48"/>
      <c r="J26" s="48"/>
      <c r="K26" s="165"/>
      <c r="L26" s="48"/>
      <c r="M26" s="48"/>
      <c r="N26" s="48"/>
      <c r="O26" s="48"/>
      <c r="P26" s="48"/>
      <c r="Q26" s="48"/>
      <c r="R26" s="48"/>
      <c r="S26" s="165"/>
      <c r="T26" s="48"/>
      <c r="U26" s="48"/>
      <c r="V26" s="48"/>
      <c r="W26" s="48"/>
      <c r="X26" s="48"/>
      <c r="Y26" s="48"/>
      <c r="Z26" s="338"/>
      <c r="AA26" s="366"/>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row>
    <row r="27">
      <c r="A27" s="167">
        <v>1.0</v>
      </c>
      <c r="B27" s="341" t="s">
        <v>4902</v>
      </c>
      <c r="C27" s="55">
        <v>23.0</v>
      </c>
      <c r="D27" s="55">
        <v>6.0</v>
      </c>
      <c r="E27" s="55" t="s">
        <v>159</v>
      </c>
      <c r="F27" s="171" t="str">
        <f>HYPERLINK("https://nasional.kompas.com/read/2019/03/12/09305941/partai-partai-seharusnya-juga-diberi-kesempatan-debat-untuk-adu-gagasan","sumber")</f>
        <v>sumber</v>
      </c>
      <c r="G27" s="55" t="s">
        <v>33</v>
      </c>
      <c r="H27" s="55">
        <v>1.0</v>
      </c>
      <c r="I27" s="55">
        <v>3.0</v>
      </c>
      <c r="J27" s="55">
        <v>4.0</v>
      </c>
      <c r="K27" s="172" t="s">
        <v>4903</v>
      </c>
      <c r="L27" s="55">
        <v>0.0</v>
      </c>
      <c r="M27" s="55">
        <v>0.0</v>
      </c>
      <c r="N27" s="173">
        <v>0.0</v>
      </c>
      <c r="O27" s="173">
        <v>0.0</v>
      </c>
      <c r="P27" s="55">
        <v>0.0</v>
      </c>
      <c r="Q27" s="55">
        <v>0.0</v>
      </c>
      <c r="R27" s="55">
        <v>1.0</v>
      </c>
      <c r="S27" s="174"/>
      <c r="T27" s="55">
        <v>0.0</v>
      </c>
      <c r="U27" s="55">
        <v>0.0</v>
      </c>
      <c r="V27" s="55">
        <v>1.0</v>
      </c>
      <c r="W27" s="46"/>
      <c r="X27" s="46"/>
      <c r="Y27" s="46"/>
      <c r="Z27" s="302"/>
      <c r="AA27" s="367"/>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row>
    <row r="28">
      <c r="A28" s="152">
        <v>2.0</v>
      </c>
      <c r="B28" s="365" t="s">
        <v>4904</v>
      </c>
      <c r="C28" s="47">
        <v>24.0</v>
      </c>
      <c r="D28" s="48"/>
      <c r="E28" s="280">
        <v>43469.0</v>
      </c>
      <c r="F28" s="156" t="str">
        <f>HYPERLINK("https://www.liputan6.com/pilpres/read/3931621/kpu-akan-gelar-doa-bersama-usai-debat-kelima-pilpres-2019 https://www.liputan6.com/pilpres/read/3931621/kpu-akan-gelar-doa-bersama-usai-debat-kelima-pilpres-2019 ","sumber")</f>
        <v>sumber</v>
      </c>
      <c r="G28" s="47" t="s">
        <v>33</v>
      </c>
      <c r="H28" s="48"/>
      <c r="I28" s="48"/>
      <c r="J28" s="48"/>
      <c r="K28" s="165"/>
      <c r="L28" s="48"/>
      <c r="M28" s="48"/>
      <c r="N28" s="48"/>
      <c r="O28" s="48"/>
      <c r="P28" s="48"/>
      <c r="Q28" s="48"/>
      <c r="R28" s="48"/>
      <c r="S28" s="165"/>
      <c r="T28" s="48"/>
      <c r="U28" s="48"/>
      <c r="V28" s="48"/>
      <c r="W28" s="48"/>
      <c r="X28" s="48"/>
      <c r="Y28" s="48"/>
      <c r="Z28" s="338"/>
      <c r="AA28" s="366"/>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row>
    <row r="29" ht="15.75" customHeight="1">
      <c r="A29" s="152">
        <v>2.0</v>
      </c>
      <c r="B29" s="365" t="s">
        <v>2945</v>
      </c>
      <c r="C29" s="47">
        <v>25.0</v>
      </c>
      <c r="D29" s="48"/>
      <c r="E29" s="280">
        <v>43500.0</v>
      </c>
      <c r="F29" s="156" t="str">
        <f>HYPERLINK("https://nasional.republika.co.id/berita/nasional/politik/ppc1jb430/kpu-undang-seluruh-ketum-parpol-hadiri-debat-terakhir ","sumber")</f>
        <v>sumber</v>
      </c>
      <c r="G29" s="47" t="s">
        <v>33</v>
      </c>
      <c r="H29" s="48"/>
      <c r="I29" s="48"/>
      <c r="J29" s="48"/>
      <c r="K29" s="165"/>
      <c r="L29" s="48"/>
      <c r="M29" s="48"/>
      <c r="N29" s="48"/>
      <c r="O29" s="48"/>
      <c r="P29" s="48"/>
      <c r="Q29" s="48"/>
      <c r="R29" s="48"/>
      <c r="S29" s="165"/>
      <c r="T29" s="48"/>
      <c r="U29" s="48"/>
      <c r="V29" s="48"/>
      <c r="W29" s="48"/>
      <c r="X29" s="48"/>
      <c r="Y29" s="48"/>
      <c r="Z29" s="338"/>
      <c r="AA29" s="366"/>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row>
    <row r="30">
      <c r="A30" s="152">
        <v>2.0</v>
      </c>
      <c r="B30" s="365" t="s">
        <v>4905</v>
      </c>
      <c r="C30" s="47">
        <v>26.0</v>
      </c>
      <c r="D30" s="48"/>
      <c r="E30" s="280">
        <v>43500.0</v>
      </c>
      <c r="F30" s="156" t="str">
        <f>HYPERLINK("http://www.tribunnews.com/nasional/2019/04/02/berita-hoax-naik-tajam-jelang-pemilu ","sumber")</f>
        <v>sumber</v>
      </c>
      <c r="G30" s="47" t="s">
        <v>33</v>
      </c>
      <c r="H30" s="48"/>
      <c r="I30" s="48"/>
      <c r="J30" s="48"/>
      <c r="K30" s="165"/>
      <c r="L30" s="48"/>
      <c r="M30" s="48"/>
      <c r="N30" s="48"/>
      <c r="O30" s="48"/>
      <c r="P30" s="48"/>
      <c r="Q30" s="48"/>
      <c r="R30" s="48"/>
      <c r="S30" s="165"/>
      <c r="T30" s="48"/>
      <c r="U30" s="48"/>
      <c r="V30" s="48"/>
      <c r="W30" s="48"/>
      <c r="X30" s="48"/>
      <c r="Y30" s="48"/>
      <c r="Z30" s="338"/>
      <c r="AA30" s="366"/>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row>
    <row r="31">
      <c r="A31" s="167">
        <v>1.0</v>
      </c>
      <c r="B31" s="341" t="s">
        <v>4906</v>
      </c>
      <c r="C31" s="55">
        <v>27.0</v>
      </c>
      <c r="D31" s="55">
        <v>3.0</v>
      </c>
      <c r="E31" s="344">
        <v>43528.0</v>
      </c>
      <c r="F31" s="171" t="str">
        <f>HYPERLINK("https://news.okezone.com/read/2019/04/03/337/2038539/penghayat-kepercayaan-masih-sulit-revisi-kolom-agama-di-ktp ","sumber")</f>
        <v>sumber</v>
      </c>
      <c r="G31" s="55" t="s">
        <v>33</v>
      </c>
      <c r="H31" s="55">
        <v>3.0</v>
      </c>
      <c r="I31" s="55">
        <v>4.0</v>
      </c>
      <c r="J31" s="55">
        <v>4.0</v>
      </c>
      <c r="K31" s="172" t="s">
        <v>4907</v>
      </c>
      <c r="L31" s="55">
        <v>0.0</v>
      </c>
      <c r="M31" s="55">
        <v>0.0</v>
      </c>
      <c r="N31" s="173">
        <v>0.0</v>
      </c>
      <c r="O31" s="173">
        <v>0.0</v>
      </c>
      <c r="P31" s="55">
        <v>0.0</v>
      </c>
      <c r="Q31" s="55" t="s">
        <v>4908</v>
      </c>
      <c r="R31" s="55" t="s">
        <v>392</v>
      </c>
      <c r="S31" s="174"/>
      <c r="T31" s="55">
        <v>0.0</v>
      </c>
      <c r="U31" s="55">
        <v>0.0</v>
      </c>
      <c r="V31" s="55">
        <v>1.0</v>
      </c>
      <c r="W31" s="46"/>
      <c r="X31" s="46"/>
      <c r="Y31" s="46"/>
      <c r="Z31" s="302"/>
      <c r="AA31" s="367"/>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row>
    <row r="32">
      <c r="A32" s="152">
        <v>2.0</v>
      </c>
      <c r="B32" s="365" t="s">
        <v>4909</v>
      </c>
      <c r="C32" s="47">
        <v>28.0</v>
      </c>
      <c r="D32" s="48"/>
      <c r="E32" s="280">
        <v>43650.0</v>
      </c>
      <c r="F32" s="156" t="str">
        <f>HYPERLINK("http://www.tribunnews.com/bisnis/2019/04/07/punya-potensi-sda-melimpah-bppt-akan-genjot-produktivitas-kopi-dan-atsiri-aceh ","sumber")</f>
        <v>sumber</v>
      </c>
      <c r="G32" s="47" t="s">
        <v>33</v>
      </c>
      <c r="H32" s="48"/>
      <c r="I32" s="48"/>
      <c r="J32" s="48"/>
      <c r="K32" s="165"/>
      <c r="L32" s="48"/>
      <c r="M32" s="48"/>
      <c r="N32" s="48"/>
      <c r="O32" s="48"/>
      <c r="P32" s="48"/>
      <c r="Q32" s="48"/>
      <c r="R32" s="48"/>
      <c r="S32" s="165"/>
      <c r="T32" s="48"/>
      <c r="U32" s="48"/>
      <c r="V32" s="48"/>
      <c r="W32" s="48"/>
      <c r="X32" s="48"/>
      <c r="Y32" s="48"/>
      <c r="Z32" s="338"/>
      <c r="AA32" s="366"/>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row>
    <row r="33">
      <c r="A33" s="152">
        <v>2.0</v>
      </c>
      <c r="B33" s="365" t="s">
        <v>4098</v>
      </c>
      <c r="C33" s="47">
        <v>29.0</v>
      </c>
      <c r="D33" s="48"/>
      <c r="E33" s="280">
        <v>43681.0</v>
      </c>
      <c r="F33" s="156" t="str">
        <f>HYPERLINK("https://edukasi.kompas.com/read/2019/04/08/21220471/menumbuhkan-startup-kampus-lewat-cppbt-boot-camp-2019 ","sumber")</f>
        <v>sumber</v>
      </c>
      <c r="G33" s="47" t="s">
        <v>33</v>
      </c>
      <c r="H33" s="48"/>
      <c r="I33" s="48"/>
      <c r="J33" s="48"/>
      <c r="K33" s="165"/>
      <c r="L33" s="48"/>
      <c r="M33" s="48"/>
      <c r="N33" s="48"/>
      <c r="O33" s="48"/>
      <c r="P33" s="48"/>
      <c r="Q33" s="48"/>
      <c r="R33" s="48"/>
      <c r="S33" s="165"/>
      <c r="T33" s="48"/>
      <c r="U33" s="48"/>
      <c r="V33" s="48"/>
      <c r="W33" s="48"/>
      <c r="X33" s="48"/>
      <c r="Y33" s="48"/>
      <c r="Z33" s="338"/>
      <c r="AA33" s="366"/>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row>
    <row r="34">
      <c r="A34" s="152">
        <v>2.0</v>
      </c>
      <c r="B34" s="365" t="s">
        <v>2038</v>
      </c>
      <c r="C34" s="47">
        <v>30.0</v>
      </c>
      <c r="D34" s="48"/>
      <c r="E34" s="280">
        <v>43681.0</v>
      </c>
      <c r="F34" s="156" t="str">
        <f>HYPERLINK("https://www.tribunnews.com/internasional/2019/04/08/as-akan-masukkan-garda-revolusi-iran-dalam-daftar-hitam-kelompok-teroris","sumber")</f>
        <v>sumber</v>
      </c>
      <c r="G34" s="47" t="s">
        <v>33</v>
      </c>
      <c r="H34" s="48"/>
      <c r="I34" s="48"/>
      <c r="J34" s="48"/>
      <c r="K34" s="165"/>
      <c r="L34" s="47"/>
      <c r="M34" s="48"/>
      <c r="N34" s="48"/>
      <c r="O34" s="48"/>
      <c r="P34" s="48"/>
      <c r="Q34" s="48"/>
      <c r="R34" s="48"/>
      <c r="S34" s="165"/>
      <c r="T34" s="48"/>
      <c r="U34" s="48"/>
      <c r="V34" s="48"/>
      <c r="W34" s="48"/>
      <c r="X34" s="48"/>
      <c r="Y34" s="48"/>
      <c r="Z34" s="338"/>
      <c r="AA34" s="366"/>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row>
    <row r="35">
      <c r="A35" s="158">
        <v>1.0</v>
      </c>
      <c r="B35" s="351" t="s">
        <v>4910</v>
      </c>
      <c r="C35" s="44">
        <v>31.0</v>
      </c>
      <c r="D35" s="44">
        <v>8.0</v>
      </c>
      <c r="E35" s="268">
        <v>43742.0</v>
      </c>
      <c r="F35" s="162" t="str">
        <f>HYPERLINK("https://www.suara.com/news/2019/04/10/073500/yahudi-ortodoks-di-jakarta-hidup-melawan-stigma-meretas-jalan-pengakuan ","sumber")</f>
        <v>sumber</v>
      </c>
      <c r="G35" s="44" t="s">
        <v>33</v>
      </c>
      <c r="H35" s="44">
        <v>2375.0</v>
      </c>
      <c r="I35" s="44">
        <v>2.0</v>
      </c>
      <c r="J35" s="44">
        <v>4.0</v>
      </c>
      <c r="K35" s="164" t="s">
        <v>4911</v>
      </c>
      <c r="L35" s="44">
        <v>0.0</v>
      </c>
      <c r="M35" s="44">
        <v>0.0</v>
      </c>
      <c r="N35" s="166">
        <v>0.0</v>
      </c>
      <c r="O35" s="166">
        <v>0.0</v>
      </c>
      <c r="P35" s="44">
        <v>0.0</v>
      </c>
      <c r="Q35" s="44" t="s">
        <v>191</v>
      </c>
      <c r="R35" s="44" t="s">
        <v>192</v>
      </c>
      <c r="S35" s="175"/>
      <c r="T35" s="44">
        <v>0.0</v>
      </c>
      <c r="U35" s="44">
        <v>0.0</v>
      </c>
      <c r="V35" s="44">
        <v>0.0</v>
      </c>
      <c r="W35" s="45"/>
      <c r="X35" s="45"/>
      <c r="Y35" s="45"/>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row>
    <row r="36">
      <c r="A36" s="152">
        <v>2.0</v>
      </c>
      <c r="B36" s="365" t="s">
        <v>4912</v>
      </c>
      <c r="C36" s="47">
        <v>32.0</v>
      </c>
      <c r="D36" s="48"/>
      <c r="E36" s="280">
        <v>43742.0</v>
      </c>
      <c r="F36" s="156" t="str">
        <f>HYPERLINK("https://kolom.tempo.co/read/1194092/pentingnya-ratifikasi-konvensi-anti-penghilangan-paksa/full&amp;view=ok","sumber")</f>
        <v>sumber</v>
      </c>
      <c r="G36" s="47" t="s">
        <v>33</v>
      </c>
      <c r="H36" s="48"/>
      <c r="I36" s="48"/>
      <c r="J36" s="48"/>
      <c r="K36" s="165"/>
      <c r="L36" s="48"/>
      <c r="M36" s="48"/>
      <c r="N36" s="48"/>
      <c r="O36" s="48"/>
      <c r="P36" s="48"/>
      <c r="Q36" s="48"/>
      <c r="R36" s="48"/>
      <c r="S36" s="165"/>
      <c r="T36" s="48"/>
      <c r="U36" s="48"/>
      <c r="V36" s="48"/>
      <c r="W36" s="48"/>
      <c r="X36" s="48"/>
      <c r="Y36" s="48"/>
      <c r="Z36" s="338"/>
      <c r="AA36" s="366"/>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row>
    <row r="37">
      <c r="A37" s="152">
        <v>2.0</v>
      </c>
      <c r="B37" s="365" t="s">
        <v>4913</v>
      </c>
      <c r="C37" s="47">
        <v>33.0</v>
      </c>
      <c r="D37" s="48"/>
      <c r="E37" s="280">
        <v>43803.0</v>
      </c>
      <c r="F37" s="156" t="str">
        <f>HYPERLINK("https://www.liputan6.com/global/read/3940380/bom-meledak-di-pasar-pakistan-18-orang-dilaporkan-tewas ","sumber")</f>
        <v>sumber</v>
      </c>
      <c r="G37" s="47" t="s">
        <v>33</v>
      </c>
      <c r="H37" s="48"/>
      <c r="I37" s="48"/>
      <c r="J37" s="48"/>
      <c r="K37" s="165"/>
      <c r="L37" s="48"/>
      <c r="M37" s="48"/>
      <c r="N37" s="48"/>
      <c r="O37" s="48"/>
      <c r="P37" s="48"/>
      <c r="Q37" s="48"/>
      <c r="R37" s="48"/>
      <c r="S37" s="165"/>
      <c r="T37" s="48"/>
      <c r="U37" s="48"/>
      <c r="V37" s="48"/>
      <c r="W37" s="48"/>
      <c r="X37" s="48"/>
      <c r="Y37" s="48"/>
      <c r="Z37" s="338"/>
      <c r="AA37" s="366"/>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row>
    <row r="38">
      <c r="A38" s="158">
        <v>1.0</v>
      </c>
      <c r="B38" s="351" t="s">
        <v>4914</v>
      </c>
      <c r="C38" s="44">
        <v>34.0</v>
      </c>
      <c r="D38" s="44">
        <v>5.0</v>
      </c>
      <c r="E38" s="44" t="s">
        <v>766</v>
      </c>
      <c r="F38" s="162" t="str">
        <f>HYPERLINK("https://tirto.id/perumahan-khusus-muslim-dan-ancaman-toleransi-di-yogyakarta-dl1D ","sumber")</f>
        <v>sumber</v>
      </c>
      <c r="G38" s="44" t="s">
        <v>33</v>
      </c>
      <c r="H38" s="44">
        <v>1848.0</v>
      </c>
      <c r="I38" s="44">
        <v>4.0</v>
      </c>
      <c r="J38" s="44">
        <v>4.0</v>
      </c>
      <c r="K38" s="164" t="s">
        <v>4915</v>
      </c>
      <c r="L38" s="44">
        <v>0.0</v>
      </c>
      <c r="M38" s="44">
        <v>0.0</v>
      </c>
      <c r="N38" s="166">
        <v>0.0</v>
      </c>
      <c r="O38" s="166">
        <v>0.0</v>
      </c>
      <c r="P38" s="44">
        <v>0.0</v>
      </c>
      <c r="Q38" s="44" t="s">
        <v>4916</v>
      </c>
      <c r="R38" s="44" t="s">
        <v>4917</v>
      </c>
      <c r="S38" s="175"/>
      <c r="T38" s="44">
        <v>0.0</v>
      </c>
      <c r="U38" s="44">
        <v>0.0</v>
      </c>
      <c r="V38" s="44">
        <v>1.0</v>
      </c>
      <c r="W38" s="45"/>
      <c r="X38" s="45"/>
      <c r="Y38" s="45"/>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row>
    <row r="39">
      <c r="A39" s="152">
        <v>2.0</v>
      </c>
      <c r="B39" s="365" t="s">
        <v>4918</v>
      </c>
      <c r="C39" s="47">
        <v>35.0</v>
      </c>
      <c r="D39" s="48"/>
      <c r="E39" s="47" t="s">
        <v>548</v>
      </c>
      <c r="F39" s="156" t="str">
        <f>HYPERLINK("https://tirto.id/pasang-surut-karier-kanye-west-yang-mengilhami-sekte-yeezianity-dlTP ","sumber")</f>
        <v>sumber</v>
      </c>
      <c r="G39" s="47" t="s">
        <v>33</v>
      </c>
      <c r="H39" s="48"/>
      <c r="I39" s="48"/>
      <c r="J39" s="48"/>
      <c r="K39" s="165"/>
      <c r="L39" s="48"/>
      <c r="M39" s="48"/>
      <c r="N39" s="48"/>
      <c r="O39" s="48"/>
      <c r="P39" s="48"/>
      <c r="Q39" s="48"/>
      <c r="R39" s="48"/>
      <c r="S39" s="165"/>
      <c r="T39" s="48"/>
      <c r="U39" s="48"/>
      <c r="V39" s="48"/>
      <c r="W39" s="48"/>
      <c r="X39" s="48"/>
      <c r="Y39" s="48"/>
      <c r="Z39" s="338"/>
      <c r="AA39" s="366"/>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row>
    <row r="40">
      <c r="A40" s="158">
        <v>1.0</v>
      </c>
      <c r="B40" s="351" t="s">
        <v>4919</v>
      </c>
      <c r="C40" s="44">
        <v>36.0</v>
      </c>
      <c r="D40" s="44">
        <v>1.0</v>
      </c>
      <c r="E40" s="44" t="s">
        <v>197</v>
      </c>
      <c r="F40" s="162" t="str">
        <f>HYPERLINK("https://news.detik.com/berita-jawa-tengah/d-4523077/pertama-kalinya-sedulur-sikep-akan-catat-pernikahan-ke-disdukcapil-kudus ","sumber")</f>
        <v>sumber</v>
      </c>
      <c r="G40" s="44" t="s">
        <v>33</v>
      </c>
      <c r="H40" s="44">
        <v>300.0</v>
      </c>
      <c r="I40" s="44">
        <v>4.0</v>
      </c>
      <c r="J40" s="44">
        <v>4.0</v>
      </c>
      <c r="K40" s="164" t="s">
        <v>4920</v>
      </c>
      <c r="L40" s="44">
        <v>0.0</v>
      </c>
      <c r="M40" s="44">
        <v>0.0</v>
      </c>
      <c r="N40" s="166">
        <v>0.0</v>
      </c>
      <c r="O40" s="166">
        <v>0.0</v>
      </c>
      <c r="P40" s="44">
        <v>0.0</v>
      </c>
      <c r="Q40" s="44" t="s">
        <v>210</v>
      </c>
      <c r="R40" s="44" t="s">
        <v>100</v>
      </c>
      <c r="S40" s="175"/>
      <c r="T40" s="44">
        <v>0.0</v>
      </c>
      <c r="U40" s="44">
        <v>0.0</v>
      </c>
      <c r="V40" s="44">
        <v>1.0</v>
      </c>
      <c r="W40" s="45"/>
      <c r="X40" s="45"/>
      <c r="Y40" s="45"/>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row>
    <row r="41">
      <c r="A41" s="152">
        <v>2.0</v>
      </c>
      <c r="B41" s="365" t="s">
        <v>4104</v>
      </c>
      <c r="C41" s="47">
        <v>37.0</v>
      </c>
      <c r="D41" s="48"/>
      <c r="E41" s="47" t="s">
        <v>197</v>
      </c>
      <c r="F41" s="156" t="str">
        <f>HYPERLINK("http://www.tribunnews.com/internasional/2019/04/24/pbb-desak-arab-saudi-menunda-semua-rencana-pelaksanaan-hukuman-mati ","sumber")</f>
        <v>sumber</v>
      </c>
      <c r="G41" s="47" t="s">
        <v>33</v>
      </c>
      <c r="H41" s="48"/>
      <c r="I41" s="48"/>
      <c r="J41" s="47"/>
      <c r="K41" s="165"/>
      <c r="L41" s="48"/>
      <c r="M41" s="48"/>
      <c r="N41" s="48"/>
      <c r="O41" s="48"/>
      <c r="P41" s="48"/>
      <c r="Q41" s="48"/>
      <c r="R41" s="48"/>
      <c r="S41" s="165"/>
      <c r="T41" s="48"/>
      <c r="U41" s="48"/>
      <c r="V41" s="48"/>
      <c r="W41" s="48"/>
      <c r="X41" s="48"/>
      <c r="Y41" s="48"/>
      <c r="Z41" s="338"/>
      <c r="AA41" s="366"/>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row>
    <row r="42">
      <c r="A42" s="152">
        <v>2.0</v>
      </c>
      <c r="B42" s="365" t="s">
        <v>4921</v>
      </c>
      <c r="C42" s="47">
        <v>38.0</v>
      </c>
      <c r="D42" s="48"/>
      <c r="E42" s="47" t="s">
        <v>386</v>
      </c>
      <c r="F42" s="156" t="str">
        <f>HYPERLINK("https://internasional.republika.co.id/berita/internasional/asia/pqpm32382/polisi-india-geledah-rumah-terduga-anggota-kelompok-teror ","sumber")</f>
        <v>sumber</v>
      </c>
      <c r="G42" s="47" t="s">
        <v>33</v>
      </c>
      <c r="H42" s="48"/>
      <c r="I42" s="48"/>
      <c r="J42" s="48"/>
      <c r="K42" s="165"/>
      <c r="L42" s="48"/>
      <c r="M42" s="48"/>
      <c r="N42" s="48"/>
      <c r="O42" s="48"/>
      <c r="P42" s="48"/>
      <c r="Q42" s="48"/>
      <c r="R42" s="48"/>
      <c r="S42" s="165"/>
      <c r="T42" s="48"/>
      <c r="U42" s="48"/>
      <c r="V42" s="48"/>
      <c r="W42" s="48"/>
      <c r="X42" s="48"/>
      <c r="Y42" s="48"/>
      <c r="Z42" s="338"/>
      <c r="AA42" s="366"/>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row>
    <row r="43">
      <c r="A43" s="152">
        <v>2.0</v>
      </c>
      <c r="B43" s="365" t="s">
        <v>4922</v>
      </c>
      <c r="C43" s="47">
        <v>39.0</v>
      </c>
      <c r="D43" s="48"/>
      <c r="E43" s="280">
        <v>43529.0</v>
      </c>
      <c r="F43" s="156" t="str">
        <f>HYPERLINK("https://news.okezone.com/read/2019/05/03/18/2050927/usai-penggal-37-orang-teroris-arab-saudi-didesak-untuk-hentikan-eksekusi-massal ","sumber")</f>
        <v>sumber</v>
      </c>
      <c r="G43" s="47" t="s">
        <v>33</v>
      </c>
      <c r="H43" s="48"/>
      <c r="I43" s="48"/>
      <c r="J43" s="48"/>
      <c r="K43" s="165"/>
      <c r="L43" s="48"/>
      <c r="M43" s="48"/>
      <c r="N43" s="48"/>
      <c r="O43" s="48"/>
      <c r="P43" s="48"/>
      <c r="Q43" s="48"/>
      <c r="R43" s="48"/>
      <c r="S43" s="165"/>
      <c r="T43" s="48"/>
      <c r="U43" s="48"/>
      <c r="V43" s="48"/>
      <c r="W43" s="48"/>
      <c r="X43" s="48"/>
      <c r="Y43" s="48"/>
      <c r="Z43" s="338"/>
      <c r="AA43" s="366"/>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row>
    <row r="44">
      <c r="A44" s="152">
        <v>2.0</v>
      </c>
      <c r="B44" s="365" t="s">
        <v>4923</v>
      </c>
      <c r="C44" s="47">
        <v>40.0</v>
      </c>
      <c r="D44" s="48"/>
      <c r="E44" s="47" t="s">
        <v>1998</v>
      </c>
      <c r="F44" s="156" t="str">
        <f>HYPERLINK("https://regional.kompas.com/read/2019/05/15/07323531/bocor-jantung-sejak-lahir-bayi-11-bulan-di-banda-aceh-butuh-bantuan ","sumber")</f>
        <v>sumber</v>
      </c>
      <c r="G44" s="47" t="s">
        <v>33</v>
      </c>
      <c r="H44" s="48"/>
      <c r="I44" s="48"/>
      <c r="J44" s="48"/>
      <c r="K44" s="165"/>
      <c r="L44" s="48"/>
      <c r="M44" s="48"/>
      <c r="N44" s="48"/>
      <c r="O44" s="48"/>
      <c r="P44" s="48"/>
      <c r="Q44" s="48"/>
      <c r="R44" s="48"/>
      <c r="S44" s="165"/>
      <c r="T44" s="48"/>
      <c r="U44" s="48"/>
      <c r="V44" s="48"/>
      <c r="W44" s="48"/>
      <c r="X44" s="48"/>
      <c r="Y44" s="48"/>
      <c r="Z44" s="338"/>
      <c r="AA44" s="366"/>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row>
    <row r="45">
      <c r="A45" s="158">
        <v>1.0</v>
      </c>
      <c r="B45" s="351" t="s">
        <v>4924</v>
      </c>
      <c r="C45" s="44">
        <v>41.0</v>
      </c>
      <c r="D45" s="44">
        <v>8.0</v>
      </c>
      <c r="E45" s="44" t="s">
        <v>394</v>
      </c>
      <c r="F45" s="162" t="str">
        <f>HYPERLINK("https://www.suara.com/news/2019/05/15/122925/potret-langka-sunni-syiah-dan-ahmadiyah-indonesia-buka-puasa-bersama ","sumber")</f>
        <v>sumber</v>
      </c>
      <c r="G45" s="44" t="s">
        <v>33</v>
      </c>
      <c r="H45" s="44">
        <v>608.0</v>
      </c>
      <c r="I45" s="44">
        <v>3.0</v>
      </c>
      <c r="J45" s="44">
        <v>4.0</v>
      </c>
      <c r="K45" s="164" t="s">
        <v>4925</v>
      </c>
      <c r="L45" s="44">
        <v>0.0</v>
      </c>
      <c r="M45" s="44">
        <v>0.0</v>
      </c>
      <c r="N45" s="166">
        <v>0.0</v>
      </c>
      <c r="O45" s="166">
        <v>0.0</v>
      </c>
      <c r="P45" s="44">
        <v>0.0</v>
      </c>
      <c r="Q45" s="44" t="s">
        <v>4926</v>
      </c>
      <c r="R45" s="44" t="s">
        <v>392</v>
      </c>
      <c r="S45" s="175"/>
      <c r="T45" s="44">
        <v>0.0</v>
      </c>
      <c r="U45" s="44">
        <v>0.0</v>
      </c>
      <c r="V45" s="44">
        <v>1.0</v>
      </c>
      <c r="W45" s="45"/>
      <c r="X45" s="45"/>
      <c r="Y45" s="45"/>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row>
    <row r="46">
      <c r="A46" s="158">
        <v>1.0</v>
      </c>
      <c r="B46" s="351" t="s">
        <v>4927</v>
      </c>
      <c r="C46" s="44">
        <v>42.0</v>
      </c>
      <c r="D46" s="44">
        <v>8.0</v>
      </c>
      <c r="E46" s="44" t="s">
        <v>390</v>
      </c>
      <c r="F46" s="162" t="str">
        <f>HYPERLINK("https://jabar.suara.com/read/2019/05/19/161820/bedah-buku-menemani-minoritas-perlu-perspektif-lain-membaca-ahmadiyah ","sumber")</f>
        <v>sumber</v>
      </c>
      <c r="G46" s="44" t="s">
        <v>33</v>
      </c>
      <c r="H46" s="44">
        <v>531.0</v>
      </c>
      <c r="I46" s="44">
        <v>3.0</v>
      </c>
      <c r="J46" s="44">
        <v>4.0</v>
      </c>
      <c r="K46" s="164" t="s">
        <v>4928</v>
      </c>
      <c r="L46" s="44">
        <v>0.0</v>
      </c>
      <c r="M46" s="44">
        <v>0.0</v>
      </c>
      <c r="N46" s="166">
        <v>0.0</v>
      </c>
      <c r="O46" s="166">
        <v>0.0</v>
      </c>
      <c r="P46" s="44">
        <v>0.0</v>
      </c>
      <c r="Q46" s="44" t="s">
        <v>61</v>
      </c>
      <c r="R46" s="44" t="s">
        <v>192</v>
      </c>
      <c r="S46" s="175"/>
      <c r="T46" s="44">
        <v>0.0</v>
      </c>
      <c r="U46" s="44">
        <v>0.0</v>
      </c>
      <c r="V46" s="44">
        <v>1.0</v>
      </c>
      <c r="W46" s="45"/>
      <c r="X46" s="45"/>
      <c r="Y46" s="45"/>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row>
    <row r="47">
      <c r="A47" s="152">
        <v>2.0</v>
      </c>
      <c r="B47" s="365" t="s">
        <v>399</v>
      </c>
      <c r="C47" s="47">
        <v>43.0</v>
      </c>
      <c r="D47" s="48"/>
      <c r="E47" s="47" t="s">
        <v>244</v>
      </c>
      <c r="F47" s="156" t="str">
        <f>HYPERLINK("https://dunia.tempo.co/read/1207361/ulama-syiah-terkemuka-minta-irak-tidak-diseret-dalam-perang ","sumber")</f>
        <v>sumber</v>
      </c>
      <c r="G47" s="47" t="s">
        <v>33</v>
      </c>
      <c r="H47" s="47"/>
      <c r="I47" s="48"/>
      <c r="J47" s="48"/>
      <c r="K47" s="165"/>
      <c r="L47" s="48"/>
      <c r="M47" s="48"/>
      <c r="N47" s="48"/>
      <c r="O47" s="48"/>
      <c r="P47" s="48"/>
      <c r="Q47" s="48"/>
      <c r="R47" s="48"/>
      <c r="S47" s="165"/>
      <c r="T47" s="48"/>
      <c r="U47" s="48"/>
      <c r="V47" s="48"/>
      <c r="W47" s="48"/>
      <c r="X47" s="48"/>
      <c r="Y47" s="48"/>
      <c r="Z47" s="338"/>
      <c r="AA47" s="366"/>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row>
    <row r="48">
      <c r="A48" s="152">
        <v>2.0</v>
      </c>
      <c r="B48" s="365" t="s">
        <v>1164</v>
      </c>
      <c r="C48" s="47">
        <v>44.0</v>
      </c>
      <c r="D48" s="48"/>
      <c r="E48" s="47" t="s">
        <v>237</v>
      </c>
      <c r="F48" s="156" t="str">
        <f>HYPERLINK("https://www.liputan6.com/global/read/3971441/ini-balasan-iran-atas-ancaman-genosida-oleh-donald-trump ","sumber")</f>
        <v>sumber</v>
      </c>
      <c r="G48" s="47" t="s">
        <v>33</v>
      </c>
      <c r="H48" s="48"/>
      <c r="I48" s="48"/>
      <c r="J48" s="48"/>
      <c r="K48" s="165"/>
      <c r="L48" s="48"/>
      <c r="M48" s="48"/>
      <c r="N48" s="48"/>
      <c r="O48" s="48"/>
      <c r="P48" s="48"/>
      <c r="Q48" s="48"/>
      <c r="R48" s="48"/>
      <c r="S48" s="165"/>
      <c r="T48" s="48"/>
      <c r="U48" s="48"/>
      <c r="V48" s="48"/>
      <c r="W48" s="48"/>
      <c r="X48" s="48"/>
      <c r="Y48" s="48"/>
      <c r="Z48" s="338"/>
      <c r="AA48" s="366"/>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row>
    <row r="49">
      <c r="A49" s="152">
        <v>2.0</v>
      </c>
      <c r="B49" s="365" t="s">
        <v>4929</v>
      </c>
      <c r="C49" s="47">
        <v>45.0</v>
      </c>
      <c r="D49" s="48"/>
      <c r="E49" s="47" t="s">
        <v>237</v>
      </c>
      <c r="F49" s="156" t="str">
        <f>HYPERLINK("https://internasional.republika.co.id/berita/internasional/timur-tengah/prutyo320/presiden-iran-sekarang-bukan-saatnya-bernegosiasi-dengan-as ","sumber")</f>
        <v>sumber</v>
      </c>
      <c r="G49" s="47" t="s">
        <v>33</v>
      </c>
      <c r="H49" s="48"/>
      <c r="I49" s="48"/>
      <c r="J49" s="48"/>
      <c r="K49" s="165"/>
      <c r="L49" s="48"/>
      <c r="M49" s="48"/>
      <c r="N49" s="48"/>
      <c r="O49" s="48"/>
      <c r="P49" s="48"/>
      <c r="Q49" s="48"/>
      <c r="R49" s="48"/>
      <c r="S49" s="165"/>
      <c r="T49" s="48"/>
      <c r="U49" s="48"/>
      <c r="V49" s="48"/>
      <c r="W49" s="48"/>
      <c r="X49" s="48"/>
      <c r="Y49" s="48"/>
      <c r="Z49" s="338"/>
      <c r="AA49" s="366"/>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row>
    <row r="50">
      <c r="A50" s="152">
        <v>2.0</v>
      </c>
      <c r="B50" s="365" t="s">
        <v>4930</v>
      </c>
      <c r="C50" s="47">
        <v>46.0</v>
      </c>
      <c r="D50" s="48"/>
      <c r="E50" s="47" t="s">
        <v>590</v>
      </c>
      <c r="F50" s="156" t="str">
        <f>HYPERLINK("https://dunia.tempo.co/read/1208448/pentagon-diminta-tambah-5000-tentara-di-timur-tengah-hadapi-iran ","sumber")</f>
        <v>sumber</v>
      </c>
      <c r="G50" s="47" t="s">
        <v>33</v>
      </c>
      <c r="H50" s="48"/>
      <c r="I50" s="48"/>
      <c r="J50" s="48"/>
      <c r="K50" s="165"/>
      <c r="L50" s="48"/>
      <c r="M50" s="48"/>
      <c r="N50" s="48"/>
      <c r="O50" s="48"/>
      <c r="P50" s="48"/>
      <c r="Q50" s="48"/>
      <c r="R50" s="48"/>
      <c r="S50" s="165"/>
      <c r="T50" s="48"/>
      <c r="U50" s="48"/>
      <c r="V50" s="48"/>
      <c r="W50" s="48"/>
      <c r="X50" s="48"/>
      <c r="Y50" s="48"/>
      <c r="Z50" s="338"/>
      <c r="AA50" s="366"/>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row>
    <row r="51">
      <c r="A51" s="152">
        <v>2.0</v>
      </c>
      <c r="B51" s="365" t="s">
        <v>4931</v>
      </c>
      <c r="C51" s="47">
        <v>47.0</v>
      </c>
      <c r="D51" s="48"/>
      <c r="E51" s="47" t="s">
        <v>2212</v>
      </c>
      <c r="F51" s="156" t="str">
        <f>HYPERLINK("https://tirto.id/kredo-jawaharlal-nehru-sistem-terbaik-india-adalah-sekularisme-dZt9 ","sumber")</f>
        <v>sumber</v>
      </c>
      <c r="G51" s="47" t="s">
        <v>33</v>
      </c>
      <c r="H51" s="48"/>
      <c r="I51" s="48"/>
      <c r="J51" s="48"/>
      <c r="K51" s="165"/>
      <c r="L51" s="48"/>
      <c r="M51" s="48"/>
      <c r="N51" s="48"/>
      <c r="O51" s="48"/>
      <c r="P51" s="48"/>
      <c r="Q51" s="48"/>
      <c r="R51" s="48"/>
      <c r="S51" s="165"/>
      <c r="T51" s="48"/>
      <c r="U51" s="48"/>
      <c r="V51" s="48"/>
      <c r="W51" s="48"/>
      <c r="X51" s="48"/>
      <c r="Y51" s="48"/>
      <c r="Z51" s="338"/>
      <c r="AA51" s="366"/>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row>
    <row r="52">
      <c r="A52" s="152">
        <v>2.0</v>
      </c>
      <c r="B52" s="365" t="s">
        <v>4932</v>
      </c>
      <c r="C52" s="47">
        <v>48.0</v>
      </c>
      <c r="D52" s="48"/>
      <c r="E52" s="280">
        <v>43622.0</v>
      </c>
      <c r="F52" s="156" t="str">
        <f>HYPERLINK("https://regional.kompas.com/read/2019/06/06/06000071/kerinduan-mendengar-suara-takbir-di-tengah-misi-menjaga-perdamaian-dunia- ","sumber")</f>
        <v>sumber</v>
      </c>
      <c r="G52" s="47" t="s">
        <v>33</v>
      </c>
      <c r="H52" s="48"/>
      <c r="I52" s="48"/>
      <c r="J52" s="48"/>
      <c r="K52" s="165"/>
      <c r="L52" s="48"/>
      <c r="M52" s="48"/>
      <c r="N52" s="48"/>
      <c r="O52" s="48"/>
      <c r="P52" s="48"/>
      <c r="Q52" s="48"/>
      <c r="R52" s="48"/>
      <c r="S52" s="165"/>
      <c r="T52" s="48"/>
      <c r="U52" s="48"/>
      <c r="V52" s="48"/>
      <c r="W52" s="48"/>
      <c r="X52" s="48"/>
      <c r="Y52" s="48"/>
      <c r="Z52" s="338"/>
      <c r="AA52" s="366"/>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row>
    <row r="53">
      <c r="A53" s="152">
        <v>2.0</v>
      </c>
      <c r="B53" s="365" t="s">
        <v>4933</v>
      </c>
      <c r="C53" s="47">
        <v>49.0</v>
      </c>
      <c r="D53" s="48"/>
      <c r="E53" s="280">
        <v>43744.0</v>
      </c>
      <c r="F53" s="156" t="str">
        <f>HYPERLINK("https://www.liputan6.com/global/read/3986636/protes-pemerintah-remaja-arab-saudi-terancam-hukuman-mati ","sumber")</f>
        <v>sumber</v>
      </c>
      <c r="G53" s="47" t="s">
        <v>33</v>
      </c>
      <c r="H53" s="48"/>
      <c r="I53" s="48"/>
      <c r="J53" s="48"/>
      <c r="K53" s="165"/>
      <c r="L53" s="48"/>
      <c r="M53" s="48"/>
      <c r="N53" s="48"/>
      <c r="O53" s="48"/>
      <c r="P53" s="48"/>
      <c r="Q53" s="48"/>
      <c r="R53" s="48"/>
      <c r="S53" s="165"/>
      <c r="T53" s="48"/>
      <c r="U53" s="48"/>
      <c r="V53" s="48"/>
      <c r="W53" s="48"/>
      <c r="X53" s="48"/>
      <c r="Y53" s="48"/>
      <c r="Z53" s="338"/>
      <c r="AA53" s="366"/>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row>
    <row r="54">
      <c r="A54" s="152">
        <v>2.0</v>
      </c>
      <c r="B54" s="365" t="s">
        <v>4934</v>
      </c>
      <c r="C54" s="47">
        <v>50.0</v>
      </c>
      <c r="D54" s="48"/>
      <c r="E54" s="47" t="s">
        <v>4425</v>
      </c>
      <c r="F54" s="156" t="str">
        <f>HYPERLINK("https://www.liputan6.com/global/read/3988899/siapa-houthi-yang-merudal-bandara-abha-dan-perangi-koalisi-saudi-di-yaman ","sumber")</f>
        <v>sumber</v>
      </c>
      <c r="G54" s="47" t="s">
        <v>33</v>
      </c>
      <c r="H54" s="48"/>
      <c r="I54" s="48"/>
      <c r="J54" s="48"/>
      <c r="K54" s="165"/>
      <c r="L54" s="48"/>
      <c r="M54" s="48"/>
      <c r="N54" s="48"/>
      <c r="O54" s="48"/>
      <c r="P54" s="48"/>
      <c r="Q54" s="48"/>
      <c r="R54" s="48"/>
      <c r="S54" s="165"/>
      <c r="T54" s="48"/>
      <c r="U54" s="48"/>
      <c r="V54" s="48"/>
      <c r="W54" s="48"/>
      <c r="X54" s="48"/>
      <c r="Y54" s="48"/>
      <c r="Z54" s="338"/>
      <c r="AA54" s="366"/>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row>
    <row r="55">
      <c r="A55" s="152">
        <v>2.0</v>
      </c>
      <c r="B55" s="365" t="s">
        <v>4935</v>
      </c>
      <c r="C55" s="47">
        <v>51.0</v>
      </c>
      <c r="D55" s="48"/>
      <c r="E55" s="47" t="s">
        <v>2405</v>
      </c>
      <c r="F55" s="156" t="str">
        <f>HYPERLINK("https://news.okezone.com/read/2019/06/14/65/2066627/fakta-menarik-pendaftaran-sbmptn-2019-youtuber-bisa-daftar-jalur-prestasi ","sumber")</f>
        <v>sumber</v>
      </c>
      <c r="G55" s="47" t="s">
        <v>33</v>
      </c>
      <c r="H55" s="48"/>
      <c r="I55" s="48"/>
      <c r="J55" s="48"/>
      <c r="K55" s="165"/>
      <c r="L55" s="48"/>
      <c r="M55" s="48"/>
      <c r="N55" s="48"/>
      <c r="O55" s="48"/>
      <c r="P55" s="48"/>
      <c r="Q55" s="48"/>
      <c r="R55" s="48"/>
      <c r="S55" s="165"/>
      <c r="T55" s="48"/>
      <c r="U55" s="48"/>
      <c r="V55" s="48"/>
      <c r="W55" s="48"/>
      <c r="X55" s="48"/>
      <c r="Y55" s="48"/>
      <c r="Z55" s="338"/>
      <c r="AA55" s="366"/>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row>
    <row r="56">
      <c r="A56" s="361">
        <v>1.0</v>
      </c>
      <c r="B56" s="362" t="s">
        <v>4936</v>
      </c>
      <c r="C56" s="79">
        <v>52.0</v>
      </c>
      <c r="D56" s="79">
        <v>5.0</v>
      </c>
      <c r="E56" s="79" t="s">
        <v>420</v>
      </c>
      <c r="F56" s="293" t="str">
        <f>HYPERLINK("https://tirto.id/sisingamangaraja-xii-dan-upayanya-membuka-sistem-politik-batak-ctTZ ","sumber")</f>
        <v>sumber</v>
      </c>
      <c r="G56" s="79" t="s">
        <v>33</v>
      </c>
      <c r="H56" s="79">
        <v>1.0</v>
      </c>
      <c r="I56" s="79">
        <v>2.0</v>
      </c>
      <c r="J56" s="79">
        <v>4.0</v>
      </c>
      <c r="K56" s="191"/>
      <c r="L56" s="79">
        <v>0.0</v>
      </c>
      <c r="M56" s="79">
        <v>0.0</v>
      </c>
      <c r="N56" s="364">
        <v>0.0</v>
      </c>
      <c r="O56" s="364">
        <v>0.0</v>
      </c>
      <c r="P56" s="79">
        <v>0.0</v>
      </c>
      <c r="Q56" s="79"/>
      <c r="R56" s="79"/>
      <c r="S56" s="368"/>
      <c r="T56" s="79">
        <v>0.0</v>
      </c>
      <c r="U56" s="79">
        <v>0.0</v>
      </c>
      <c r="V56" s="79">
        <v>1.0</v>
      </c>
      <c r="W56" s="63"/>
      <c r="X56" s="63"/>
      <c r="Y56" s="63"/>
      <c r="Z56" s="295"/>
      <c r="AA56" s="295"/>
      <c r="AB56" s="295"/>
      <c r="AC56" s="295"/>
      <c r="AD56" s="295"/>
      <c r="AE56" s="295"/>
      <c r="AF56" s="295"/>
      <c r="AG56" s="295"/>
      <c r="AH56" s="295"/>
      <c r="AI56" s="295"/>
      <c r="AJ56" s="295"/>
      <c r="AK56" s="295"/>
      <c r="AL56" s="295"/>
      <c r="AM56" s="295"/>
      <c r="AN56" s="295"/>
      <c r="AO56" s="295"/>
      <c r="AP56" s="295"/>
      <c r="AQ56" s="295"/>
      <c r="AR56" s="295"/>
      <c r="AS56" s="295"/>
      <c r="AT56" s="295"/>
      <c r="AU56" s="295"/>
      <c r="AV56" s="295"/>
      <c r="AW56" s="295"/>
      <c r="AX56" s="295"/>
      <c r="AY56" s="295"/>
      <c r="AZ56" s="295"/>
      <c r="BA56" s="295"/>
      <c r="BB56" s="295"/>
      <c r="BC56" s="295"/>
      <c r="BD56" s="295"/>
      <c r="BE56" s="295"/>
    </row>
    <row r="57">
      <c r="A57" s="152">
        <v>2.0</v>
      </c>
      <c r="B57" s="365" t="s">
        <v>416</v>
      </c>
      <c r="C57" s="47">
        <v>53.0</v>
      </c>
      <c r="D57" s="48"/>
      <c r="E57" s="47" t="s">
        <v>414</v>
      </c>
      <c r="F57" s="156" t="str">
        <f>HYPERLINK("https://www.liputan6.com/global/read/3992634/arab-saudi-tembak-dua-drone-bermuatan-bom-houthi-menyasar-kawasan-abha ","sumber")</f>
        <v>sumber</v>
      </c>
      <c r="G57" s="47" t="s">
        <v>33</v>
      </c>
      <c r="H57" s="48"/>
      <c r="I57" s="48"/>
      <c r="J57" s="48"/>
      <c r="K57" s="165"/>
      <c r="L57" s="48"/>
      <c r="M57" s="48"/>
      <c r="N57" s="48"/>
      <c r="O57" s="48"/>
      <c r="P57" s="48"/>
      <c r="Q57" s="48"/>
      <c r="R57" s="48"/>
      <c r="S57" s="165"/>
      <c r="T57" s="48"/>
      <c r="U57" s="48"/>
      <c r="V57" s="48"/>
      <c r="W57" s="48"/>
      <c r="X57" s="48"/>
      <c r="Y57" s="48"/>
      <c r="Z57" s="338"/>
      <c r="AA57" s="366"/>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row>
    <row r="58">
      <c r="A58" s="152">
        <v>2.0</v>
      </c>
      <c r="B58" s="365" t="s">
        <v>4937</v>
      </c>
      <c r="C58" s="47">
        <v>54.0</v>
      </c>
      <c r="D58" s="48"/>
      <c r="E58" s="47" t="s">
        <v>607</v>
      </c>
      <c r="F58" s="156" t="str">
        <f>HYPERLINK("https://www.liputan6.com/global/read/3993711/melawat-ke-indonesia-ulama-china-bahas-situasi-uighur-di-xinjiang ","sumber")</f>
        <v>sumber</v>
      </c>
      <c r="G58" s="47" t="s">
        <v>33</v>
      </c>
      <c r="H58" s="48"/>
      <c r="I58" s="48"/>
      <c r="J58" s="48"/>
      <c r="K58" s="165"/>
      <c r="L58" s="48"/>
      <c r="M58" s="48"/>
      <c r="N58" s="48"/>
      <c r="O58" s="48"/>
      <c r="P58" s="48"/>
      <c r="Q58" s="48"/>
      <c r="R58" s="48"/>
      <c r="S58" s="165"/>
      <c r="T58" s="48"/>
      <c r="U58" s="48"/>
      <c r="V58" s="48"/>
      <c r="W58" s="48"/>
      <c r="X58" s="48"/>
      <c r="Y58" s="48"/>
      <c r="Z58" s="338"/>
      <c r="AA58" s="366"/>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row>
    <row r="59">
      <c r="A59" s="152">
        <v>2.0</v>
      </c>
      <c r="B59" s="365" t="s">
        <v>4938</v>
      </c>
      <c r="C59" s="47">
        <v>55.0</v>
      </c>
      <c r="D59" s="48"/>
      <c r="E59" s="47" t="s">
        <v>607</v>
      </c>
      <c r="F59" s="156" t="str">
        <f>HYPERLINK("http://www.tribunnews.com/pertamina/2019/06/19/pertamina-kenalkan-inovasi-pertaflosim-ke-perguruan-tinggi-di-indonesia ","sumber")</f>
        <v>sumber</v>
      </c>
      <c r="G59" s="47" t="s">
        <v>33</v>
      </c>
      <c r="H59" s="48"/>
      <c r="I59" s="48"/>
      <c r="J59" s="48"/>
      <c r="K59" s="165"/>
      <c r="L59" s="48"/>
      <c r="M59" s="48"/>
      <c r="N59" s="48"/>
      <c r="O59" s="48"/>
      <c r="P59" s="48"/>
      <c r="Q59" s="48"/>
      <c r="R59" s="48"/>
      <c r="S59" s="165"/>
      <c r="T59" s="48"/>
      <c r="U59" s="48"/>
      <c r="V59" s="48"/>
      <c r="W59" s="48"/>
      <c r="X59" s="48"/>
      <c r="Y59" s="48"/>
      <c r="Z59" s="338"/>
      <c r="AA59" s="366"/>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row>
    <row r="60">
      <c r="A60" s="152">
        <v>2.0</v>
      </c>
      <c r="B60" s="365" t="s">
        <v>4939</v>
      </c>
      <c r="C60" s="47">
        <v>56.0</v>
      </c>
      <c r="D60" s="48"/>
      <c r="E60" s="47" t="s">
        <v>621</v>
      </c>
      <c r="F60" s="156" t="str">
        <f>HYPERLINK("https://internasional.republika.co.id/berita/internasional/timur-tengah/ptw6v7415/iran-jadi-sorotan-trump-dan-pangeran-salman ","sumber")</f>
        <v>sumber</v>
      </c>
      <c r="G60" s="47" t="s">
        <v>33</v>
      </c>
      <c r="H60" s="48"/>
      <c r="I60" s="48"/>
      <c r="J60" s="48"/>
      <c r="K60" s="165"/>
      <c r="L60" s="48"/>
      <c r="M60" s="48"/>
      <c r="N60" s="48"/>
      <c r="O60" s="48"/>
      <c r="P60" s="48"/>
      <c r="Q60" s="48"/>
      <c r="R60" s="48"/>
      <c r="S60" s="165"/>
      <c r="T60" s="48"/>
      <c r="U60" s="48"/>
      <c r="V60" s="48"/>
      <c r="W60" s="48"/>
      <c r="X60" s="48"/>
      <c r="Y60" s="48"/>
      <c r="Z60" s="338"/>
      <c r="AA60" s="366"/>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row>
    <row r="61">
      <c r="A61" s="167">
        <v>1.0</v>
      </c>
      <c r="B61" s="341" t="s">
        <v>4940</v>
      </c>
      <c r="C61" s="55">
        <v>57.0</v>
      </c>
      <c r="D61" s="55">
        <v>1.0</v>
      </c>
      <c r="E61" s="344">
        <v>43684.0</v>
      </c>
      <c r="F61" s="171" t="str">
        <f>HYPERLINK("https://news.detik.com/internasional/d-4643375/bahrain-eksekusi-mati-2-warga-syiah-iran-mengecam-keras ","sumber")</f>
        <v>sumber</v>
      </c>
      <c r="G61" s="55" t="s">
        <v>33</v>
      </c>
      <c r="H61" s="55">
        <v>1.0</v>
      </c>
      <c r="I61" s="55">
        <v>4.0</v>
      </c>
      <c r="J61" s="55">
        <v>4.0</v>
      </c>
      <c r="K61" s="172" t="s">
        <v>4941</v>
      </c>
      <c r="L61" s="55">
        <v>0.0</v>
      </c>
      <c r="M61" s="55">
        <v>0.0</v>
      </c>
      <c r="N61" s="173">
        <v>0.0</v>
      </c>
      <c r="O61" s="173">
        <v>0.0</v>
      </c>
      <c r="P61" s="55">
        <v>0.0</v>
      </c>
      <c r="Q61" s="55">
        <v>0.0</v>
      </c>
      <c r="R61" s="55">
        <v>1.0</v>
      </c>
      <c r="S61" s="174"/>
      <c r="T61" s="55">
        <v>0.0</v>
      </c>
      <c r="U61" s="55">
        <v>0.0</v>
      </c>
      <c r="V61" s="55">
        <v>0.0</v>
      </c>
      <c r="W61" s="46"/>
      <c r="X61" s="46"/>
      <c r="Y61" s="46"/>
      <c r="Z61" s="302"/>
      <c r="AA61" s="367"/>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row>
    <row r="62">
      <c r="A62" s="152">
        <v>2.0</v>
      </c>
      <c r="B62" s="365" t="s">
        <v>4942</v>
      </c>
      <c r="C62" s="47">
        <v>58.0</v>
      </c>
      <c r="D62" s="48"/>
      <c r="E62" s="280">
        <v>43715.0</v>
      </c>
      <c r="F62" s="156" t="str">
        <f>HYPERLINK("https://www.liputan6.com/global/read/4008080/hadiri-konferensi-muslim-di-kanada-justin-trudeau-tekankan-pentingnya-perdamaian ","sumber")</f>
        <v>sumber</v>
      </c>
      <c r="G62" s="47" t="s">
        <v>33</v>
      </c>
      <c r="H62" s="48"/>
      <c r="I62" s="48"/>
      <c r="J62" s="48"/>
      <c r="K62" s="165"/>
      <c r="L62" s="48"/>
      <c r="M62" s="48"/>
      <c r="N62" s="48"/>
      <c r="O62" s="48"/>
      <c r="P62" s="48"/>
      <c r="Q62" s="48"/>
      <c r="R62" s="48"/>
      <c r="S62" s="165"/>
      <c r="T62" s="48"/>
      <c r="U62" s="48"/>
      <c r="V62" s="48"/>
      <c r="W62" s="48"/>
      <c r="X62" s="48"/>
      <c r="Y62" s="48"/>
      <c r="Z62" s="338"/>
      <c r="AA62" s="366"/>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row>
    <row r="63">
      <c r="A63" s="152">
        <v>2.0</v>
      </c>
      <c r="B63" s="365" t="s">
        <v>4943</v>
      </c>
      <c r="C63" s="47">
        <v>59.0</v>
      </c>
      <c r="D63" s="48"/>
      <c r="E63" s="47" t="s">
        <v>860</v>
      </c>
      <c r="F63" s="156" t="str">
        <f>HYPERLINK("https://dunia.tempo.co/read/1224406/diplomat-uni-eropa-dukung-irak-damaikan-amerika-dan-iran ","sumber")</f>
        <v>sumber</v>
      </c>
      <c r="G63" s="47" t="s">
        <v>33</v>
      </c>
      <c r="H63" s="48"/>
      <c r="I63" s="48"/>
      <c r="J63" s="48"/>
      <c r="K63" s="165"/>
      <c r="L63" s="48"/>
      <c r="M63" s="48"/>
      <c r="N63" s="48"/>
      <c r="O63" s="48"/>
      <c r="P63" s="48"/>
      <c r="Q63" s="48"/>
      <c r="R63" s="48"/>
      <c r="S63" s="165"/>
      <c r="T63" s="48"/>
      <c r="U63" s="48"/>
      <c r="V63" s="48"/>
      <c r="W63" s="48"/>
      <c r="X63" s="48"/>
      <c r="Y63" s="48"/>
      <c r="Z63" s="338"/>
      <c r="AA63" s="366"/>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row>
    <row r="64">
      <c r="A64" s="152">
        <v>2.0</v>
      </c>
      <c r="B64" s="365" t="s">
        <v>1189</v>
      </c>
      <c r="C64" s="47">
        <v>60.0</v>
      </c>
      <c r="D64" s="48"/>
      <c r="E64" s="47" t="s">
        <v>642</v>
      </c>
      <c r="F64" s="156" t="str">
        <f>HYPERLINK("https://regional.kompas.com/read/2019/07/22/16595261/21-tahun-terpisah-dari-keluarga-tki-asal-cirebon-tiba-di-kampung-halaman","sumber")</f>
        <v>sumber</v>
      </c>
      <c r="G64" s="47" t="s">
        <v>33</v>
      </c>
      <c r="H64" s="48"/>
      <c r="I64" s="48"/>
      <c r="J64" s="48"/>
      <c r="K64" s="165"/>
      <c r="L64" s="48"/>
      <c r="M64" s="48"/>
      <c r="N64" s="48"/>
      <c r="O64" s="48"/>
      <c r="P64" s="48"/>
      <c r="Q64" s="48"/>
      <c r="R64" s="48"/>
      <c r="S64" s="165"/>
      <c r="T64" s="48"/>
      <c r="U64" s="48"/>
      <c r="V64" s="48"/>
      <c r="W64" s="48"/>
      <c r="X64" s="48"/>
      <c r="Y64" s="48"/>
      <c r="Z64" s="338"/>
      <c r="AA64" s="366"/>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row>
    <row r="65">
      <c r="A65" s="369">
        <v>1.0</v>
      </c>
      <c r="B65" s="351" t="s">
        <v>4944</v>
      </c>
      <c r="C65" s="44">
        <v>61.0</v>
      </c>
      <c r="D65" s="44">
        <v>6.0</v>
      </c>
      <c r="E65" s="44" t="s">
        <v>295</v>
      </c>
      <c r="F65" s="162" t="str">
        <f>HYPERLINK("https://internasional.kompas.com/read/2019/07/24/21323661/3-pelaku-pembakaran-masjid-di-melbourne-dijatuhi-hukuman-penjara-lebih ","sumber")</f>
        <v>sumber</v>
      </c>
      <c r="G65" s="44" t="s">
        <v>33</v>
      </c>
      <c r="H65" s="44">
        <v>2.0</v>
      </c>
      <c r="I65" s="44">
        <v>4.0</v>
      </c>
      <c r="J65" s="44">
        <v>4.0</v>
      </c>
      <c r="K65" s="164" t="s">
        <v>4945</v>
      </c>
      <c r="L65" s="44">
        <v>0.0</v>
      </c>
      <c r="M65" s="44">
        <v>0.0</v>
      </c>
      <c r="N65" s="166">
        <v>0.0</v>
      </c>
      <c r="O65" s="166">
        <v>0.0</v>
      </c>
      <c r="P65" s="44">
        <v>0.0</v>
      </c>
      <c r="Q65" s="44">
        <v>0.0</v>
      </c>
      <c r="R65" s="44">
        <v>1.0</v>
      </c>
      <c r="S65" s="175"/>
      <c r="T65" s="44">
        <v>0.0</v>
      </c>
      <c r="U65" s="44">
        <v>0.0</v>
      </c>
      <c r="V65" s="44">
        <v>1.0</v>
      </c>
      <c r="W65" s="45"/>
      <c r="X65" s="45"/>
      <c r="Y65" s="45"/>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row>
    <row r="66">
      <c r="A66" s="152">
        <v>2.0</v>
      </c>
      <c r="B66" s="365" t="s">
        <v>4946</v>
      </c>
      <c r="C66" s="47">
        <v>62.0</v>
      </c>
      <c r="D66" s="48"/>
      <c r="E66" s="47" t="s">
        <v>871</v>
      </c>
      <c r="F66" s="156" t="str">
        <f>HYPERLINK("https://www.liputan6.com/global/read/4021450/purnatugas-dubes-iran-untuk-indonesia-kenang-bangsa-persia-di-sumatra ","sumber")</f>
        <v>sumber</v>
      </c>
      <c r="G66" s="47" t="s">
        <v>33</v>
      </c>
      <c r="H66" s="48"/>
      <c r="I66" s="48"/>
      <c r="J66" s="48"/>
      <c r="K66" s="165"/>
      <c r="L66" s="48"/>
      <c r="M66" s="48"/>
      <c r="N66" s="48"/>
      <c r="O66" s="48"/>
      <c r="P66" s="48"/>
      <c r="Q66" s="48"/>
      <c r="R66" s="48"/>
      <c r="S66" s="165"/>
      <c r="T66" s="48"/>
      <c r="U66" s="48"/>
      <c r="V66" s="48"/>
      <c r="W66" s="48"/>
      <c r="X66" s="48"/>
      <c r="Y66" s="48"/>
      <c r="Z66" s="338"/>
      <c r="AA66" s="366"/>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row>
    <row r="67">
      <c r="A67" s="158">
        <v>1.0</v>
      </c>
      <c r="B67" s="351" t="s">
        <v>4947</v>
      </c>
      <c r="C67" s="44">
        <v>63.0</v>
      </c>
      <c r="D67" s="44">
        <v>8.0</v>
      </c>
      <c r="E67" s="44" t="s">
        <v>871</v>
      </c>
      <c r="F67" s="162" t="str">
        <f>HYPERLINK("https://www.suara.com/news/2019/07/25/111907/polri-pastikan-penghayat-kepercayaan-boleh-jadi-polisi ","sumber")</f>
        <v>sumber</v>
      </c>
      <c r="G67" s="44" t="s">
        <v>33</v>
      </c>
      <c r="H67" s="44">
        <v>289.0</v>
      </c>
      <c r="I67" s="44">
        <v>4.0</v>
      </c>
      <c r="J67" s="44">
        <v>4.0</v>
      </c>
      <c r="K67" s="164" t="s">
        <v>4948</v>
      </c>
      <c r="L67" s="44">
        <v>0.0</v>
      </c>
      <c r="M67" s="44">
        <v>0.0</v>
      </c>
      <c r="N67" s="166">
        <v>0.0</v>
      </c>
      <c r="O67" s="166">
        <v>0.0</v>
      </c>
      <c r="P67" s="44">
        <v>0.0</v>
      </c>
      <c r="Q67" s="44" t="s">
        <v>119</v>
      </c>
      <c r="R67" s="44" t="s">
        <v>100</v>
      </c>
      <c r="S67" s="175"/>
      <c r="T67" s="44">
        <v>0.0</v>
      </c>
      <c r="U67" s="44">
        <v>0.0</v>
      </c>
      <c r="V67" s="44">
        <v>1.0</v>
      </c>
      <c r="W67" s="45"/>
      <c r="X67" s="45"/>
      <c r="Y67" s="45"/>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row>
    <row r="68">
      <c r="A68" s="152">
        <v>2.0</v>
      </c>
      <c r="B68" s="365" t="s">
        <v>4949</v>
      </c>
      <c r="C68" s="47">
        <v>64.0</v>
      </c>
      <c r="D68" s="48"/>
      <c r="E68" s="47" t="s">
        <v>2622</v>
      </c>
      <c r="F68" s="156" t="str">
        <f>HYPERLINK("https://www.cnnindonesia.com/nasional/20190729222044-12-416593/polri-gandeng-polisi-negara-lain-untuk-tangkap-teroris ","sumber")</f>
        <v>sumber</v>
      </c>
      <c r="G68" s="47" t="s">
        <v>33</v>
      </c>
      <c r="H68" s="48"/>
      <c r="I68" s="48"/>
      <c r="J68" s="48"/>
      <c r="K68" s="165"/>
      <c r="L68" s="48"/>
      <c r="M68" s="48"/>
      <c r="N68" s="48"/>
      <c r="O68" s="48"/>
      <c r="P68" s="48"/>
      <c r="Q68" s="48"/>
      <c r="R68" s="48"/>
      <c r="S68" s="165"/>
      <c r="T68" s="48"/>
      <c r="U68" s="48"/>
      <c r="V68" s="48"/>
      <c r="W68" s="48"/>
      <c r="X68" s="48"/>
      <c r="Y68" s="48"/>
      <c r="Z68" s="338"/>
      <c r="AA68" s="366"/>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row>
    <row r="69">
      <c r="A69" s="152">
        <v>2.0</v>
      </c>
      <c r="B69" s="365" t="s">
        <v>4950</v>
      </c>
      <c r="C69" s="47">
        <v>65.0</v>
      </c>
      <c r="D69" s="48"/>
      <c r="E69" s="280">
        <v>43504.0</v>
      </c>
      <c r="F69" s="156" t="str">
        <f>HYPERLINK("https://republika.co.id/berita/pvlmfx291/uns-peringkat-7-nasional-versi-webometrics ","sumber")</f>
        <v>sumber</v>
      </c>
      <c r="G69" s="47" t="s">
        <v>33</v>
      </c>
      <c r="H69" s="48"/>
      <c r="I69" s="48"/>
      <c r="J69" s="48"/>
      <c r="K69" s="165"/>
      <c r="L69" s="48"/>
      <c r="M69" s="48"/>
      <c r="N69" s="48"/>
      <c r="O69" s="48"/>
      <c r="P69" s="48"/>
      <c r="Q69" s="48"/>
      <c r="R69" s="48"/>
      <c r="S69" s="165"/>
      <c r="T69" s="48"/>
      <c r="U69" s="48"/>
      <c r="V69" s="48"/>
      <c r="W69" s="48"/>
      <c r="X69" s="48"/>
      <c r="Y69" s="48"/>
      <c r="Z69" s="338"/>
      <c r="AA69" s="366"/>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row>
    <row r="70">
      <c r="A70" s="152">
        <v>2.0</v>
      </c>
      <c r="B70" s="365" t="s">
        <v>4951</v>
      </c>
      <c r="C70" s="47">
        <v>66.0</v>
      </c>
      <c r="D70" s="48"/>
      <c r="E70" s="280">
        <v>43685.0</v>
      </c>
      <c r="F70" s="156" t="str">
        <f>HYPERLINK("https://edukasi.kompas.com/read/2019/08/08/10554661/ini-dia-para-pemenang-mtq-mahasiswa-nasional-2019 ","sumber")</f>
        <v>sumber</v>
      </c>
      <c r="G70" s="47" t="s">
        <v>33</v>
      </c>
      <c r="H70" s="48"/>
      <c r="I70" s="48"/>
      <c r="J70" s="48"/>
      <c r="K70" s="165"/>
      <c r="L70" s="48"/>
      <c r="M70" s="48"/>
      <c r="N70" s="48"/>
      <c r="O70" s="48"/>
      <c r="P70" s="48"/>
      <c r="Q70" s="48"/>
      <c r="R70" s="48"/>
      <c r="S70" s="165"/>
      <c r="T70" s="48"/>
      <c r="U70" s="48"/>
      <c r="V70" s="48"/>
      <c r="W70" s="48"/>
      <c r="X70" s="48"/>
      <c r="Y70" s="48"/>
      <c r="Z70" s="338"/>
      <c r="AA70" s="366"/>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row>
    <row r="71">
      <c r="A71" s="369">
        <v>2.0</v>
      </c>
      <c r="B71" s="351" t="s">
        <v>4952</v>
      </c>
      <c r="C71" s="44">
        <v>67.0</v>
      </c>
      <c r="D71" s="44">
        <v>8.0</v>
      </c>
      <c r="E71" s="268">
        <v>43807.0</v>
      </c>
      <c r="F71" s="162" t="str">
        <f>HYPERLINK("https://www.suara.com/news/2019/08/12/211512/abi-yahya-ngaku-bertemu-allah-swt-dan-4-berita-pilihan-hari-ini ","sumber")</f>
        <v>sumber</v>
      </c>
      <c r="G71" s="44" t="s">
        <v>33</v>
      </c>
      <c r="H71" s="44">
        <v>2.0</v>
      </c>
      <c r="I71" s="44">
        <v>2.0</v>
      </c>
      <c r="J71" s="44">
        <v>4.0</v>
      </c>
      <c r="K71" s="164" t="s">
        <v>4953</v>
      </c>
      <c r="L71" s="44">
        <v>0.0</v>
      </c>
      <c r="M71" s="44">
        <v>0.0</v>
      </c>
      <c r="N71" s="166">
        <v>0.0</v>
      </c>
      <c r="O71" s="166">
        <v>0.0</v>
      </c>
      <c r="P71" s="44">
        <v>0.0</v>
      </c>
      <c r="Q71" s="44">
        <v>0.0</v>
      </c>
      <c r="R71" s="44">
        <v>1.0</v>
      </c>
      <c r="S71" s="175"/>
      <c r="T71" s="44">
        <v>0.0</v>
      </c>
      <c r="U71" s="44">
        <v>0.0</v>
      </c>
      <c r="V71" s="44">
        <v>0.0</v>
      </c>
      <c r="W71" s="45"/>
      <c r="X71" s="45"/>
      <c r="Y71" s="45"/>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row>
    <row r="72">
      <c r="A72" s="152">
        <v>2.0</v>
      </c>
      <c r="B72" s="365" t="s">
        <v>4954</v>
      </c>
      <c r="C72" s="47">
        <v>68.0</v>
      </c>
      <c r="D72" s="48"/>
      <c r="E72" s="47" t="s">
        <v>2090</v>
      </c>
      <c r="F72" s="156" t="str">
        <f>HYPERLINK("https://www.cnnindonesia.com/internasional/20190813083301-120-420764/gudang-peluru-di-irak-meledak-13-orang-luka-luka ","sumber")</f>
        <v>sumber</v>
      </c>
      <c r="G72" s="47" t="s">
        <v>33</v>
      </c>
      <c r="H72" s="48"/>
      <c r="I72" s="48"/>
      <c r="J72" s="48"/>
      <c r="K72" s="165"/>
      <c r="L72" s="48"/>
      <c r="M72" s="48"/>
      <c r="N72" s="48"/>
      <c r="O72" s="48"/>
      <c r="P72" s="48"/>
      <c r="Q72" s="48"/>
      <c r="R72" s="48"/>
      <c r="S72" s="165"/>
      <c r="T72" s="48"/>
      <c r="U72" s="48"/>
      <c r="V72" s="48"/>
      <c r="W72" s="48"/>
      <c r="X72" s="48"/>
      <c r="Y72" s="48"/>
      <c r="Z72" s="338"/>
      <c r="AA72" s="366"/>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row>
    <row r="73">
      <c r="A73" s="158">
        <v>1.0</v>
      </c>
      <c r="B73" s="351" t="s">
        <v>4955</v>
      </c>
      <c r="C73" s="44">
        <v>69.0</v>
      </c>
      <c r="D73" s="44">
        <v>8.0</v>
      </c>
      <c r="E73" s="44" t="s">
        <v>2090</v>
      </c>
      <c r="F73" s="162" t="str">
        <f>HYPERLINK("https://www.suara.com/news/2019/08/13/130814/ngaku-bertemu-allah-swt-yahya-bikin-pengajian-di-makam-syiah-kuala ","sumber")</f>
        <v>sumber</v>
      </c>
      <c r="G73" s="44" t="s">
        <v>33</v>
      </c>
      <c r="H73" s="44">
        <v>259.0</v>
      </c>
      <c r="I73" s="44">
        <v>1.0</v>
      </c>
      <c r="J73" s="44" t="s">
        <v>4956</v>
      </c>
      <c r="K73" s="164" t="s">
        <v>4957</v>
      </c>
      <c r="L73" s="44">
        <v>0.0</v>
      </c>
      <c r="M73" s="188">
        <v>0.0</v>
      </c>
      <c r="N73" s="166">
        <v>0.0</v>
      </c>
      <c r="O73" s="166">
        <v>0.0</v>
      </c>
      <c r="P73" s="44">
        <v>0.0</v>
      </c>
      <c r="Q73" s="44" t="s">
        <v>61</v>
      </c>
      <c r="R73" s="44" t="s">
        <v>214</v>
      </c>
      <c r="S73" s="164" t="s">
        <v>4958</v>
      </c>
      <c r="T73" s="44">
        <v>1.0</v>
      </c>
      <c r="U73" s="44">
        <v>0.0</v>
      </c>
      <c r="V73" s="44">
        <v>1.0</v>
      </c>
      <c r="W73" s="45"/>
      <c r="X73" s="45"/>
      <c r="Y73" s="45"/>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row>
    <row r="74">
      <c r="A74" s="152">
        <v>2.0</v>
      </c>
      <c r="B74" s="365" t="s">
        <v>4959</v>
      </c>
      <c r="C74" s="47">
        <v>70.0</v>
      </c>
      <c r="D74" s="48"/>
      <c r="E74" s="47" t="s">
        <v>2472</v>
      </c>
      <c r="F74" s="156" t="str">
        <f>HYPERLINK("https://dunia.tempo.co/read/1237746/isis-klaim-dalang-serangan-resepsi-pernikahan-di-afganistan ","sumber")</f>
        <v>sumber</v>
      </c>
      <c r="G74" s="47" t="s">
        <v>33</v>
      </c>
      <c r="H74" s="48"/>
      <c r="I74" s="48"/>
      <c r="J74" s="48"/>
      <c r="K74" s="165"/>
      <c r="L74" s="48"/>
      <c r="M74" s="48"/>
      <c r="N74" s="48"/>
      <c r="O74" s="48"/>
      <c r="P74" s="48"/>
      <c r="Q74" s="48"/>
      <c r="R74" s="48"/>
      <c r="S74" s="165"/>
      <c r="T74" s="48"/>
      <c r="U74" s="48"/>
      <c r="V74" s="48"/>
      <c r="W74" s="48"/>
      <c r="X74" s="48"/>
      <c r="Y74" s="48"/>
      <c r="Z74" s="338"/>
      <c r="AA74" s="366"/>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row>
    <row r="75">
      <c r="A75" s="152">
        <v>2.0</v>
      </c>
      <c r="B75" s="365" t="s">
        <v>4960</v>
      </c>
      <c r="C75" s="47">
        <v>71.0</v>
      </c>
      <c r="D75" s="48"/>
      <c r="E75" s="47" t="s">
        <v>315</v>
      </c>
      <c r="F75" s="156" t="str">
        <f>HYPERLINK("https://www.liputan6.com/global/read/4048210/israel-mengebom-faksi-palestina-di-perbatasan-lebanon-suriah ","sumber")</f>
        <v>sumber</v>
      </c>
      <c r="G75" s="47" t="s">
        <v>33</v>
      </c>
      <c r="H75" s="48"/>
      <c r="I75" s="48"/>
      <c r="J75" s="48"/>
      <c r="K75" s="165"/>
      <c r="L75" s="48"/>
      <c r="M75" s="48"/>
      <c r="N75" s="48"/>
      <c r="O75" s="48"/>
      <c r="P75" s="48"/>
      <c r="Q75" s="48"/>
      <c r="R75" s="48"/>
      <c r="S75" s="165"/>
      <c r="T75" s="48"/>
      <c r="U75" s="48"/>
      <c r="V75" s="48"/>
      <c r="W75" s="48"/>
      <c r="X75" s="48"/>
      <c r="Y75" s="48"/>
      <c r="Z75" s="338"/>
      <c r="AA75" s="366"/>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row>
    <row r="76">
      <c r="A76" s="369">
        <v>4.0</v>
      </c>
      <c r="B76" s="351" t="s">
        <v>4961</v>
      </c>
      <c r="C76" s="44">
        <v>72.0</v>
      </c>
      <c r="D76" s="44">
        <v>1.0</v>
      </c>
      <c r="E76" s="44" t="s">
        <v>2665</v>
      </c>
      <c r="F76" s="162" t="str">
        <f>HYPERLINK("https://news.detik.com/berita/d-4687400/kemendagri-ingin-tata-kelola-ormas-diperbaiki-cegah-radikalisme ","sumber")</f>
        <v>sumber</v>
      </c>
      <c r="G76" s="44" t="s">
        <v>33</v>
      </c>
      <c r="H76" s="44"/>
      <c r="I76" s="44">
        <v>1.0</v>
      </c>
      <c r="J76" s="44"/>
      <c r="K76" s="164" t="s">
        <v>4962</v>
      </c>
      <c r="L76" s="44">
        <v>0.0</v>
      </c>
      <c r="M76" s="44">
        <v>-1.0</v>
      </c>
      <c r="N76" s="44">
        <v>0.0</v>
      </c>
      <c r="O76" s="44">
        <v>0.0</v>
      </c>
      <c r="P76" s="44">
        <v>0.0</v>
      </c>
      <c r="Q76" s="44">
        <v>0.0</v>
      </c>
      <c r="R76" s="44">
        <v>-1.0</v>
      </c>
      <c r="S76" s="175"/>
      <c r="T76" s="44">
        <v>0.0</v>
      </c>
      <c r="U76" s="44">
        <v>0.0</v>
      </c>
      <c r="V76" s="44">
        <v>0.0</v>
      </c>
      <c r="W76" s="45"/>
      <c r="X76" s="45"/>
      <c r="Y76" s="45"/>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row>
    <row r="77">
      <c r="A77" s="152">
        <v>2.0</v>
      </c>
      <c r="B77" s="365" t="s">
        <v>4963</v>
      </c>
      <c r="C77" s="47">
        <v>73.0</v>
      </c>
      <c r="D77" s="48"/>
      <c r="E77" s="280">
        <v>43505.0</v>
      </c>
      <c r="F77" s="156" t="str">
        <f>HYPERLINK("https://www.suara.com/news/2019/09/02/102017/jk-akan-berikan-orasi-ilmiah-di-milad-ke-58-unsyiah ","sumber")</f>
        <v>sumber</v>
      </c>
      <c r="G77" s="47" t="s">
        <v>33</v>
      </c>
      <c r="H77" s="48"/>
      <c r="I77" s="48"/>
      <c r="J77" s="48"/>
      <c r="K77" s="165"/>
      <c r="L77" s="48"/>
      <c r="M77" s="48"/>
      <c r="N77" s="48"/>
      <c r="O77" s="48"/>
      <c r="P77" s="48"/>
      <c r="Q77" s="48"/>
      <c r="R77" s="48"/>
      <c r="S77" s="165"/>
      <c r="T77" s="48"/>
      <c r="U77" s="48"/>
      <c r="V77" s="48"/>
      <c r="W77" s="48"/>
      <c r="X77" s="48"/>
      <c r="Y77" s="48"/>
      <c r="Z77" s="338"/>
      <c r="AA77" s="366"/>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row>
    <row r="78">
      <c r="A78" s="152">
        <v>2.0</v>
      </c>
      <c r="B78" s="365" t="s">
        <v>4964</v>
      </c>
      <c r="C78" s="47">
        <v>74.0</v>
      </c>
      <c r="D78" s="48"/>
      <c r="E78" s="280">
        <v>43533.0</v>
      </c>
      <c r="F78" s="156" t="str">
        <f>HYPERLINK("https://www.cnnindonesia.com/nasional/20190903160823-20-427169/panja-uu-perkawinan-sepakati-usia-minimal-nikah-18-tahun ","sumber")</f>
        <v>sumber</v>
      </c>
      <c r="G78" s="47" t="s">
        <v>33</v>
      </c>
      <c r="H78" s="48"/>
      <c r="I78" s="48"/>
      <c r="J78" s="48"/>
      <c r="K78" s="165"/>
      <c r="L78" s="48"/>
      <c r="M78" s="48"/>
      <c r="N78" s="48"/>
      <c r="O78" s="48"/>
      <c r="P78" s="48"/>
      <c r="Q78" s="48"/>
      <c r="R78" s="48"/>
      <c r="S78" s="165"/>
      <c r="T78" s="48"/>
      <c r="U78" s="48"/>
      <c r="V78" s="48"/>
      <c r="W78" s="48"/>
      <c r="X78" s="48"/>
      <c r="Y78" s="48"/>
      <c r="Z78" s="338"/>
      <c r="AA78" s="366"/>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row>
    <row r="79">
      <c r="A79" s="152">
        <v>2.0</v>
      </c>
      <c r="B79" s="365" t="s">
        <v>4965</v>
      </c>
      <c r="C79" s="47">
        <v>75.0</v>
      </c>
      <c r="D79" s="48"/>
      <c r="E79" s="280">
        <v>43497.0</v>
      </c>
      <c r="F79" s="156" t="str">
        <f>HYPERLINK("https://www.cnnindonesia.com/nasional/20190101165845-32-357793/prabowo-2019-tahun-penentuan-dan-kebangkitan-kembali ","sumber")</f>
        <v>sumber</v>
      </c>
      <c r="G79" s="47" t="s">
        <v>33</v>
      </c>
      <c r="H79" s="48"/>
      <c r="I79" s="48"/>
      <c r="J79" s="48"/>
      <c r="K79" s="165"/>
      <c r="L79" s="48"/>
      <c r="M79" s="48"/>
      <c r="N79" s="48"/>
      <c r="O79" s="48"/>
      <c r="P79" s="48"/>
      <c r="Q79" s="48"/>
      <c r="R79" s="48"/>
      <c r="S79" s="165"/>
      <c r="T79" s="48"/>
      <c r="U79" s="48"/>
      <c r="V79" s="48"/>
      <c r="W79" s="48"/>
      <c r="X79" s="48"/>
      <c r="Y79" s="48"/>
      <c r="Z79" s="338"/>
      <c r="AA79" s="366"/>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row>
    <row r="80">
      <c r="A80" s="152">
        <v>2.0</v>
      </c>
      <c r="B80" s="365" t="s">
        <v>4966</v>
      </c>
      <c r="C80" s="47">
        <v>76.0</v>
      </c>
      <c r="D80" s="48"/>
      <c r="E80" s="280">
        <v>43525.0</v>
      </c>
      <c r="F80" s="156" t="str">
        <f>HYPERLINK("https://www.cnnindonesia.com/hiburan/20190103134402-220-358202/rima-melati-adams-dibutakan-hantu-kebaya-merah ","sumber")</f>
        <v>sumber</v>
      </c>
      <c r="G80" s="47" t="s">
        <v>33</v>
      </c>
      <c r="H80" s="48"/>
      <c r="I80" s="48"/>
      <c r="J80" s="48"/>
      <c r="K80" s="165"/>
      <c r="L80" s="48"/>
      <c r="M80" s="48"/>
      <c r="N80" s="48"/>
      <c r="O80" s="48"/>
      <c r="P80" s="48"/>
      <c r="Q80" s="48"/>
      <c r="R80" s="48"/>
      <c r="S80" s="165"/>
      <c r="T80" s="48"/>
      <c r="U80" s="48"/>
      <c r="V80" s="48"/>
      <c r="W80" s="48"/>
      <c r="X80" s="48"/>
      <c r="Y80" s="48"/>
      <c r="Z80" s="338"/>
      <c r="AA80" s="366"/>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row>
    <row r="81">
      <c r="A81" s="152">
        <v>2.0</v>
      </c>
      <c r="B81" s="365" t="s">
        <v>4967</v>
      </c>
      <c r="C81" s="47">
        <v>77.0</v>
      </c>
      <c r="D81" s="48"/>
      <c r="E81" s="280">
        <v>43556.0</v>
      </c>
      <c r="F81" s="156" t="str">
        <f>HYPERLINK("https://tekno.tempo.co/read/1161485/rilis-di-indonesia-harga-oppo-r17-pro-rp-9999-juta ","sumber")</f>
        <v>sumber</v>
      </c>
      <c r="G81" s="47" t="s">
        <v>33</v>
      </c>
      <c r="H81" s="48"/>
      <c r="I81" s="48"/>
      <c r="J81" s="48"/>
      <c r="K81" s="165"/>
      <c r="L81" s="48"/>
      <c r="M81" s="48"/>
      <c r="N81" s="48"/>
      <c r="O81" s="48"/>
      <c r="P81" s="48"/>
      <c r="Q81" s="48"/>
      <c r="R81" s="48"/>
      <c r="S81" s="165"/>
      <c r="T81" s="48"/>
      <c r="U81" s="48"/>
      <c r="V81" s="48"/>
      <c r="W81" s="48"/>
      <c r="X81" s="48"/>
      <c r="Y81" s="48"/>
      <c r="Z81" s="338"/>
      <c r="AA81" s="366"/>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row>
    <row r="82">
      <c r="A82" s="152">
        <v>2.0</v>
      </c>
      <c r="B82" s="365" t="s">
        <v>4968</v>
      </c>
      <c r="C82" s="47">
        <v>78.0</v>
      </c>
      <c r="D82" s="48"/>
      <c r="E82" s="280">
        <v>43678.0</v>
      </c>
      <c r="F82" s="156" t="str">
        <f>HYPERLINK("https://tirto.id/indikator-debat-pilpres-berdampak-kuat-bagi-swing-voters-ddMC ","sumber")</f>
        <v>sumber</v>
      </c>
      <c r="G82" s="47" t="s">
        <v>33</v>
      </c>
      <c r="H82" s="48"/>
      <c r="I82" s="48"/>
      <c r="J82" s="48"/>
      <c r="K82" s="165"/>
      <c r="L82" s="48"/>
      <c r="M82" s="48"/>
      <c r="N82" s="48"/>
      <c r="O82" s="48"/>
      <c r="P82" s="48"/>
      <c r="Q82" s="48"/>
      <c r="R82" s="48"/>
      <c r="S82" s="165"/>
      <c r="T82" s="48"/>
      <c r="U82" s="48"/>
      <c r="V82" s="48"/>
      <c r="W82" s="48"/>
      <c r="X82" s="48"/>
      <c r="Y82" s="48"/>
      <c r="Z82" s="338"/>
      <c r="AA82" s="366"/>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row>
    <row r="83">
      <c r="A83" s="152">
        <v>2.0</v>
      </c>
      <c r="B83" s="365" t="s">
        <v>455</v>
      </c>
      <c r="C83" s="47">
        <v>79.0</v>
      </c>
      <c r="D83" s="48"/>
      <c r="E83" s="280">
        <v>43770.0</v>
      </c>
      <c r="F83" s="156" t="str">
        <f>HYPERLINK("https://tirto.id/jadwal-sholat-dzuhur-kab-balangan-desember-2018-hari-ini-ddZf ","sumber")</f>
        <v>sumber</v>
      </c>
      <c r="G83" s="47" t="s">
        <v>33</v>
      </c>
      <c r="H83" s="48"/>
      <c r="I83" s="48"/>
      <c r="J83" s="48"/>
      <c r="K83" s="165"/>
      <c r="L83" s="48"/>
      <c r="M83" s="48"/>
      <c r="N83" s="48"/>
      <c r="O83" s="48"/>
      <c r="P83" s="48"/>
      <c r="Q83" s="48"/>
      <c r="R83" s="48"/>
      <c r="S83" s="165"/>
      <c r="T83" s="48"/>
      <c r="U83" s="48"/>
      <c r="V83" s="48"/>
      <c r="W83" s="48"/>
      <c r="X83" s="48"/>
      <c r="Y83" s="48"/>
      <c r="Z83" s="338"/>
      <c r="AA83" s="366"/>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row>
    <row r="84">
      <c r="A84" s="369">
        <v>1.0</v>
      </c>
      <c r="B84" s="351" t="s">
        <v>4969</v>
      </c>
      <c r="C84" s="44">
        <v>80.0</v>
      </c>
      <c r="D84" s="44">
        <v>4.0</v>
      </c>
      <c r="E84" s="268">
        <v>43800.0</v>
      </c>
      <c r="F84" s="162" t="str">
        <f>HYPERLINK("https://www.liputan6.com/bola/read/3869089/pelatih-fitnes-ini-terkena-gangguan-jiwa-gara-gara-kecanduan-main-pubg ","sumber")</f>
        <v>sumber</v>
      </c>
      <c r="G84" s="44" t="s">
        <v>33</v>
      </c>
      <c r="H84" s="44">
        <v>1.0</v>
      </c>
      <c r="I84" s="44">
        <v>2.0</v>
      </c>
      <c r="J84" s="44">
        <v>2.0</v>
      </c>
      <c r="K84" s="164"/>
      <c r="L84" s="44">
        <v>0.0</v>
      </c>
      <c r="M84" s="44">
        <v>0.0</v>
      </c>
      <c r="N84" s="166">
        <v>0.0</v>
      </c>
      <c r="O84" s="166">
        <v>0.0</v>
      </c>
      <c r="P84" s="44">
        <v>0.0</v>
      </c>
      <c r="Q84" s="44"/>
      <c r="R84" s="44"/>
      <c r="S84" s="175"/>
      <c r="T84" s="44">
        <v>0.0</v>
      </c>
      <c r="U84" s="44">
        <v>0.0</v>
      </c>
      <c r="V84" s="44">
        <v>1.0</v>
      </c>
      <c r="W84" s="45"/>
      <c r="X84" s="45"/>
      <c r="Y84" s="45"/>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row>
    <row r="85">
      <c r="A85" s="167">
        <v>1.0</v>
      </c>
      <c r="B85" s="341" t="s">
        <v>2116</v>
      </c>
      <c r="C85" s="55">
        <v>81.0</v>
      </c>
      <c r="D85" s="55">
        <v>8.0</v>
      </c>
      <c r="E85" s="55" t="s">
        <v>689</v>
      </c>
      <c r="F85" s="171" t="str">
        <f>HYPERLINK("https://www.suara.com/wawancara/2019/01/07/172614/triyono-pencetus-ojek-online-difabel-pertama-di-dunia ","sumber")</f>
        <v>sumber</v>
      </c>
      <c r="G85" s="55" t="s">
        <v>33</v>
      </c>
      <c r="H85" s="55">
        <v>3.0</v>
      </c>
      <c r="I85" s="55">
        <v>2.0</v>
      </c>
      <c r="J85" s="55">
        <v>2.0</v>
      </c>
      <c r="K85" s="172" t="s">
        <v>4970</v>
      </c>
      <c r="L85" s="55">
        <v>0.0</v>
      </c>
      <c r="M85" s="55">
        <v>0.0</v>
      </c>
      <c r="N85" s="173">
        <v>0.0</v>
      </c>
      <c r="O85" s="173">
        <v>0.0</v>
      </c>
      <c r="P85" s="55">
        <v>0.0</v>
      </c>
      <c r="Q85" s="55">
        <v>2.0</v>
      </c>
      <c r="R85" s="55">
        <v>1.0</v>
      </c>
      <c r="S85" s="174"/>
      <c r="T85" s="55">
        <v>0.0</v>
      </c>
      <c r="U85" s="55">
        <v>0.0</v>
      </c>
      <c r="V85" s="55">
        <v>1.0</v>
      </c>
      <c r="W85" s="46"/>
      <c r="X85" s="46"/>
      <c r="Y85" s="46"/>
      <c r="Z85" s="302"/>
      <c r="AA85" s="367"/>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row>
    <row r="86">
      <c r="A86" s="152">
        <v>2.0</v>
      </c>
      <c r="B86" s="365" t="s">
        <v>4971</v>
      </c>
      <c r="C86" s="47">
        <v>82.0</v>
      </c>
      <c r="D86" s="48"/>
      <c r="E86" s="47" t="s">
        <v>689</v>
      </c>
      <c r="F86" s="156" t="str">
        <f>HYPERLINK("http://www.tribunnews.com/nasional/2019/01/14/kolaborasi-agustina-dan-agustanto-semangati-relawan-demi-jokowi ","sumber")</f>
        <v>sumber</v>
      </c>
      <c r="G86" s="47" t="s">
        <v>33</v>
      </c>
      <c r="H86" s="48"/>
      <c r="I86" s="48"/>
      <c r="J86" s="48"/>
      <c r="K86" s="165"/>
      <c r="L86" s="48"/>
      <c r="M86" s="48"/>
      <c r="N86" s="48"/>
      <c r="O86" s="48"/>
      <c r="P86" s="48"/>
      <c r="Q86" s="48"/>
      <c r="R86" s="48"/>
      <c r="S86" s="165"/>
      <c r="T86" s="48"/>
      <c r="U86" s="48"/>
      <c r="V86" s="48"/>
      <c r="W86" s="48"/>
      <c r="X86" s="48"/>
      <c r="Y86" s="48"/>
      <c r="Z86" s="338"/>
      <c r="AA86" s="366"/>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row>
    <row r="87">
      <c r="A87" s="370">
        <v>2.0</v>
      </c>
      <c r="B87" s="371" t="s">
        <v>4972</v>
      </c>
      <c r="C87" s="343">
        <v>83.0</v>
      </c>
      <c r="D87" s="372"/>
      <c r="E87" s="343" t="s">
        <v>457</v>
      </c>
      <c r="F87" s="373" t="str">
        <f>HYPERLINK("http://www.tribunnews.com/kesehatan/2019/01/16/ajaib-dokter-temukan-janin-bayi-di-perut-bayi-berusia-3-bulan ","sumber")</f>
        <v>sumber</v>
      </c>
      <c r="G87" s="343" t="s">
        <v>33</v>
      </c>
      <c r="H87" s="372"/>
      <c r="I87" s="372"/>
      <c r="J87" s="372"/>
      <c r="K87" s="374"/>
      <c r="L87" s="372"/>
      <c r="M87" s="372"/>
      <c r="N87" s="372"/>
      <c r="O87" s="372"/>
      <c r="P87" s="372"/>
      <c r="Q87" s="372"/>
      <c r="R87" s="372"/>
      <c r="S87" s="374"/>
      <c r="T87" s="372"/>
      <c r="U87" s="372"/>
      <c r="V87" s="372"/>
      <c r="W87" s="372"/>
      <c r="X87" s="372"/>
      <c r="Y87" s="372"/>
      <c r="Z87" s="338"/>
      <c r="AA87" s="366"/>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row>
    <row r="88">
      <c r="A88" s="152">
        <v>2.0</v>
      </c>
      <c r="B88" s="365" t="s">
        <v>4973</v>
      </c>
      <c r="C88" s="47">
        <v>84.0</v>
      </c>
      <c r="D88" s="48"/>
      <c r="E88" s="47" t="s">
        <v>2503</v>
      </c>
      <c r="F88" s="156" t="str">
        <f>HYPERLINK("https://www.liputan6.com/pilpres/read/3873637/prabowo-sebut-presiden-chief-law-officer-tim-jokowi-itu-kesalahan-fatal ","sumber")</f>
        <v>sumber</v>
      </c>
      <c r="G88" s="47" t="s">
        <v>33</v>
      </c>
      <c r="H88" s="48"/>
      <c r="I88" s="48"/>
      <c r="J88" s="48"/>
      <c r="K88" s="165"/>
      <c r="L88" s="48"/>
      <c r="M88" s="48"/>
      <c r="N88" s="48"/>
      <c r="O88" s="48"/>
      <c r="P88" s="48"/>
      <c r="Q88" s="48"/>
      <c r="R88" s="48"/>
      <c r="S88" s="165"/>
      <c r="T88" s="48"/>
      <c r="U88" s="48"/>
      <c r="V88" s="48"/>
      <c r="W88" s="48"/>
      <c r="X88" s="48"/>
      <c r="Y88" s="48"/>
      <c r="Z88" s="338"/>
      <c r="AA88" s="366"/>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row>
    <row r="89">
      <c r="A89" s="158">
        <v>1.0</v>
      </c>
      <c r="B89" s="351" t="s">
        <v>4974</v>
      </c>
      <c r="C89" s="44">
        <v>85.0</v>
      </c>
      <c r="D89" s="44">
        <v>10.0</v>
      </c>
      <c r="E89" s="44" t="s">
        <v>2503</v>
      </c>
      <c r="F89" s="162" t="str">
        <f>HYPERLINK("https://difabel.tempo.co/read/1165912/3-perpustakaan-mandiri-yang-ramah-buat-tunanetra ","sumber")</f>
        <v>sumber</v>
      </c>
      <c r="G89" s="44" t="s">
        <v>33</v>
      </c>
      <c r="H89" s="44">
        <v>285.0</v>
      </c>
      <c r="I89" s="44">
        <v>4.0</v>
      </c>
      <c r="J89" s="44">
        <v>2.0</v>
      </c>
      <c r="K89" s="164" t="s">
        <v>4975</v>
      </c>
      <c r="L89" s="44">
        <v>0.0</v>
      </c>
      <c r="M89" s="44">
        <v>0.0</v>
      </c>
      <c r="N89" s="166">
        <v>0.0</v>
      </c>
      <c r="O89" s="166">
        <v>0.0</v>
      </c>
      <c r="P89" s="44">
        <v>0.0</v>
      </c>
      <c r="Q89" s="44" t="s">
        <v>392</v>
      </c>
      <c r="R89" s="44" t="s">
        <v>392</v>
      </c>
      <c r="S89" s="175"/>
      <c r="T89" s="44">
        <v>0.0</v>
      </c>
      <c r="U89" s="44">
        <v>0.0</v>
      </c>
      <c r="V89" s="44">
        <v>1.0</v>
      </c>
      <c r="W89" s="45"/>
      <c r="X89" s="45"/>
      <c r="Y89" s="45"/>
      <c r="Z89" s="52"/>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row>
    <row r="90">
      <c r="A90" s="158">
        <v>1.0</v>
      </c>
      <c r="B90" s="351" t="s">
        <v>4976</v>
      </c>
      <c r="C90" s="44">
        <v>86.0</v>
      </c>
      <c r="D90" s="44">
        <v>6.0</v>
      </c>
      <c r="E90" s="44" t="s">
        <v>698</v>
      </c>
      <c r="F90" s="162" t="str">
        <f>HYPERLINK("https://properti.kompas.com/read/2019/01/18/100000521/jokowi-klaim-bangun-fasilitas-untuk-difabel-cek-faktanya-","sumber")</f>
        <v>sumber</v>
      </c>
      <c r="G90" s="44" t="s">
        <v>33</v>
      </c>
      <c r="H90" s="44">
        <v>281.0</v>
      </c>
      <c r="I90" s="44">
        <v>4.0</v>
      </c>
      <c r="J90" s="44">
        <v>2.0</v>
      </c>
      <c r="K90" s="164" t="s">
        <v>4977</v>
      </c>
      <c r="L90" s="44">
        <v>0.0</v>
      </c>
      <c r="M90" s="44">
        <v>0.0</v>
      </c>
      <c r="N90" s="166">
        <v>0.0</v>
      </c>
      <c r="O90" s="166">
        <v>0.0</v>
      </c>
      <c r="P90" s="44">
        <v>0.0</v>
      </c>
      <c r="Q90" s="44">
        <v>0.0</v>
      </c>
      <c r="R90" s="44">
        <v>0.0</v>
      </c>
      <c r="S90" s="175"/>
      <c r="T90" s="44">
        <v>0.0</v>
      </c>
      <c r="U90" s="44">
        <v>0.0</v>
      </c>
      <c r="V90" s="44">
        <v>1.0</v>
      </c>
      <c r="W90" s="45"/>
      <c r="X90" s="45"/>
      <c r="Y90" s="45"/>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row>
    <row r="91">
      <c r="A91" s="152">
        <v>2.0</v>
      </c>
      <c r="B91" s="365" t="s">
        <v>4978</v>
      </c>
      <c r="C91" s="47">
        <v>87.0</v>
      </c>
      <c r="D91" s="48"/>
      <c r="E91" s="274" t="s">
        <v>2893</v>
      </c>
      <c r="F91" s="156" t="str">
        <f>HYPERLINK("https://tirto.id/hasil-liverpool-vs-palace-4-3-the-reds-jauhi-city-7-poin-deLd","sumber")</f>
        <v>sumber</v>
      </c>
      <c r="G91" s="47" t="s">
        <v>33</v>
      </c>
      <c r="H91" s="48"/>
      <c r="I91" s="48"/>
      <c r="J91" s="48"/>
      <c r="K91" s="165"/>
      <c r="L91" s="48"/>
      <c r="M91" s="48"/>
      <c r="N91" s="48"/>
      <c r="O91" s="48"/>
      <c r="P91" s="48"/>
      <c r="Q91" s="48"/>
      <c r="R91" s="48"/>
      <c r="S91" s="165"/>
      <c r="T91" s="48"/>
      <c r="U91" s="48"/>
      <c r="V91" s="48"/>
      <c r="W91" s="48"/>
      <c r="X91" s="48"/>
      <c r="Y91" s="48"/>
      <c r="Z91" s="338"/>
      <c r="AA91" s="366"/>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row>
    <row r="92">
      <c r="A92" s="167">
        <v>1.0</v>
      </c>
      <c r="B92" s="341" t="s">
        <v>4979</v>
      </c>
      <c r="C92" s="55">
        <v>88.0</v>
      </c>
      <c r="D92" s="55">
        <v>10.0</v>
      </c>
      <c r="E92" s="55" t="s">
        <v>4980</v>
      </c>
      <c r="F92" s="171" t="str">
        <f>HYPERLINK("https://difabel.tempo.co/read/1162584/mesin-ketik-perkins-alat-pembuat-huruf-braille ","sumber")</f>
        <v>sumber</v>
      </c>
      <c r="G92" s="55" t="s">
        <v>33</v>
      </c>
      <c r="H92" s="55">
        <v>1.0</v>
      </c>
      <c r="I92" s="55">
        <v>2.0</v>
      </c>
      <c r="J92" s="55">
        <v>2.0</v>
      </c>
      <c r="K92" s="172" t="s">
        <v>4981</v>
      </c>
      <c r="L92" s="55">
        <v>0.0</v>
      </c>
      <c r="M92" s="55">
        <v>0.0</v>
      </c>
      <c r="N92" s="173">
        <v>0.0</v>
      </c>
      <c r="O92" s="173">
        <v>0.0</v>
      </c>
      <c r="P92" s="55">
        <v>0.0</v>
      </c>
      <c r="Q92" s="55" t="s">
        <v>4982</v>
      </c>
      <c r="R92" s="55" t="s">
        <v>1078</v>
      </c>
      <c r="S92" s="174"/>
      <c r="T92" s="55">
        <v>0.0</v>
      </c>
      <c r="U92" s="55">
        <v>-1.0</v>
      </c>
      <c r="V92" s="55">
        <v>1.0</v>
      </c>
      <c r="W92" s="46"/>
      <c r="X92" s="46"/>
      <c r="Y92" s="46"/>
      <c r="Z92" s="302"/>
      <c r="AA92" s="367"/>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row>
    <row r="93">
      <c r="A93" s="375">
        <v>2.0</v>
      </c>
      <c r="B93" s="376" t="s">
        <v>474</v>
      </c>
      <c r="C93" s="47">
        <v>89.0</v>
      </c>
      <c r="D93" s="48"/>
      <c r="E93" s="47" t="s">
        <v>4983</v>
      </c>
      <c r="F93" s="377" t="str">
        <f>HYPERLINK("https://internasional.kompas.com/read/2019/02/05/18352221/rusia-uji-coba-senjata-yang-bisa-bikin-halusinasi-dan-muntah ","sumber")</f>
        <v>sumber</v>
      </c>
      <c r="G93" s="47" t="s">
        <v>33</v>
      </c>
      <c r="H93" s="48"/>
      <c r="I93" s="48"/>
      <c r="J93" s="48"/>
      <c r="K93" s="165"/>
      <c r="L93" s="48"/>
      <c r="M93" s="48"/>
      <c r="N93" s="48"/>
      <c r="O93" s="48"/>
      <c r="P93" s="48"/>
      <c r="Q93" s="48"/>
      <c r="R93" s="48"/>
      <c r="S93" s="165"/>
      <c r="T93" s="48"/>
      <c r="U93" s="48"/>
      <c r="V93" s="48"/>
      <c r="W93" s="48"/>
      <c r="X93" s="48"/>
      <c r="Y93" s="48"/>
      <c r="Z93" s="338"/>
      <c r="AA93" s="366"/>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row>
    <row r="94">
      <c r="A94" s="369">
        <v>1.0</v>
      </c>
      <c r="B94" s="351" t="s">
        <v>4984</v>
      </c>
      <c r="C94" s="44">
        <v>90.0</v>
      </c>
      <c r="D94" s="44">
        <v>2.0</v>
      </c>
      <c r="E94" s="268">
        <v>43648.0</v>
      </c>
      <c r="F94" s="162" t="str">
        <f>HYPERLINK("https://www.cnnindonesia.com/nasional/20190207164230-12-367226/bunuh-adik-ipar-eks-wakapolres-tak-dibui-karena-sakit-jiwa","sumber")</f>
        <v>sumber</v>
      </c>
      <c r="G94" s="44" t="s">
        <v>33</v>
      </c>
      <c r="H94" s="44">
        <v>2.0</v>
      </c>
      <c r="I94" s="44">
        <v>4.0</v>
      </c>
      <c r="J94" s="44">
        <v>2.0</v>
      </c>
      <c r="K94" s="164" t="s">
        <v>4985</v>
      </c>
      <c r="L94" s="44">
        <v>0.0</v>
      </c>
      <c r="M94" s="44">
        <v>0.0</v>
      </c>
      <c r="N94" s="166">
        <v>0.0</v>
      </c>
      <c r="O94" s="166">
        <v>0.0</v>
      </c>
      <c r="P94" s="44">
        <v>0.0</v>
      </c>
      <c r="Q94" s="44" t="s">
        <v>61</v>
      </c>
      <c r="R94" s="44" t="s">
        <v>192</v>
      </c>
      <c r="S94" s="175"/>
      <c r="T94" s="44">
        <v>0.0</v>
      </c>
      <c r="U94" s="44">
        <v>0.0</v>
      </c>
      <c r="V94" s="44">
        <v>1.0</v>
      </c>
      <c r="W94" s="45"/>
      <c r="X94" s="45"/>
      <c r="Y94" s="45"/>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row>
    <row r="95">
      <c r="A95" s="167">
        <v>1.0</v>
      </c>
      <c r="B95" s="341" t="s">
        <v>4986</v>
      </c>
      <c r="C95" s="55">
        <v>91.0</v>
      </c>
      <c r="D95" s="55">
        <v>8.0</v>
      </c>
      <c r="E95" s="344">
        <v>43710.0</v>
      </c>
      <c r="F95" s="171" t="str">
        <f>HYPERLINK("https://www.suara.com/lifestyle/2019/02/23/132623/bera-ivanishvili-model-albino-paling-ganteng-sejagat-raya ","sumber")</f>
        <v>sumber</v>
      </c>
      <c r="G95" s="55" t="s">
        <v>33</v>
      </c>
      <c r="H95" s="55">
        <v>1.0</v>
      </c>
      <c r="I95" s="55">
        <v>2.0</v>
      </c>
      <c r="J95" s="55">
        <v>2.0</v>
      </c>
      <c r="K95" s="172"/>
      <c r="L95" s="55">
        <v>0.0</v>
      </c>
      <c r="M95" s="55">
        <v>0.0</v>
      </c>
      <c r="N95" s="173">
        <v>0.0</v>
      </c>
      <c r="O95" s="173">
        <v>0.0</v>
      </c>
      <c r="P95" s="55">
        <v>0.0</v>
      </c>
      <c r="Q95" s="55"/>
      <c r="R95" s="55"/>
      <c r="S95" s="174"/>
      <c r="T95" s="55">
        <v>0.0</v>
      </c>
      <c r="U95" s="55">
        <v>0.0</v>
      </c>
      <c r="V95" s="55">
        <v>0.0</v>
      </c>
      <c r="W95" s="46"/>
      <c r="X95" s="46"/>
      <c r="Y95" s="46"/>
      <c r="Z95" s="302"/>
      <c r="AA95" s="367"/>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row>
    <row r="96">
      <c r="A96" s="167">
        <v>1.0</v>
      </c>
      <c r="B96" s="341" t="s">
        <v>4987</v>
      </c>
      <c r="C96" s="55">
        <v>92.0</v>
      </c>
      <c r="D96" s="55">
        <v>6.0</v>
      </c>
      <c r="E96" s="344">
        <v>43771.0</v>
      </c>
      <c r="F96" s="171" t="str">
        <f>HYPERLINK("https://nasional.kompas.com/read/2019/02/18/15314681/mesin-notula-mentranskrip-semua-dialog-dalam-debat-pilpres-2019 ","sumber")</f>
        <v>sumber</v>
      </c>
      <c r="G96" s="55" t="s">
        <v>33</v>
      </c>
      <c r="H96" s="55">
        <v>2.0</v>
      </c>
      <c r="I96" s="55">
        <v>2.0</v>
      </c>
      <c r="J96" s="55">
        <v>2.0</v>
      </c>
      <c r="K96" s="172" t="s">
        <v>4988</v>
      </c>
      <c r="L96" s="55">
        <v>0.0</v>
      </c>
      <c r="M96" s="55">
        <v>0.0</v>
      </c>
      <c r="N96" s="173">
        <v>0.0</v>
      </c>
      <c r="O96" s="173">
        <v>0.0</v>
      </c>
      <c r="P96" s="55">
        <v>0.0</v>
      </c>
      <c r="Q96" s="55">
        <v>0.0</v>
      </c>
      <c r="R96" s="55">
        <v>1.0</v>
      </c>
      <c r="S96" s="174"/>
      <c r="T96" s="55">
        <v>0.0</v>
      </c>
      <c r="U96" s="55">
        <v>0.0</v>
      </c>
      <c r="V96" s="55">
        <v>0.0</v>
      </c>
      <c r="W96" s="46"/>
      <c r="X96" s="46"/>
      <c r="Y96" s="46"/>
      <c r="Z96" s="302"/>
      <c r="AA96" s="367"/>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row>
    <row r="97">
      <c r="A97" s="167">
        <v>1.0</v>
      </c>
      <c r="B97" s="341" t="s">
        <v>4989</v>
      </c>
      <c r="C97" s="55">
        <v>93.0</v>
      </c>
      <c r="D97" s="55">
        <v>1.0</v>
      </c>
      <c r="E97" s="55" t="s">
        <v>113</v>
      </c>
      <c r="F97" s="171" t="str">
        <f>HYPERLINK("https://health.detik.com/berita-detikhealth/d-4417444/ada-bercak-di-kulit-dan-tak-terasa-curigai-kusta ","sumber")</f>
        <v>sumber</v>
      </c>
      <c r="G97" s="55" t="s">
        <v>33</v>
      </c>
      <c r="H97" s="55">
        <v>1.0</v>
      </c>
      <c r="I97" s="55">
        <v>3.0</v>
      </c>
      <c r="J97" s="55">
        <v>2.0</v>
      </c>
      <c r="K97" s="172" t="s">
        <v>4990</v>
      </c>
      <c r="L97" s="55">
        <v>0.0</v>
      </c>
      <c r="M97" s="55">
        <v>0.0</v>
      </c>
      <c r="N97" s="173">
        <v>0.0</v>
      </c>
      <c r="O97" s="173">
        <v>0.0</v>
      </c>
      <c r="P97" s="55">
        <v>0.0</v>
      </c>
      <c r="Q97" s="55">
        <v>0.0</v>
      </c>
      <c r="R97" s="55">
        <v>0.0</v>
      </c>
      <c r="S97" s="174"/>
      <c r="T97" s="55">
        <v>0.0</v>
      </c>
      <c r="U97" s="55">
        <v>0.0</v>
      </c>
      <c r="V97" s="55">
        <v>1.0</v>
      </c>
      <c r="W97" s="46"/>
      <c r="X97" s="46"/>
      <c r="Y97" s="46"/>
      <c r="Z97" s="302"/>
      <c r="AA97" s="367"/>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row>
    <row r="98">
      <c r="A98" s="167">
        <v>1.0</v>
      </c>
      <c r="B98" s="341" t="s">
        <v>4991</v>
      </c>
      <c r="C98" s="55">
        <v>94.0</v>
      </c>
      <c r="D98" s="55">
        <v>5.0</v>
      </c>
      <c r="E98" s="55" t="s">
        <v>117</v>
      </c>
      <c r="F98" s="171" t="str">
        <f>HYPERLINK("https://tirto.id/ppua-caleg-disabilitas-perlu-menyuarakan-hak-yang-belum-terwujud-dfPb ","sumber")</f>
        <v>sumber</v>
      </c>
      <c r="G98" s="55" t="s">
        <v>33</v>
      </c>
      <c r="H98" s="55">
        <v>1.0</v>
      </c>
      <c r="I98" s="55">
        <v>3.0</v>
      </c>
      <c r="J98" s="55">
        <v>2.0</v>
      </c>
      <c r="K98" s="172" t="s">
        <v>4992</v>
      </c>
      <c r="L98" s="55">
        <v>0.0</v>
      </c>
      <c r="M98" s="55">
        <v>0.0</v>
      </c>
      <c r="N98" s="173">
        <v>0.0</v>
      </c>
      <c r="O98" s="173">
        <v>0.0</v>
      </c>
      <c r="P98" s="55">
        <v>0.0</v>
      </c>
      <c r="Q98" s="55">
        <v>1.0</v>
      </c>
      <c r="R98" s="55">
        <v>1.0</v>
      </c>
      <c r="S98" s="174"/>
      <c r="T98" s="55">
        <v>0.0</v>
      </c>
      <c r="U98" s="55">
        <v>0.0</v>
      </c>
      <c r="V98" s="55">
        <v>1.0</v>
      </c>
      <c r="W98" s="46"/>
      <c r="X98" s="46"/>
      <c r="Y98" s="46"/>
      <c r="Z98" s="302"/>
      <c r="AA98" s="367"/>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row>
    <row r="99">
      <c r="A99" s="152">
        <v>2.0</v>
      </c>
      <c r="B99" s="365" t="s">
        <v>4993</v>
      </c>
      <c r="C99" s="47">
        <v>95.0</v>
      </c>
      <c r="D99" s="48"/>
      <c r="E99" s="47" t="s">
        <v>476</v>
      </c>
      <c r="F99" s="156" t="str">
        <f>HYPERLINK("https://economy.okezone.com/read/2019/02/19/320/2019963/dinilai-tangguh-qualcomm-naikkan-gaji-ceo-steve-mollenkop","sumber")</f>
        <v>sumber</v>
      </c>
      <c r="G99" s="47" t="s">
        <v>33</v>
      </c>
      <c r="H99" s="48"/>
      <c r="I99" s="48"/>
      <c r="J99" s="48"/>
      <c r="K99" s="165"/>
      <c r="L99" s="48"/>
      <c r="M99" s="48"/>
      <c r="N99" s="48"/>
      <c r="O99" s="48"/>
      <c r="P99" s="48"/>
      <c r="Q99" s="48"/>
      <c r="R99" s="48"/>
      <c r="S99" s="165"/>
      <c r="T99" s="48"/>
      <c r="U99" s="48"/>
      <c r="V99" s="48"/>
      <c r="W99" s="48"/>
      <c r="X99" s="48"/>
      <c r="Y99" s="48"/>
      <c r="Z99" s="338"/>
      <c r="AA99" s="366"/>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row>
    <row r="100">
      <c r="A100" s="158">
        <v>1.0</v>
      </c>
      <c r="B100" s="351" t="s">
        <v>4994</v>
      </c>
      <c r="C100" s="44">
        <v>96.0</v>
      </c>
      <c r="D100" s="44">
        <v>2.0</v>
      </c>
      <c r="E100" s="44" t="s">
        <v>2152</v>
      </c>
      <c r="F100" s="162" t="str">
        <f>HYPERLINK("https://www.cnnindonesia.com/nasional/20190222200631-20-371945/pemerintah-targetkan-ruu-pks-disahkan-agustus-2019 ","sumber")</f>
        <v>sumber</v>
      </c>
      <c r="G100" s="44" t="s">
        <v>33</v>
      </c>
      <c r="H100" s="44">
        <v>465.0</v>
      </c>
      <c r="I100" s="44">
        <v>4.0</v>
      </c>
      <c r="J100" s="44">
        <v>1.0</v>
      </c>
      <c r="K100" s="164" t="s">
        <v>4995</v>
      </c>
      <c r="L100" s="44">
        <v>0.0</v>
      </c>
      <c r="M100" s="44">
        <v>0.0</v>
      </c>
      <c r="N100" s="166">
        <v>0.0</v>
      </c>
      <c r="O100" s="166">
        <v>0.0</v>
      </c>
      <c r="P100" s="44">
        <v>0.0</v>
      </c>
      <c r="Q100" s="44">
        <v>1.0</v>
      </c>
      <c r="R100" s="44">
        <v>1.0</v>
      </c>
      <c r="S100" s="175"/>
      <c r="T100" s="44">
        <v>0.0</v>
      </c>
      <c r="U100" s="44">
        <v>0.0</v>
      </c>
      <c r="V100" s="44">
        <v>1.0</v>
      </c>
      <c r="W100" s="45"/>
      <c r="X100" s="45"/>
      <c r="Y100" s="45"/>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row>
    <row r="101">
      <c r="A101" s="167">
        <v>1.0</v>
      </c>
      <c r="B101" s="341" t="s">
        <v>4996</v>
      </c>
      <c r="C101" s="55">
        <v>97.0</v>
      </c>
      <c r="D101" s="55">
        <v>1.0</v>
      </c>
      <c r="E101" s="55" t="s">
        <v>2152</v>
      </c>
      <c r="F101" s="171" t="str">
        <f>HYPERLINK("https://health.detik.com/berita-detikhealth/d-4440480/hubungan-incest-hasilkan-keturunan-cacat-benarkah ","sumber")</f>
        <v>sumber</v>
      </c>
      <c r="G101" s="55" t="s">
        <v>33</v>
      </c>
      <c r="H101" s="55">
        <v>1.0</v>
      </c>
      <c r="I101" s="55">
        <v>1.0</v>
      </c>
      <c r="J101" s="55">
        <v>3.0</v>
      </c>
      <c r="K101" s="172"/>
      <c r="L101" s="55">
        <v>0.0</v>
      </c>
      <c r="M101" s="55">
        <v>0.0</v>
      </c>
      <c r="N101" s="173">
        <v>0.0</v>
      </c>
      <c r="O101" s="173">
        <v>0.0</v>
      </c>
      <c r="P101" s="55">
        <v>0.0</v>
      </c>
      <c r="Q101" s="55"/>
      <c r="R101" s="55"/>
      <c r="S101" s="174"/>
      <c r="T101" s="55">
        <v>0.0</v>
      </c>
      <c r="U101" s="55">
        <v>0.0</v>
      </c>
      <c r="V101" s="55">
        <v>1.0</v>
      </c>
      <c r="W101" s="46"/>
      <c r="X101" s="46"/>
      <c r="Y101" s="46"/>
      <c r="Z101" s="302"/>
      <c r="AA101" s="367"/>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row>
    <row r="102">
      <c r="A102" s="152">
        <v>2.0</v>
      </c>
      <c r="B102" s="365" t="s">
        <v>2151</v>
      </c>
      <c r="C102" s="47">
        <v>98.0</v>
      </c>
      <c r="D102" s="48"/>
      <c r="E102" s="47" t="s">
        <v>2152</v>
      </c>
      <c r="F102" s="156" t="str">
        <f>HYPERLINK("http://www.tribunnews.com/section/2019/02/23/jimin-bts-jadi-perbincangan-saat-fotonya-muncul-dalam-sebuah-acara-beri-dukungan-pada-teman-lama ","sumber")</f>
        <v>sumber</v>
      </c>
      <c r="G102" s="47" t="s">
        <v>33</v>
      </c>
      <c r="H102" s="48"/>
      <c r="I102" s="48"/>
      <c r="J102" s="48"/>
      <c r="K102" s="165"/>
      <c r="L102" s="48"/>
      <c r="M102" s="48"/>
      <c r="N102" s="48"/>
      <c r="O102" s="48"/>
      <c r="P102" s="48"/>
      <c r="Q102" s="48"/>
      <c r="R102" s="48"/>
      <c r="S102" s="165"/>
      <c r="T102" s="48"/>
      <c r="U102" s="48"/>
      <c r="V102" s="48"/>
      <c r="W102" s="48"/>
      <c r="X102" s="48"/>
      <c r="Y102" s="48"/>
      <c r="Z102" s="338"/>
      <c r="AA102" s="366"/>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row>
    <row r="103">
      <c r="A103" s="167">
        <v>1.0</v>
      </c>
      <c r="B103" s="341" t="s">
        <v>4997</v>
      </c>
      <c r="C103" s="55">
        <v>99.0</v>
      </c>
      <c r="D103" s="55">
        <v>3.0</v>
      </c>
      <c r="E103" s="55" t="s">
        <v>2339</v>
      </c>
      <c r="F103" s="171" t="str">
        <f>HYPERLINK("https://news.okezone.com/read/2019/03/07/340/2026953/pelaku-pembongkaran-kuburan-bayi-ditangkap-motifnya-tali-pocong-untuk-jimat ","sumber")</f>
        <v>sumber</v>
      </c>
      <c r="G103" s="55" t="s">
        <v>33</v>
      </c>
      <c r="H103" s="55">
        <v>2.0</v>
      </c>
      <c r="I103" s="55">
        <v>1.0</v>
      </c>
      <c r="J103" s="55">
        <v>2.0</v>
      </c>
      <c r="K103" s="172" t="s">
        <v>4998</v>
      </c>
      <c r="L103" s="55">
        <v>0.0</v>
      </c>
      <c r="M103" s="55">
        <v>0.0</v>
      </c>
      <c r="N103" s="173">
        <v>0.0</v>
      </c>
      <c r="O103" s="173">
        <v>0.0</v>
      </c>
      <c r="P103" s="55">
        <v>0.0</v>
      </c>
      <c r="Q103" s="55">
        <v>0.0</v>
      </c>
      <c r="R103" s="55">
        <v>0.0</v>
      </c>
      <c r="S103" s="174"/>
      <c r="T103" s="55">
        <v>0.0</v>
      </c>
      <c r="U103" s="55">
        <v>0.0</v>
      </c>
      <c r="V103" s="55">
        <v>0.0</v>
      </c>
      <c r="W103" s="46"/>
      <c r="X103" s="46"/>
      <c r="Y103" s="46"/>
      <c r="Z103" s="302"/>
      <c r="AA103" s="367"/>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row>
    <row r="104">
      <c r="A104" s="167">
        <v>1.0</v>
      </c>
      <c r="B104" s="341" t="s">
        <v>4999</v>
      </c>
      <c r="C104" s="55">
        <v>100.0</v>
      </c>
      <c r="D104" s="55">
        <v>7.0</v>
      </c>
      <c r="E104" s="344">
        <v>43558.0</v>
      </c>
      <c r="F104" s="171" t="str">
        <f>HYPERLINK("http://www.tribunnews.com/seleb/2019/03/25/paula-verhoeven-senang-saat-baim-wong-ngeprank-hingga-kelewatan-batas ","sumber")</f>
        <v>sumber</v>
      </c>
      <c r="G104" s="55" t="s">
        <v>33</v>
      </c>
      <c r="H104" s="55">
        <v>1.0</v>
      </c>
      <c r="I104" s="55">
        <v>2.0</v>
      </c>
      <c r="J104" s="55">
        <v>2.0</v>
      </c>
      <c r="K104" s="172" t="s">
        <v>5000</v>
      </c>
      <c r="L104" s="55">
        <v>0.0</v>
      </c>
      <c r="M104" s="55">
        <v>0.0</v>
      </c>
      <c r="N104" s="173">
        <v>0.0</v>
      </c>
      <c r="O104" s="173">
        <v>0.0</v>
      </c>
      <c r="P104" s="55">
        <v>0.0</v>
      </c>
      <c r="Q104" s="55">
        <v>0.0</v>
      </c>
      <c r="R104" s="55">
        <v>0.0</v>
      </c>
      <c r="S104" s="174"/>
      <c r="T104" s="55">
        <v>0.0</v>
      </c>
      <c r="U104" s="55">
        <v>0.0</v>
      </c>
      <c r="V104" s="55">
        <v>0.0</v>
      </c>
      <c r="W104" s="46"/>
      <c r="X104" s="46"/>
      <c r="Y104" s="46"/>
      <c r="Z104" s="302"/>
      <c r="AA104" s="367"/>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row>
    <row r="105">
      <c r="A105" s="167">
        <v>1.0</v>
      </c>
      <c r="B105" s="378" t="s">
        <v>5001</v>
      </c>
      <c r="C105" s="55">
        <v>101.0</v>
      </c>
      <c r="D105" s="55">
        <v>8.0</v>
      </c>
      <c r="E105" s="344">
        <v>43588.0</v>
      </c>
      <c r="F105" s="171" t="str">
        <f>HYPERLINK("https://www.suara.com/health/2019/03/05/103030/studi-pastikan-vaksin-campak-rubella-tidak-picu-autisme-ini-alasannya ","sumber")</f>
        <v>sumber</v>
      </c>
      <c r="G105" s="55" t="s">
        <v>33</v>
      </c>
      <c r="H105" s="55">
        <v>1.0</v>
      </c>
      <c r="I105" s="55">
        <v>2.0</v>
      </c>
      <c r="J105" s="55">
        <v>2.0</v>
      </c>
      <c r="K105" s="172" t="s">
        <v>5002</v>
      </c>
      <c r="L105" s="55">
        <v>0.0</v>
      </c>
      <c r="M105" s="55">
        <v>0.0</v>
      </c>
      <c r="N105" s="173">
        <v>0.0</v>
      </c>
      <c r="O105" s="173">
        <v>0.0</v>
      </c>
      <c r="P105" s="55">
        <v>0.0</v>
      </c>
      <c r="Q105" s="55">
        <v>0.0</v>
      </c>
      <c r="R105" s="55">
        <v>0.0</v>
      </c>
      <c r="S105" s="174"/>
      <c r="T105" s="55">
        <v>0.0</v>
      </c>
      <c r="U105" s="55">
        <v>0.0</v>
      </c>
      <c r="V105" s="55">
        <v>1.0</v>
      </c>
      <c r="W105" s="46"/>
      <c r="X105" s="46"/>
      <c r="Y105" s="46"/>
      <c r="Z105" s="302"/>
      <c r="AA105" s="367"/>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row>
    <row r="106">
      <c r="A106" s="379">
        <v>1.0</v>
      </c>
      <c r="B106" s="380" t="s">
        <v>5003</v>
      </c>
      <c r="C106" s="188">
        <v>102.0</v>
      </c>
      <c r="D106" s="188">
        <v>5.0</v>
      </c>
      <c r="E106" s="268">
        <v>43588.0</v>
      </c>
      <c r="F106" s="162" t="str">
        <f>HYPERLINK("https://tirto.id/rekrutmen-bumn-buka-11000-lowongan-untuk-sma-smk-vokasi-s1-s2-divP ","sumber")</f>
        <v>sumber</v>
      </c>
      <c r="G106" s="44" t="s">
        <v>33</v>
      </c>
      <c r="H106" s="44">
        <v>2.0</v>
      </c>
      <c r="I106" s="44">
        <v>4.0</v>
      </c>
      <c r="J106" s="44">
        <v>2.0</v>
      </c>
      <c r="K106" s="164" t="s">
        <v>5004</v>
      </c>
      <c r="L106" s="44">
        <v>0.0</v>
      </c>
      <c r="M106" s="44">
        <v>0.0</v>
      </c>
      <c r="N106" s="166">
        <v>0.0</v>
      </c>
      <c r="O106" s="166">
        <v>0.0</v>
      </c>
      <c r="P106" s="44">
        <v>0.0</v>
      </c>
      <c r="Q106" s="44" t="s">
        <v>61</v>
      </c>
      <c r="R106" s="44" t="s">
        <v>192</v>
      </c>
      <c r="S106" s="175"/>
      <c r="T106" s="44">
        <v>0.0</v>
      </c>
      <c r="U106" s="44">
        <v>0.0</v>
      </c>
      <c r="V106" s="44">
        <v>1.0</v>
      </c>
      <c r="W106" s="45"/>
      <c r="X106" s="45"/>
      <c r="Y106" s="45"/>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row>
    <row r="107">
      <c r="A107" s="381">
        <v>1.0</v>
      </c>
      <c r="B107" s="382" t="s">
        <v>5005</v>
      </c>
      <c r="C107" s="383">
        <v>103.0</v>
      </c>
      <c r="D107" s="383">
        <v>8.0</v>
      </c>
      <c r="E107" s="383" t="s">
        <v>142</v>
      </c>
      <c r="F107" s="384" t="str">
        <f>HYPERLINK("https://www.suara.com/news/2019/03/14/183700/cerita-ayah-tiri-pembunuh-pemuda-difabel-pakai-racun-tikus ","sumber")</f>
        <v>sumber</v>
      </c>
      <c r="G107" s="383" t="s">
        <v>33</v>
      </c>
      <c r="H107" s="383">
        <v>367.0</v>
      </c>
      <c r="I107" s="383">
        <v>1.0</v>
      </c>
      <c r="J107" s="383">
        <v>2.0</v>
      </c>
      <c r="K107" s="385" t="s">
        <v>5006</v>
      </c>
      <c r="L107" s="383">
        <v>0.0</v>
      </c>
      <c r="M107" s="383">
        <v>-1.0</v>
      </c>
      <c r="N107" s="386">
        <v>0.0</v>
      </c>
      <c r="O107" s="386">
        <v>0.0</v>
      </c>
      <c r="P107" s="383">
        <v>0.0</v>
      </c>
      <c r="Q107" s="383">
        <v>-1.0</v>
      </c>
      <c r="R107" s="383">
        <v>-1.0</v>
      </c>
      <c r="S107" s="387"/>
      <c r="T107" s="383">
        <v>0.0</v>
      </c>
      <c r="U107" s="383">
        <v>0.0</v>
      </c>
      <c r="V107" s="383">
        <v>0.0</v>
      </c>
      <c r="W107" s="388"/>
      <c r="X107" s="388"/>
      <c r="Y107" s="388"/>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row>
    <row r="108">
      <c r="A108" s="152">
        <v>2.0</v>
      </c>
      <c r="B108" s="389" t="s">
        <v>5007</v>
      </c>
      <c r="C108" s="47">
        <v>104.0</v>
      </c>
      <c r="D108" s="48"/>
      <c r="E108" s="47" t="s">
        <v>142</v>
      </c>
      <c r="F108" s="156" t="str">
        <f>HYPERLINK("http://www.tribunnews.com/regional/2019/03/14/penjual-miras-oplosan-ke-siswa-smp-dan-sma-di-kendal-ditangkap ","sumber")</f>
        <v>sumber</v>
      </c>
      <c r="G108" s="47" t="s">
        <v>33</v>
      </c>
      <c r="H108" s="48"/>
      <c r="I108" s="48"/>
      <c r="J108" s="48"/>
      <c r="K108" s="165"/>
      <c r="L108" s="48"/>
      <c r="M108" s="48"/>
      <c r="N108" s="48"/>
      <c r="O108" s="48"/>
      <c r="P108" s="48"/>
      <c r="Q108" s="48"/>
      <c r="R108" s="48"/>
      <c r="S108" s="165"/>
      <c r="T108" s="48"/>
      <c r="U108" s="48"/>
      <c r="V108" s="48"/>
      <c r="W108" s="48"/>
      <c r="X108" s="48"/>
      <c r="Y108" s="48"/>
      <c r="Z108" s="338"/>
      <c r="AA108" s="366"/>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row>
    <row r="109">
      <c r="A109" s="167">
        <v>1.0</v>
      </c>
      <c r="B109" s="378" t="s">
        <v>5008</v>
      </c>
      <c r="C109" s="55">
        <v>105.0</v>
      </c>
      <c r="D109" s="55">
        <v>8.0</v>
      </c>
      <c r="E109" s="55" t="s">
        <v>150</v>
      </c>
      <c r="F109" s="171" t="str">
        <f>HYPERLINK("https://jatim.suara.com/read/2019/03/17/174554/pria-diduga-alami-gangguan-jiwa-bawa-kabur-motor-guru ","sumber")</f>
        <v>sumber</v>
      </c>
      <c r="G109" s="55" t="s">
        <v>33</v>
      </c>
      <c r="H109" s="55">
        <v>1.0</v>
      </c>
      <c r="I109" s="55">
        <v>2.0</v>
      </c>
      <c r="J109" s="55">
        <v>2.0</v>
      </c>
      <c r="K109" s="172" t="s">
        <v>5009</v>
      </c>
      <c r="L109" s="55">
        <v>0.0</v>
      </c>
      <c r="M109" s="55">
        <v>0.0</v>
      </c>
      <c r="N109" s="173">
        <v>0.0</v>
      </c>
      <c r="O109" s="173">
        <v>0.0</v>
      </c>
      <c r="P109" s="55">
        <v>0.0</v>
      </c>
      <c r="Q109" s="55" t="s">
        <v>61</v>
      </c>
      <c r="R109" s="55" t="s">
        <v>61</v>
      </c>
      <c r="S109" s="174"/>
      <c r="T109" s="55">
        <v>0.0</v>
      </c>
      <c r="U109" s="55">
        <v>0.0</v>
      </c>
      <c r="V109" s="55">
        <v>0.0</v>
      </c>
      <c r="W109" s="46"/>
      <c r="X109" s="46"/>
      <c r="Y109" s="46"/>
      <c r="Z109" s="302"/>
      <c r="AA109" s="367"/>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row>
    <row r="110">
      <c r="A110" s="152">
        <v>2.0</v>
      </c>
      <c r="B110" s="389" t="s">
        <v>5010</v>
      </c>
      <c r="C110" s="47">
        <v>106.0</v>
      </c>
      <c r="D110" s="48"/>
      <c r="E110" s="47" t="s">
        <v>525</v>
      </c>
      <c r="F110" s="156" t="str">
        <f>HYPERLINK("https://www.suara.com/otomotif/2019/03/22/081324/mab-mampu-produksi-100-bus-listrik-per-bulan ","sumber")</f>
        <v>sumber</v>
      </c>
      <c r="G110" s="47" t="s">
        <v>33</v>
      </c>
      <c r="H110" s="48"/>
      <c r="I110" s="48"/>
      <c r="J110" s="48"/>
      <c r="K110" s="165"/>
      <c r="L110" s="48"/>
      <c r="M110" s="48"/>
      <c r="N110" s="48"/>
      <c r="O110" s="48"/>
      <c r="P110" s="48"/>
      <c r="Q110" s="48"/>
      <c r="R110" s="48"/>
      <c r="S110" s="165"/>
      <c r="T110" s="48"/>
      <c r="U110" s="48"/>
      <c r="V110" s="48"/>
      <c r="W110" s="48"/>
      <c r="X110" s="48"/>
      <c r="Y110" s="48"/>
      <c r="Z110" s="338"/>
      <c r="AA110" s="366"/>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row>
    <row r="111">
      <c r="A111" s="158">
        <v>1.0</v>
      </c>
      <c r="B111" s="390" t="s">
        <v>5011</v>
      </c>
      <c r="C111" s="44">
        <v>107.0</v>
      </c>
      <c r="D111" s="44">
        <v>2.0</v>
      </c>
      <c r="E111" s="44" t="s">
        <v>4087</v>
      </c>
      <c r="F111" s="162" t="str">
        <f>HYPERLINK("https://www.cnnindonesia.com/gaya-hidup/20190322105915-281-379665/video-cerita-di-balik-lenggok-down-syndrome-madeline-stuart ","sumber")</f>
        <v>sumber</v>
      </c>
      <c r="G111" s="44" t="s">
        <v>33</v>
      </c>
      <c r="H111" s="44">
        <v>2.0</v>
      </c>
      <c r="I111" s="44">
        <v>2.0</v>
      </c>
      <c r="J111" s="44">
        <v>2.0</v>
      </c>
      <c r="K111" s="164" t="s">
        <v>5012</v>
      </c>
      <c r="L111" s="44">
        <v>0.0</v>
      </c>
      <c r="M111" s="44">
        <v>0.0</v>
      </c>
      <c r="N111" s="166">
        <v>0.0</v>
      </c>
      <c r="O111" s="166">
        <v>0.0</v>
      </c>
      <c r="P111" s="44">
        <v>0.0</v>
      </c>
      <c r="Q111" s="44" t="s">
        <v>214</v>
      </c>
      <c r="R111" s="44" t="s">
        <v>192</v>
      </c>
      <c r="S111" s="164"/>
      <c r="T111" s="44">
        <v>0.0</v>
      </c>
      <c r="U111" s="44">
        <v>0.0</v>
      </c>
      <c r="V111" s="44">
        <v>0.0</v>
      </c>
      <c r="W111" s="45"/>
      <c r="X111" s="45"/>
      <c r="Y111" s="45"/>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row>
    <row r="112">
      <c r="A112" s="152">
        <v>2.0</v>
      </c>
      <c r="B112" s="389" t="s">
        <v>1279</v>
      </c>
      <c r="C112" s="47">
        <v>108.0</v>
      </c>
      <c r="D112" s="48"/>
      <c r="E112" s="47" t="s">
        <v>159</v>
      </c>
      <c r="F112" s="156" t="str">
        <f>HYPERLINK("http://www.tribunnews.com/regional/2019/03/26/mayat-tak-utuh-lagi-ditemukan-di-kawasan-hutan-kali-lunyu-lamongan ","sumber")</f>
        <v>sumber</v>
      </c>
      <c r="G112" s="47" t="s">
        <v>33</v>
      </c>
      <c r="H112" s="48"/>
      <c r="I112" s="48"/>
      <c r="J112" s="48"/>
      <c r="K112" s="165"/>
      <c r="L112" s="48"/>
      <c r="M112" s="48"/>
      <c r="N112" s="48"/>
      <c r="O112" s="48"/>
      <c r="P112" s="48"/>
      <c r="Q112" s="48"/>
      <c r="R112" s="48"/>
      <c r="S112" s="165"/>
      <c r="T112" s="48"/>
      <c r="U112" s="48"/>
      <c r="V112" s="48"/>
      <c r="W112" s="48"/>
      <c r="X112" s="48"/>
      <c r="Y112" s="48"/>
      <c r="Z112" s="338"/>
      <c r="AA112" s="366"/>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row>
    <row r="113">
      <c r="A113" s="167">
        <v>1.0</v>
      </c>
      <c r="B113" s="378" t="s">
        <v>5013</v>
      </c>
      <c r="C113" s="55">
        <v>109.0</v>
      </c>
      <c r="D113" s="55">
        <v>6.0</v>
      </c>
      <c r="E113" s="55" t="s">
        <v>529</v>
      </c>
      <c r="F113" s="171" t="str">
        <f>HYPERLINK("https://sains.kompas.com/read/2019/03/20/175355523/236-daerah-di-indonesia-endemis-penyakit-kaki-gajah-kenali-gejalanya ","sumber")</f>
        <v>sumber</v>
      </c>
      <c r="G113" s="55" t="s">
        <v>33</v>
      </c>
      <c r="H113" s="55">
        <v>3.0</v>
      </c>
      <c r="I113" s="55">
        <v>2.0</v>
      </c>
      <c r="J113" s="55">
        <v>2.0</v>
      </c>
      <c r="K113" s="172" t="s">
        <v>5014</v>
      </c>
      <c r="L113" s="55">
        <v>0.0</v>
      </c>
      <c r="M113" s="55">
        <v>0.0</v>
      </c>
      <c r="N113" s="173">
        <v>0.0</v>
      </c>
      <c r="O113" s="173">
        <v>0.0</v>
      </c>
      <c r="P113" s="55">
        <v>0.0</v>
      </c>
      <c r="Q113" s="55">
        <v>0.0</v>
      </c>
      <c r="R113" s="55">
        <v>0.0</v>
      </c>
      <c r="S113" s="174"/>
      <c r="T113" s="55">
        <v>0.0</v>
      </c>
      <c r="U113" s="55">
        <v>0.0</v>
      </c>
      <c r="V113" s="55">
        <v>1.0</v>
      </c>
      <c r="W113" s="46"/>
      <c r="X113" s="46"/>
      <c r="Y113" s="46"/>
      <c r="Z113" s="302"/>
      <c r="AA113" s="367"/>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row>
    <row r="114">
      <c r="A114" s="152">
        <v>2.0</v>
      </c>
      <c r="B114" s="389" t="s">
        <v>5015</v>
      </c>
      <c r="C114" s="47">
        <v>110.0</v>
      </c>
      <c r="D114" s="48"/>
      <c r="E114" s="47" t="s">
        <v>536</v>
      </c>
      <c r="F114" s="156" t="str">
        <f>HYPERLINK("https://news.okezone.com/read/2019/03/29/606/2036774/buta-huruf-jadi-persoalan-suku-anak-dalam-untuk-mencoblos-di-pemilu ","sumber")</f>
        <v>sumber</v>
      </c>
      <c r="G114" s="47" t="s">
        <v>33</v>
      </c>
      <c r="H114" s="48"/>
      <c r="I114" s="48"/>
      <c r="J114" s="48"/>
      <c r="K114" s="165"/>
      <c r="L114" s="48"/>
      <c r="M114" s="48"/>
      <c r="N114" s="48"/>
      <c r="O114" s="48"/>
      <c r="P114" s="48"/>
      <c r="Q114" s="48"/>
      <c r="R114" s="48"/>
      <c r="S114" s="165"/>
      <c r="T114" s="48"/>
      <c r="U114" s="48"/>
      <c r="V114" s="48"/>
      <c r="W114" s="48"/>
      <c r="X114" s="48"/>
      <c r="Y114" s="48"/>
      <c r="Z114" s="338"/>
      <c r="AA114" s="366"/>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row>
    <row r="115">
      <c r="A115" s="167">
        <v>1.0</v>
      </c>
      <c r="B115" s="378" t="s">
        <v>5016</v>
      </c>
      <c r="C115" s="55">
        <v>111.0</v>
      </c>
      <c r="D115" s="55">
        <v>1.0</v>
      </c>
      <c r="E115" s="55" t="s">
        <v>164</v>
      </c>
      <c r="F115" s="171" t="str">
        <f>HYPERLINK("https://health.detik.com/berita-detikhealth/d-4480219/tiap-ngobrol-selalu-minta-diulang-waspadai-gejala-tuli-ringan ","sumber")</f>
        <v>sumber</v>
      </c>
      <c r="G115" s="55" t="s">
        <v>33</v>
      </c>
      <c r="H115" s="55">
        <v>1.0</v>
      </c>
      <c r="I115" s="55">
        <v>2.0</v>
      </c>
      <c r="J115" s="55">
        <v>2.0</v>
      </c>
      <c r="K115" s="172" t="s">
        <v>5017</v>
      </c>
      <c r="L115" s="55">
        <v>0.0</v>
      </c>
      <c r="M115" s="55">
        <v>0.0</v>
      </c>
      <c r="N115" s="173">
        <v>0.0</v>
      </c>
      <c r="O115" s="173">
        <v>0.0</v>
      </c>
      <c r="P115" s="55">
        <v>0.0</v>
      </c>
      <c r="Q115" s="55">
        <v>0.0</v>
      </c>
      <c r="R115" s="55">
        <v>0.0</v>
      </c>
      <c r="S115" s="174"/>
      <c r="T115" s="55">
        <v>0.0</v>
      </c>
      <c r="U115" s="55">
        <v>0.0</v>
      </c>
      <c r="V115" s="55">
        <v>1.0</v>
      </c>
      <c r="W115" s="46"/>
      <c r="X115" s="46"/>
      <c r="Y115" s="46"/>
      <c r="Z115" s="391"/>
      <c r="AA115" s="367"/>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row>
    <row r="116">
      <c r="A116" s="158">
        <v>1.0</v>
      </c>
      <c r="B116" s="390" t="s">
        <v>5018</v>
      </c>
      <c r="C116" s="44">
        <v>112.0</v>
      </c>
      <c r="D116" s="44">
        <v>4.0</v>
      </c>
      <c r="E116" s="44" t="s">
        <v>164</v>
      </c>
      <c r="F116" s="162" t="str">
        <f>HYPERLINK("https://www.liputan6.com/regional/read/3929707/hari-autisme-guru-paud-dibekali-cara-menangani-anak-berkebutuhan-khusus ","sumber")</f>
        <v>sumber</v>
      </c>
      <c r="G116" s="44" t="s">
        <v>33</v>
      </c>
      <c r="H116" s="44">
        <v>222.0</v>
      </c>
      <c r="I116" s="44">
        <v>3.0</v>
      </c>
      <c r="J116" s="44">
        <v>2.0</v>
      </c>
      <c r="K116" s="164" t="s">
        <v>5019</v>
      </c>
      <c r="L116" s="44">
        <v>0.0</v>
      </c>
      <c r="M116" s="44">
        <v>0.0</v>
      </c>
      <c r="N116" s="166">
        <v>0.0</v>
      </c>
      <c r="O116" s="166">
        <v>0.0</v>
      </c>
      <c r="P116" s="44">
        <v>0.0</v>
      </c>
      <c r="Q116" s="44">
        <v>0.0</v>
      </c>
      <c r="R116" s="44">
        <v>1.0</v>
      </c>
      <c r="S116" s="175"/>
      <c r="T116" s="44">
        <v>0.0</v>
      </c>
      <c r="U116" s="44">
        <v>0.0</v>
      </c>
      <c r="V116" s="44">
        <v>1.0</v>
      </c>
      <c r="W116" s="45"/>
      <c r="X116" s="45"/>
      <c r="Y116" s="45"/>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row>
    <row r="117">
      <c r="A117" s="369">
        <v>2.0</v>
      </c>
      <c r="B117" s="390" t="s">
        <v>5020</v>
      </c>
      <c r="C117" s="44">
        <v>113.0</v>
      </c>
      <c r="D117" s="44">
        <v>10.0</v>
      </c>
      <c r="E117" s="44" t="s">
        <v>164</v>
      </c>
      <c r="F117" s="162" t="str">
        <f>HYPERLINK("https://metro.tempo.co/read/1190586/beroperasi-komersial-1-april-mrt-jakarta-perbaiki-fasilitas-ini ","sumber")</f>
        <v>sumber</v>
      </c>
      <c r="G117" s="44" t="s">
        <v>33</v>
      </c>
      <c r="H117" s="44">
        <v>1.0</v>
      </c>
      <c r="I117" s="44">
        <v>4.0</v>
      </c>
      <c r="J117" s="44">
        <v>2.0</v>
      </c>
      <c r="K117" s="164" t="s">
        <v>5021</v>
      </c>
      <c r="L117" s="44">
        <v>0.0</v>
      </c>
      <c r="M117" s="44">
        <v>0.0</v>
      </c>
      <c r="N117" s="166">
        <v>0.0</v>
      </c>
      <c r="O117" s="166">
        <v>0.0</v>
      </c>
      <c r="P117" s="44">
        <v>0.0</v>
      </c>
      <c r="Q117" s="44">
        <v>0.0</v>
      </c>
      <c r="R117" s="44">
        <v>1.0</v>
      </c>
      <c r="S117" s="175"/>
      <c r="T117" s="44">
        <v>0.0</v>
      </c>
      <c r="U117" s="44">
        <v>0.0</v>
      </c>
      <c r="V117" s="44">
        <v>1.0</v>
      </c>
      <c r="W117" s="45"/>
      <c r="X117" s="45"/>
      <c r="Y117" s="45"/>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row>
    <row r="118">
      <c r="A118" s="152">
        <v>2.0</v>
      </c>
      <c r="B118" s="389" t="s">
        <v>5022</v>
      </c>
      <c r="C118" s="47">
        <v>114.0</v>
      </c>
      <c r="D118" s="48"/>
      <c r="E118" s="280">
        <v>43500.0</v>
      </c>
      <c r="F118" s="156" t="str">
        <f>HYPERLINK("https://khazanah.republika.co.id/berita/dunia-islam/islam-digest/ppbosv313/mengenal-ltemgtkalila-wa-dimnaltemgt ","sumber")</f>
        <v>sumber</v>
      </c>
      <c r="G118" s="47" t="s">
        <v>33</v>
      </c>
      <c r="H118" s="48"/>
      <c r="I118" s="48"/>
      <c r="J118" s="48"/>
      <c r="K118" s="165"/>
      <c r="L118" s="48"/>
      <c r="M118" s="48"/>
      <c r="N118" s="48"/>
      <c r="O118" s="48"/>
      <c r="P118" s="48"/>
      <c r="Q118" s="48"/>
      <c r="R118" s="48"/>
      <c r="S118" s="165"/>
      <c r="T118" s="48"/>
      <c r="U118" s="48"/>
      <c r="V118" s="48"/>
      <c r="W118" s="48"/>
      <c r="X118" s="48"/>
      <c r="Y118" s="48"/>
      <c r="Z118" s="338"/>
      <c r="AA118" s="366"/>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row>
    <row r="119">
      <c r="A119" s="158">
        <v>1.0</v>
      </c>
      <c r="B119" s="390" t="s">
        <v>5023</v>
      </c>
      <c r="C119" s="44">
        <v>115.0</v>
      </c>
      <c r="D119" s="44">
        <v>10.0</v>
      </c>
      <c r="E119" s="268">
        <v>43500.0</v>
      </c>
      <c r="F119" s="162" t="str">
        <f>HYPERLINK("https://metro.tempo.co/read/1191694/difabel-kampanye-ubin-pemandu-di-trotoar-jakarta-simak-kisahnya ","sumber")</f>
        <v>sumber</v>
      </c>
      <c r="G119" s="44" t="s">
        <v>33</v>
      </c>
      <c r="H119" s="44">
        <v>225.0</v>
      </c>
      <c r="I119" s="44">
        <v>3.0</v>
      </c>
      <c r="J119" s="44">
        <v>2.0</v>
      </c>
      <c r="K119" s="164" t="s">
        <v>5024</v>
      </c>
      <c r="L119" s="44">
        <v>0.0</v>
      </c>
      <c r="M119" s="44">
        <v>0.0</v>
      </c>
      <c r="N119" s="166">
        <v>0.0</v>
      </c>
      <c r="O119" s="166">
        <v>0.0</v>
      </c>
      <c r="P119" s="44">
        <v>0.0</v>
      </c>
      <c r="Q119" s="44" t="s">
        <v>214</v>
      </c>
      <c r="R119" s="44" t="s">
        <v>100</v>
      </c>
      <c r="S119" s="175"/>
      <c r="T119" s="44">
        <v>0.0</v>
      </c>
      <c r="U119" s="44">
        <v>0.0</v>
      </c>
      <c r="V119" s="44">
        <v>1.0</v>
      </c>
      <c r="W119" s="45"/>
      <c r="X119" s="45"/>
      <c r="Y119" s="45"/>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row>
    <row r="120">
      <c r="A120" s="152">
        <v>2.0</v>
      </c>
      <c r="B120" s="389" t="s">
        <v>5025</v>
      </c>
      <c r="C120" s="47">
        <v>116.0</v>
      </c>
      <c r="D120" s="48"/>
      <c r="E120" s="280">
        <v>43773.0</v>
      </c>
      <c r="F120" s="156" t="str">
        <f>HYPERLINK("https://www.liputan6.com/bisnis/read/3939423/transaksi-brizzi-tembus-rp-194-triliun-di-kuartal-i-2019 ","sumber")</f>
        <v>sumber</v>
      </c>
      <c r="G120" s="47" t="s">
        <v>33</v>
      </c>
      <c r="H120" s="48"/>
      <c r="I120" s="48"/>
      <c r="J120" s="48"/>
      <c r="K120" s="165"/>
      <c r="L120" s="48"/>
      <c r="M120" s="48"/>
      <c r="N120" s="48"/>
      <c r="O120" s="48"/>
      <c r="P120" s="48"/>
      <c r="Q120" s="48"/>
      <c r="R120" s="48"/>
      <c r="S120" s="165"/>
      <c r="T120" s="48"/>
      <c r="U120" s="48"/>
      <c r="V120" s="48"/>
      <c r="W120" s="48"/>
      <c r="X120" s="48"/>
      <c r="Y120" s="48"/>
      <c r="Z120" s="338"/>
      <c r="AA120" s="366"/>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row>
    <row r="121">
      <c r="A121" s="152">
        <v>2.0</v>
      </c>
      <c r="B121" s="389" t="s">
        <v>5026</v>
      </c>
      <c r="C121" s="47">
        <v>117.0</v>
      </c>
      <c r="D121" s="48"/>
      <c r="E121" s="47" t="s">
        <v>548</v>
      </c>
      <c r="F121" s="156" t="str">
        <f>HYPERLINK("http://www.tribunnews.com/regional/2019/04/14/ratusan-pelukis-ramaikan-indonesia-painting-contest-2019-gus-nabil-minta-kekayaan-indonesia-dijaga ","sumber")</f>
        <v>sumber</v>
      </c>
      <c r="G121" s="47" t="s">
        <v>33</v>
      </c>
      <c r="H121" s="48"/>
      <c r="I121" s="48"/>
      <c r="J121" s="48"/>
      <c r="K121" s="165"/>
      <c r="L121" s="48"/>
      <c r="M121" s="48"/>
      <c r="N121" s="48"/>
      <c r="O121" s="48"/>
      <c r="P121" s="48"/>
      <c r="Q121" s="48"/>
      <c r="R121" s="48"/>
      <c r="S121" s="165"/>
      <c r="T121" s="48"/>
      <c r="U121" s="48"/>
      <c r="V121" s="48"/>
      <c r="W121" s="48"/>
      <c r="X121" s="48"/>
      <c r="Y121" s="48"/>
      <c r="Z121" s="338"/>
      <c r="AA121" s="366"/>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row>
    <row r="122">
      <c r="A122" s="167">
        <v>1.0</v>
      </c>
      <c r="B122" s="378" t="s">
        <v>5027</v>
      </c>
      <c r="C122" s="55">
        <v>118.0</v>
      </c>
      <c r="D122" s="55">
        <v>10.0</v>
      </c>
      <c r="E122" s="55" t="s">
        <v>2382</v>
      </c>
      <c r="F122" s="171" t="str">
        <f>HYPERLINK("https://difabel.tempo.co/read/1193480/ketika-tunanetra-turut-mengulas-film-mantan-manten ","sumber")</f>
        <v>sumber</v>
      </c>
      <c r="G122" s="55" t="s">
        <v>33</v>
      </c>
      <c r="H122" s="55">
        <v>1.0</v>
      </c>
      <c r="I122" s="55">
        <v>3.0</v>
      </c>
      <c r="J122" s="55">
        <v>2.0</v>
      </c>
      <c r="K122" s="172" t="s">
        <v>5028</v>
      </c>
      <c r="L122" s="55">
        <v>0.0</v>
      </c>
      <c r="M122" s="55">
        <v>0.0</v>
      </c>
      <c r="N122" s="173">
        <v>0.0</v>
      </c>
      <c r="O122" s="173">
        <v>0.0</v>
      </c>
      <c r="P122" s="55">
        <v>0.0</v>
      </c>
      <c r="Q122" s="55" t="s">
        <v>61</v>
      </c>
      <c r="R122" s="55" t="s">
        <v>214</v>
      </c>
      <c r="S122" s="174"/>
      <c r="T122" s="55">
        <v>0.0</v>
      </c>
      <c r="U122" s="55">
        <v>0.0</v>
      </c>
      <c r="V122" s="55">
        <v>1.0</v>
      </c>
      <c r="W122" s="46"/>
      <c r="X122" s="46"/>
      <c r="Y122" s="46"/>
      <c r="Z122" s="302"/>
      <c r="AA122" s="367"/>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row>
    <row r="123">
      <c r="A123" s="167">
        <v>1.0</v>
      </c>
      <c r="B123" s="378" t="s">
        <v>5029</v>
      </c>
      <c r="C123" s="55">
        <v>119.0</v>
      </c>
      <c r="D123" s="55">
        <v>3.0</v>
      </c>
      <c r="E123" s="55" t="s">
        <v>2047</v>
      </c>
      <c r="F123" s="171" t="str">
        <f>HYPERLINK("https://index.okezone.com/read/2019/04/24/612/2047496/terlahir-tanpa-jari-tangan-bocah-10-tahun-ini-jadi-juara-menulis-di-amerika-serikat ","sumber")</f>
        <v>sumber</v>
      </c>
      <c r="G123" s="55" t="s">
        <v>33</v>
      </c>
      <c r="H123" s="55">
        <v>2.0</v>
      </c>
      <c r="I123" s="55">
        <v>2.0</v>
      </c>
      <c r="J123" s="55">
        <v>2.0</v>
      </c>
      <c r="K123" s="172" t="s">
        <v>5030</v>
      </c>
      <c r="L123" s="55">
        <v>0.0</v>
      </c>
      <c r="M123" s="55">
        <v>0.0</v>
      </c>
      <c r="N123" s="173">
        <v>0.0</v>
      </c>
      <c r="O123" s="173">
        <v>0.0</v>
      </c>
      <c r="P123" s="55">
        <v>0.0</v>
      </c>
      <c r="Q123" s="55">
        <v>2.0</v>
      </c>
      <c r="R123" s="55">
        <v>1.0</v>
      </c>
      <c r="S123" s="174"/>
      <c r="T123" s="55">
        <v>0.0</v>
      </c>
      <c r="U123" s="55">
        <v>0.0</v>
      </c>
      <c r="V123" s="55">
        <v>1.0</v>
      </c>
      <c r="W123" s="46"/>
      <c r="X123" s="46"/>
      <c r="Y123" s="46"/>
      <c r="Z123" s="302"/>
      <c r="AA123" s="367"/>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row>
    <row r="124">
      <c r="A124" s="152">
        <v>2.0</v>
      </c>
      <c r="B124" s="389" t="s">
        <v>5031</v>
      </c>
      <c r="C124" s="47">
        <v>120.0</v>
      </c>
      <c r="D124" s="48"/>
      <c r="E124" s="47" t="s">
        <v>561</v>
      </c>
      <c r="F124" s="156" t="str">
        <f>HYPERLINK("https://www.cnnindonesia.com/nasional/20190421200628-12-388300/istri-andre-taulany-dilaporkan-ke-polisi-soal-prabowo-gila ","sumber")</f>
        <v>sumber</v>
      </c>
      <c r="G124" s="47" t="s">
        <v>33</v>
      </c>
      <c r="H124" s="48"/>
      <c r="I124" s="48"/>
      <c r="J124" s="48"/>
      <c r="K124" s="165"/>
      <c r="L124" s="48"/>
      <c r="M124" s="48"/>
      <c r="N124" s="48"/>
      <c r="O124" s="48"/>
      <c r="P124" s="48"/>
      <c r="Q124" s="48"/>
      <c r="R124" s="48"/>
      <c r="S124" s="165"/>
      <c r="T124" s="48"/>
      <c r="U124" s="48"/>
      <c r="V124" s="48"/>
      <c r="W124" s="48"/>
      <c r="X124" s="48"/>
      <c r="Y124" s="48"/>
      <c r="Z124" s="338"/>
      <c r="AA124" s="366"/>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row>
    <row r="125">
      <c r="A125" s="152">
        <v>2.0</v>
      </c>
      <c r="B125" s="389" t="s">
        <v>1301</v>
      </c>
      <c r="C125" s="47">
        <v>121.0</v>
      </c>
      <c r="D125" s="48"/>
      <c r="E125" s="47" t="s">
        <v>197</v>
      </c>
      <c r="F125" s="156" t="str">
        <f>HYPERLINK("https://entertainment.kompas.com/read/2019/04/25/164739610/banyak-permintaan-yura-yunita-bikin-merakit-konser-di-jakarta ","sumber")</f>
        <v>sumber</v>
      </c>
      <c r="G125" s="47" t="s">
        <v>33</v>
      </c>
      <c r="H125" s="48"/>
      <c r="I125" s="48"/>
      <c r="J125" s="48"/>
      <c r="K125" s="165"/>
      <c r="L125" s="48"/>
      <c r="M125" s="48"/>
      <c r="N125" s="48"/>
      <c r="O125" s="48"/>
      <c r="P125" s="48"/>
      <c r="Q125" s="48"/>
      <c r="R125" s="48"/>
      <c r="S125" s="165"/>
      <c r="T125" s="48"/>
      <c r="U125" s="48"/>
      <c r="V125" s="48"/>
      <c r="W125" s="48"/>
      <c r="X125" s="48"/>
      <c r="Y125" s="48"/>
      <c r="Z125" s="338"/>
      <c r="AA125" s="366"/>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row>
    <row r="126">
      <c r="A126" s="152">
        <v>2.0</v>
      </c>
      <c r="B126" s="389" t="s">
        <v>5032</v>
      </c>
      <c r="C126" s="47">
        <v>122.0</v>
      </c>
      <c r="D126" s="48"/>
      <c r="E126" s="47" t="s">
        <v>205</v>
      </c>
      <c r="F126" s="156" t="str">
        <f>HYPERLINK("https://www.suara.com/entertainment/2019/04/26/145947/relawan-prabowo-ini-ingin-andre-taulany-juga-jadi-tersangka ","sumber")</f>
        <v>sumber</v>
      </c>
      <c r="G126" s="47" t="s">
        <v>33</v>
      </c>
      <c r="H126" s="48"/>
      <c r="I126" s="48"/>
      <c r="J126" s="48"/>
      <c r="K126" s="165"/>
      <c r="L126" s="48"/>
      <c r="M126" s="48"/>
      <c r="N126" s="48"/>
      <c r="O126" s="48"/>
      <c r="P126" s="48"/>
      <c r="Q126" s="48"/>
      <c r="R126" s="48"/>
      <c r="S126" s="165"/>
      <c r="T126" s="48"/>
      <c r="U126" s="48"/>
      <c r="V126" s="48"/>
      <c r="W126" s="48"/>
      <c r="X126" s="48"/>
      <c r="Y126" s="48"/>
      <c r="Z126" s="338"/>
      <c r="AA126" s="366"/>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row>
    <row r="127">
      <c r="A127" s="158">
        <v>1.0</v>
      </c>
      <c r="B127" s="390" t="s">
        <v>5033</v>
      </c>
      <c r="C127" s="44">
        <v>123.0</v>
      </c>
      <c r="D127" s="44">
        <v>1.0</v>
      </c>
      <c r="E127" s="44" t="s">
        <v>2053</v>
      </c>
      <c r="F127" s="162" t="str">
        <f>HYPERLINK("https://news.detik.com/berita/d-4528241/ruu-pks-bersiul-dan-kedipkan-mata-bisa-dipidana ","sumber")</f>
        <v>sumber</v>
      </c>
      <c r="G127" s="44" t="s">
        <v>33</v>
      </c>
      <c r="H127" s="44">
        <v>233.0</v>
      </c>
      <c r="I127" s="44">
        <v>4.0</v>
      </c>
      <c r="J127" s="44">
        <v>1.0</v>
      </c>
      <c r="K127" s="164" t="s">
        <v>5034</v>
      </c>
      <c r="L127" s="44">
        <v>0.0</v>
      </c>
      <c r="M127" s="44">
        <v>0.0</v>
      </c>
      <c r="N127" s="166">
        <v>0.0</v>
      </c>
      <c r="O127" s="166">
        <v>0.0</v>
      </c>
      <c r="P127" s="44">
        <v>0.0</v>
      </c>
      <c r="Q127" s="44">
        <v>0.0</v>
      </c>
      <c r="R127" s="44">
        <v>0.0</v>
      </c>
      <c r="S127" s="175"/>
      <c r="T127" s="44">
        <v>0.0</v>
      </c>
      <c r="U127" s="44">
        <v>0.0</v>
      </c>
      <c r="V127" s="44">
        <v>1.0</v>
      </c>
      <c r="W127" s="45"/>
      <c r="X127" s="45"/>
      <c r="Y127" s="45"/>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row>
    <row r="128">
      <c r="A128" s="158">
        <v>1.0</v>
      </c>
      <c r="B128" s="390" t="s">
        <v>5035</v>
      </c>
      <c r="C128" s="44">
        <v>124.0</v>
      </c>
      <c r="D128" s="44">
        <v>7.0</v>
      </c>
      <c r="E128" s="44" t="s">
        <v>386</v>
      </c>
      <c r="F128" s="162" t="str">
        <f>HYPERLINK("http://www.tribunnews.com/regional/2019/04/29/penyandang-disabilitas-ramaikan-gelaran-world-dance-day-hari-tari-dunia-di-isi-solo ","sumber")</f>
        <v>sumber</v>
      </c>
      <c r="G128" s="44" t="s">
        <v>33</v>
      </c>
      <c r="H128" s="44">
        <v>234.0</v>
      </c>
      <c r="I128" s="44">
        <v>3.0</v>
      </c>
      <c r="J128" s="44">
        <v>2.0</v>
      </c>
      <c r="K128" s="164" t="s">
        <v>5036</v>
      </c>
      <c r="L128" s="44">
        <v>0.0</v>
      </c>
      <c r="M128" s="44">
        <v>0.0</v>
      </c>
      <c r="N128" s="166">
        <v>0.0</v>
      </c>
      <c r="O128" s="166">
        <v>0.0</v>
      </c>
      <c r="P128" s="44">
        <v>0.0</v>
      </c>
      <c r="Q128" s="44">
        <v>1.0</v>
      </c>
      <c r="R128" s="44">
        <v>1.0</v>
      </c>
      <c r="S128" s="175"/>
      <c r="T128" s="44">
        <v>0.0</v>
      </c>
      <c r="U128" s="44">
        <v>0.0</v>
      </c>
      <c r="V128" s="44">
        <v>1.0</v>
      </c>
      <c r="W128" s="45"/>
      <c r="X128" s="45"/>
      <c r="Y128" s="45"/>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row>
    <row r="129">
      <c r="A129" s="167">
        <v>1.0</v>
      </c>
      <c r="B129" s="378" t="s">
        <v>5037</v>
      </c>
      <c r="C129" s="55">
        <v>125.0</v>
      </c>
      <c r="D129" s="55">
        <v>10.0</v>
      </c>
      <c r="E129" s="344">
        <v>43470.0</v>
      </c>
      <c r="F129" s="171" t="str">
        <f>HYPERLINK("https://megapolitan.kompas.com/read/2019/05/08/11262521/koptul-racikan-kopi-teman-tuli-untuk-perjuangkan-kesetaraan ","sumber")</f>
        <v>sumber</v>
      </c>
      <c r="G129" s="55" t="s">
        <v>33</v>
      </c>
      <c r="H129" s="55">
        <v>2.0</v>
      </c>
      <c r="I129" s="55">
        <v>2.0</v>
      </c>
      <c r="J129" s="55">
        <v>2.0</v>
      </c>
      <c r="K129" s="172" t="s">
        <v>5038</v>
      </c>
      <c r="L129" s="55">
        <v>0.0</v>
      </c>
      <c r="M129" s="55">
        <v>0.0</v>
      </c>
      <c r="N129" s="173">
        <v>0.0</v>
      </c>
      <c r="O129" s="173">
        <v>0.0</v>
      </c>
      <c r="P129" s="55">
        <v>0.0</v>
      </c>
      <c r="Q129" s="55">
        <v>0.0</v>
      </c>
      <c r="R129" s="55">
        <v>1.0</v>
      </c>
      <c r="S129" s="174"/>
      <c r="T129" s="55">
        <v>0.0</v>
      </c>
      <c r="U129" s="55">
        <v>0.0</v>
      </c>
      <c r="V129" s="55">
        <v>1.0</v>
      </c>
      <c r="W129" s="46"/>
      <c r="X129" s="46"/>
      <c r="Y129" s="46"/>
      <c r="Z129" s="302"/>
      <c r="AA129" s="367"/>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row>
    <row r="130">
      <c r="A130" s="152">
        <v>2.0</v>
      </c>
      <c r="B130" s="389" t="s">
        <v>5039</v>
      </c>
      <c r="C130" s="47">
        <v>126.0</v>
      </c>
      <c r="D130" s="48"/>
      <c r="E130" s="280">
        <v>43560.0</v>
      </c>
      <c r="F130" s="156" t="str">
        <f>HYPERLINK("https://news.detik.com/berita/d-4535915/amien-rais-serang-mahfud-md-soal-entri-data-kpu-tak-tahu-it-tapi-sok-tahu ","sumber")</f>
        <v>sumber</v>
      </c>
      <c r="G130" s="47" t="s">
        <v>33</v>
      </c>
      <c r="H130" s="48"/>
      <c r="I130" s="48"/>
      <c r="J130" s="48"/>
      <c r="K130" s="165"/>
      <c r="L130" s="48"/>
      <c r="M130" s="48"/>
      <c r="N130" s="48"/>
      <c r="O130" s="48"/>
      <c r="P130" s="48"/>
      <c r="Q130" s="48"/>
      <c r="R130" s="48"/>
      <c r="S130" s="165"/>
      <c r="T130" s="48"/>
      <c r="U130" s="48"/>
      <c r="V130" s="48"/>
      <c r="W130" s="48"/>
      <c r="X130" s="48"/>
      <c r="Y130" s="48"/>
      <c r="Z130" s="338"/>
      <c r="AA130" s="366"/>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row>
    <row r="131">
      <c r="A131" s="158">
        <v>1.0</v>
      </c>
      <c r="B131" s="390" t="s">
        <v>5040</v>
      </c>
      <c r="C131" s="44">
        <v>127.0</v>
      </c>
      <c r="D131" s="44">
        <v>10.0</v>
      </c>
      <c r="E131" s="268">
        <v>43621.0</v>
      </c>
      <c r="F131" s="162" t="str">
        <f>HYPERLINK("https://difabel.tempo.co/read/1202488/cara-penyandang-disabilitas-ganda-tunanetra-tuli-berkomunikasi ","sumber")</f>
        <v>sumber</v>
      </c>
      <c r="G131" s="44" t="s">
        <v>33</v>
      </c>
      <c r="H131" s="44">
        <v>237.0</v>
      </c>
      <c r="I131" s="44">
        <v>2.0</v>
      </c>
      <c r="J131" s="44">
        <v>2.0</v>
      </c>
      <c r="K131" s="164" t="s">
        <v>5041</v>
      </c>
      <c r="L131" s="44">
        <v>0.0</v>
      </c>
      <c r="M131" s="44">
        <v>0.0</v>
      </c>
      <c r="N131" s="166">
        <v>0.0</v>
      </c>
      <c r="O131" s="166">
        <v>0.0</v>
      </c>
      <c r="P131" s="44">
        <v>0.0</v>
      </c>
      <c r="Q131" s="44">
        <v>2.0</v>
      </c>
      <c r="R131" s="44">
        <v>1.0</v>
      </c>
      <c r="S131" s="175"/>
      <c r="T131" s="44">
        <v>0.0</v>
      </c>
      <c r="U131" s="44">
        <v>0.0</v>
      </c>
      <c r="V131" s="44">
        <v>1.0</v>
      </c>
      <c r="W131" s="45"/>
      <c r="X131" s="45"/>
      <c r="Y131" s="45"/>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row>
    <row r="132">
      <c r="A132" s="369">
        <v>1.0</v>
      </c>
      <c r="B132" s="390" t="s">
        <v>5042</v>
      </c>
      <c r="C132" s="44">
        <v>128.0</v>
      </c>
      <c r="D132" s="44">
        <v>5.0</v>
      </c>
      <c r="E132" s="268">
        <v>43621.0</v>
      </c>
      <c r="F132" s="162" t="str">
        <f>HYPERLINK("https://tirto.id/defisit-psikiater-dan-psikolog-sebarannya-terpusat-di-jawa-dpk2 ","sumber")</f>
        <v>sumber</v>
      </c>
      <c r="G132" s="44" t="s">
        <v>33</v>
      </c>
      <c r="H132" s="44">
        <v>3.0</v>
      </c>
      <c r="I132" s="44">
        <v>2.0</v>
      </c>
      <c r="J132" s="44">
        <v>2.0</v>
      </c>
      <c r="K132" s="164" t="s">
        <v>5043</v>
      </c>
      <c r="L132" s="44">
        <v>0.0</v>
      </c>
      <c r="M132" s="44">
        <v>0.0</v>
      </c>
      <c r="N132" s="166">
        <v>0.0</v>
      </c>
      <c r="O132" s="166">
        <v>0.0</v>
      </c>
      <c r="P132" s="44">
        <v>0.0</v>
      </c>
      <c r="Q132" s="44" t="s">
        <v>210</v>
      </c>
      <c r="R132" s="44" t="s">
        <v>192</v>
      </c>
      <c r="S132" s="175"/>
      <c r="T132" s="44">
        <v>0.0</v>
      </c>
      <c r="U132" s="44">
        <v>0.0</v>
      </c>
      <c r="V132" s="44">
        <v>1.0</v>
      </c>
      <c r="W132" s="45"/>
      <c r="X132" s="45"/>
      <c r="Y132" s="45"/>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row>
    <row r="133">
      <c r="A133" s="152">
        <v>2.0</v>
      </c>
      <c r="B133" s="389" t="s">
        <v>5044</v>
      </c>
      <c r="C133" s="47">
        <v>129.0</v>
      </c>
      <c r="D133" s="48"/>
      <c r="E133" s="280">
        <v>43682.0</v>
      </c>
      <c r="F133" s="156" t="str">
        <f>HYPERLINK("https://economy.okezone.com/read/2019/05/08/278/2053067/polemik-laporan-keuangan-garuda-mahata-bidik-untung-usd1-5-miliar ","sumber")</f>
        <v>sumber</v>
      </c>
      <c r="G133" s="47" t="s">
        <v>33</v>
      </c>
      <c r="H133" s="48"/>
      <c r="I133" s="48"/>
      <c r="J133" s="48"/>
      <c r="K133" s="165"/>
      <c r="L133" s="48"/>
      <c r="M133" s="48"/>
      <c r="N133" s="48"/>
      <c r="O133" s="48"/>
      <c r="P133" s="48"/>
      <c r="Q133" s="48"/>
      <c r="R133" s="48"/>
      <c r="S133" s="165"/>
      <c r="T133" s="48"/>
      <c r="U133" s="48"/>
      <c r="V133" s="48"/>
      <c r="W133" s="48"/>
      <c r="X133" s="48"/>
      <c r="Y133" s="48"/>
      <c r="Z133" s="338"/>
      <c r="AA133" s="366"/>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row>
    <row r="134">
      <c r="A134" s="152">
        <v>2.0</v>
      </c>
      <c r="B134" s="389" t="s">
        <v>5045</v>
      </c>
      <c r="C134" s="47">
        <v>130.0</v>
      </c>
      <c r="D134" s="48"/>
      <c r="E134" s="280">
        <v>43774.0</v>
      </c>
      <c r="F134" s="156" t="str">
        <f>HYPERLINK("https://www.liputan6.com/bola/read/3963311/soal-perempat-final-piala-presiden-persebaya-masih-tunggu-pssi ","sumber")</f>
        <v>sumber</v>
      </c>
      <c r="G134" s="47" t="s">
        <v>33</v>
      </c>
      <c r="H134" s="48"/>
      <c r="I134" s="48"/>
      <c r="J134" s="48"/>
      <c r="K134" s="165"/>
      <c r="L134" s="48"/>
      <c r="M134" s="48"/>
      <c r="N134" s="48"/>
      <c r="O134" s="48"/>
      <c r="P134" s="48"/>
      <c r="Q134" s="48"/>
      <c r="R134" s="48"/>
      <c r="S134" s="165"/>
      <c r="T134" s="48"/>
      <c r="U134" s="48"/>
      <c r="V134" s="48"/>
      <c r="W134" s="48"/>
      <c r="X134" s="48"/>
      <c r="Y134" s="48"/>
      <c r="Z134" s="338"/>
      <c r="AA134" s="366"/>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row>
    <row r="135">
      <c r="A135" s="152">
        <v>2.0</v>
      </c>
      <c r="B135" s="389" t="s">
        <v>2206</v>
      </c>
      <c r="C135" s="47">
        <v>131.0</v>
      </c>
      <c r="D135" s="48"/>
      <c r="E135" s="280">
        <v>43774.0</v>
      </c>
      <c r="F135" s="156" t="str">
        <f>HYPERLINK("https://tirto.id/alasan-atalanta-menjadi-tim-paling-menarik-di-serie-a-musim-ini-dyEG ","sumber")</f>
        <v>sumber</v>
      </c>
      <c r="G135" s="47" t="s">
        <v>33</v>
      </c>
      <c r="H135" s="48"/>
      <c r="I135" s="48"/>
      <c r="J135" s="48"/>
      <c r="K135" s="165"/>
      <c r="L135" s="48"/>
      <c r="M135" s="48"/>
      <c r="N135" s="48"/>
      <c r="O135" s="48"/>
      <c r="P135" s="48"/>
      <c r="Q135" s="48"/>
      <c r="R135" s="48"/>
      <c r="S135" s="165"/>
      <c r="T135" s="48"/>
      <c r="U135" s="48"/>
      <c r="V135" s="48"/>
      <c r="W135" s="48"/>
      <c r="X135" s="48"/>
      <c r="Y135" s="48"/>
      <c r="Z135" s="338"/>
      <c r="AA135" s="366"/>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row>
    <row r="136">
      <c r="A136" s="152">
        <v>2.0</v>
      </c>
      <c r="B136" s="389" t="s">
        <v>5046</v>
      </c>
      <c r="C136" s="47">
        <v>132.0</v>
      </c>
      <c r="D136" s="48"/>
      <c r="E136" s="47" t="s">
        <v>247</v>
      </c>
      <c r="F136" s="156" t="str">
        <f>HYPERLINK("https://www.cnnindonesia.com/nasional/20190513141926-32-394407/bawaslu-2548-panwaslu-alami-kekerasan-sakit-hingga-tewas ","sumber")</f>
        <v>sumber</v>
      </c>
      <c r="G136" s="47" t="s">
        <v>33</v>
      </c>
      <c r="H136" s="48"/>
      <c r="I136" s="48"/>
      <c r="J136" s="48"/>
      <c r="K136" s="165"/>
      <c r="L136" s="48"/>
      <c r="M136" s="48"/>
      <c r="N136" s="48"/>
      <c r="O136" s="48"/>
      <c r="P136" s="48"/>
      <c r="Q136" s="48"/>
      <c r="R136" s="48"/>
      <c r="S136" s="165"/>
      <c r="T136" s="48"/>
      <c r="U136" s="48"/>
      <c r="V136" s="48"/>
      <c r="W136" s="48"/>
      <c r="X136" s="48"/>
      <c r="Y136" s="48"/>
      <c r="Z136" s="338"/>
      <c r="AA136" s="366"/>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row>
    <row r="137">
      <c r="A137" s="152">
        <v>2.0</v>
      </c>
      <c r="B137" s="389" t="s">
        <v>5047</v>
      </c>
      <c r="C137" s="47">
        <v>133.0</v>
      </c>
      <c r="D137" s="48"/>
      <c r="E137" s="47" t="s">
        <v>390</v>
      </c>
      <c r="F137" s="156" t="str">
        <f>HYPERLINK("https://edukasi.kompas.com/read/2019/05/19/10431231/anak-penjual-sate-padang-itu-kini-berkuliah-di-ugm ","sumber")</f>
        <v>sumber</v>
      </c>
      <c r="G137" s="47" t="s">
        <v>33</v>
      </c>
      <c r="H137" s="48"/>
      <c r="I137" s="48"/>
      <c r="J137" s="48"/>
      <c r="K137" s="165"/>
      <c r="L137" s="48"/>
      <c r="M137" s="48"/>
      <c r="N137" s="48"/>
      <c r="O137" s="48"/>
      <c r="P137" s="48"/>
      <c r="Q137" s="48"/>
      <c r="R137" s="48"/>
      <c r="S137" s="165"/>
      <c r="T137" s="48"/>
      <c r="U137" s="48"/>
      <c r="V137" s="48"/>
      <c r="W137" s="48"/>
      <c r="X137" s="48"/>
      <c r="Y137" s="48"/>
      <c r="Z137" s="338"/>
      <c r="AA137" s="366"/>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row>
    <row r="138">
      <c r="A138" s="152">
        <v>2.0</v>
      </c>
      <c r="B138" s="389" t="s">
        <v>2209</v>
      </c>
      <c r="C138" s="47">
        <v>134.0</v>
      </c>
      <c r="D138" s="48"/>
      <c r="E138" s="47" t="s">
        <v>390</v>
      </c>
      <c r="F138" s="156" t="str">
        <f>HYPERLINK("https://www.liputan6.com/bisnis/read/3969814/kementerian-pupr-resmikan-jembatan-ramah-lingkungan-di-solo ","sumber")</f>
        <v>sumber</v>
      </c>
      <c r="G138" s="47" t="s">
        <v>33</v>
      </c>
      <c r="H138" s="48"/>
      <c r="I138" s="48"/>
      <c r="J138" s="48"/>
      <c r="K138" s="165"/>
      <c r="L138" s="48"/>
      <c r="M138" s="48"/>
      <c r="N138" s="48"/>
      <c r="O138" s="48"/>
      <c r="P138" s="48"/>
      <c r="Q138" s="48"/>
      <c r="R138" s="48"/>
      <c r="S138" s="165"/>
      <c r="T138" s="48"/>
      <c r="U138" s="48"/>
      <c r="V138" s="48"/>
      <c r="W138" s="48"/>
      <c r="X138" s="48"/>
      <c r="Y138" s="48"/>
      <c r="Z138" s="338"/>
      <c r="AA138" s="366"/>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row>
    <row r="139">
      <c r="A139" s="152">
        <v>2.0</v>
      </c>
      <c r="B139" s="389" t="s">
        <v>5048</v>
      </c>
      <c r="C139" s="47">
        <v>135.0</v>
      </c>
      <c r="D139" s="48"/>
      <c r="E139" s="47" t="s">
        <v>237</v>
      </c>
      <c r="F139" s="156" t="str">
        <f>HYPERLINK("https://news.detik.com/berita/d-4559168/soal-makar-titiek-zaman-pak-harto-nggak-gini-sekarang-lebih-gila ","sumber")</f>
        <v>sumber</v>
      </c>
      <c r="G139" s="47" t="s">
        <v>33</v>
      </c>
      <c r="H139" s="48"/>
      <c r="I139" s="48"/>
      <c r="J139" s="48"/>
      <c r="K139" s="165"/>
      <c r="L139" s="48"/>
      <c r="M139" s="48"/>
      <c r="N139" s="48"/>
      <c r="O139" s="48"/>
      <c r="P139" s="48"/>
      <c r="Q139" s="48"/>
      <c r="R139" s="48"/>
      <c r="S139" s="165"/>
      <c r="T139" s="48"/>
      <c r="U139" s="48"/>
      <c r="V139" s="48"/>
      <c r="W139" s="48"/>
      <c r="X139" s="48"/>
      <c r="Y139" s="48"/>
      <c r="Z139" s="338"/>
      <c r="AA139" s="366"/>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row>
    <row r="140">
      <c r="A140" s="167">
        <v>1.0</v>
      </c>
      <c r="B140" s="378" t="s">
        <v>5049</v>
      </c>
      <c r="C140" s="55">
        <v>136.0</v>
      </c>
      <c r="D140" s="55">
        <v>6.0</v>
      </c>
      <c r="E140" s="55" t="s">
        <v>237</v>
      </c>
      <c r="F140" s="171" t="str">
        <f>HYPERLINK("https://regional.kompas.com/read/2019/05/07/23553171/kerap-makan-jarinya-sendiri-perempuan-ini-dibawa-ke-rs-jiwa-surabaya ","sumber")</f>
        <v>sumber</v>
      </c>
      <c r="G140" s="55" t="s">
        <v>33</v>
      </c>
      <c r="H140" s="55">
        <v>2.0</v>
      </c>
      <c r="I140" s="55">
        <v>2.0</v>
      </c>
      <c r="J140" s="55">
        <v>2.0</v>
      </c>
      <c r="K140" s="172" t="s">
        <v>5050</v>
      </c>
      <c r="L140" s="55">
        <v>0.0</v>
      </c>
      <c r="M140" s="55">
        <v>0.0</v>
      </c>
      <c r="N140" s="173">
        <v>0.0</v>
      </c>
      <c r="O140" s="173">
        <v>0.0</v>
      </c>
      <c r="P140" s="55">
        <v>0.0</v>
      </c>
      <c r="Q140" s="55" t="s">
        <v>61</v>
      </c>
      <c r="R140" s="55" t="s">
        <v>192</v>
      </c>
      <c r="S140" s="174"/>
      <c r="T140" s="55">
        <v>0.0</v>
      </c>
      <c r="U140" s="55">
        <v>0.0</v>
      </c>
      <c r="V140" s="55">
        <v>1.0</v>
      </c>
      <c r="W140" s="46"/>
      <c r="X140" s="46"/>
      <c r="Y140" s="46"/>
      <c r="Z140" s="302"/>
      <c r="AA140" s="367"/>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row>
    <row r="141">
      <c r="A141" s="152">
        <v>2.0</v>
      </c>
      <c r="B141" s="389" t="s">
        <v>5051</v>
      </c>
      <c r="C141" s="47">
        <v>137.0</v>
      </c>
      <c r="D141" s="48"/>
      <c r="E141" s="47" t="s">
        <v>237</v>
      </c>
      <c r="F141" s="156" t="str">
        <f>HYPERLINK("https://tirto.id/titiek-soeharto-mengapa-kpu-umumkan-hasil-pilpres-pas-orang-tidur-dUZc ","sumber")</f>
        <v>sumber</v>
      </c>
      <c r="G141" s="47" t="s">
        <v>33</v>
      </c>
      <c r="H141" s="48"/>
      <c r="I141" s="48"/>
      <c r="J141" s="48"/>
      <c r="K141" s="165"/>
      <c r="L141" s="48"/>
      <c r="M141" s="48"/>
      <c r="N141" s="48"/>
      <c r="O141" s="48"/>
      <c r="P141" s="48"/>
      <c r="Q141" s="48"/>
      <c r="R141" s="48"/>
      <c r="S141" s="165"/>
      <c r="T141" s="48"/>
      <c r="U141" s="48"/>
      <c r="V141" s="48"/>
      <c r="W141" s="48"/>
      <c r="X141" s="48"/>
      <c r="Y141" s="48"/>
      <c r="Z141" s="338"/>
      <c r="AA141" s="366"/>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row>
    <row r="142">
      <c r="A142" s="152">
        <v>2.0</v>
      </c>
      <c r="B142" s="389" t="s">
        <v>5052</v>
      </c>
      <c r="C142" s="47">
        <v>138.0</v>
      </c>
      <c r="D142" s="48"/>
      <c r="E142" s="47" t="s">
        <v>2062</v>
      </c>
      <c r="F142" s="156" t="str">
        <f>HYPERLINK("https://entertainment.kompas.com/read/2019/05/25/201346710/awalnya-tak-suka-ashanty-kini-ketagihan-geluti-dunia-bisnis ","sumber")</f>
        <v>sumber</v>
      </c>
      <c r="G142" s="47" t="s">
        <v>33</v>
      </c>
      <c r="H142" s="48"/>
      <c r="I142" s="48"/>
      <c r="J142" s="48"/>
      <c r="K142" s="165"/>
      <c r="L142" s="48"/>
      <c r="M142" s="48"/>
      <c r="N142" s="48"/>
      <c r="O142" s="48"/>
      <c r="P142" s="48"/>
      <c r="Q142" s="48"/>
      <c r="R142" s="48"/>
      <c r="S142" s="165"/>
      <c r="T142" s="48"/>
      <c r="U142" s="48"/>
      <c r="V142" s="48"/>
      <c r="W142" s="48"/>
      <c r="X142" s="48"/>
      <c r="Y142" s="48"/>
      <c r="Z142" s="338"/>
      <c r="AA142" s="366"/>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row>
    <row r="143">
      <c r="A143" s="158">
        <v>1.0</v>
      </c>
      <c r="B143" s="390" t="s">
        <v>1324</v>
      </c>
      <c r="C143" s="44">
        <v>139.0</v>
      </c>
      <c r="D143" s="44">
        <v>5.0</v>
      </c>
      <c r="E143" s="44" t="s">
        <v>2599</v>
      </c>
      <c r="F143" s="162" t="str">
        <f>HYPERLINK("https://tirto.id/down-swan-gambaran-down-syndrome-dan-empati-tanpa-konteks-d3wL ","sumber")</f>
        <v>sumber</v>
      </c>
      <c r="G143" s="44" t="s">
        <v>33</v>
      </c>
      <c r="H143" s="44">
        <v>651.0</v>
      </c>
      <c r="I143" s="44">
        <v>2.0</v>
      </c>
      <c r="J143" s="44">
        <v>2.0</v>
      </c>
      <c r="K143" s="164"/>
      <c r="L143" s="44">
        <v>0.0</v>
      </c>
      <c r="M143" s="44">
        <v>0.0</v>
      </c>
      <c r="N143" s="166">
        <v>0.0</v>
      </c>
      <c r="O143" s="166">
        <v>0.0</v>
      </c>
      <c r="P143" s="44">
        <v>0.0</v>
      </c>
      <c r="Q143" s="44"/>
      <c r="R143" s="44"/>
      <c r="S143" s="175"/>
      <c r="T143" s="44">
        <v>0.0</v>
      </c>
      <c r="U143" s="44">
        <v>0.0</v>
      </c>
      <c r="V143" s="44">
        <v>0.0</v>
      </c>
      <c r="W143" s="45"/>
      <c r="X143" s="45"/>
      <c r="Y143" s="45"/>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row>
    <row r="144">
      <c r="A144" s="152">
        <v>2.0</v>
      </c>
      <c r="B144" s="389" t="s">
        <v>5053</v>
      </c>
      <c r="C144" s="47">
        <v>140.0</v>
      </c>
      <c r="D144" s="48"/>
      <c r="E144" s="280">
        <v>43530.0</v>
      </c>
      <c r="F144" s="156" t="str">
        <f>HYPERLINK("https://www.liputan6.com/global/read/3982539/faa-boeing-737-max-dan-ng-mungkin-memiliki-komponen-cacat ","sumber")</f>
        <v>sumber</v>
      </c>
      <c r="G144" s="47" t="s">
        <v>33</v>
      </c>
      <c r="H144" s="48"/>
      <c r="I144" s="48"/>
      <c r="J144" s="48"/>
      <c r="K144" s="165"/>
      <c r="L144" s="48"/>
      <c r="M144" s="48"/>
      <c r="N144" s="48"/>
      <c r="O144" s="48"/>
      <c r="P144" s="48"/>
      <c r="Q144" s="48"/>
      <c r="R144" s="48"/>
      <c r="S144" s="165"/>
      <c r="T144" s="48"/>
      <c r="U144" s="48"/>
      <c r="V144" s="48"/>
      <c r="W144" s="48"/>
      <c r="X144" s="48"/>
      <c r="Y144" s="48"/>
      <c r="Z144" s="338"/>
      <c r="AA144" s="366"/>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row>
    <row r="145">
      <c r="A145" s="369">
        <v>1.0</v>
      </c>
      <c r="B145" s="390" t="s">
        <v>596</v>
      </c>
      <c r="C145" s="44">
        <v>141.0</v>
      </c>
      <c r="D145" s="44">
        <v>6.0</v>
      </c>
      <c r="E145" s="268">
        <v>43775.0</v>
      </c>
      <c r="F145" s="162" t="str">
        <f>HYPERLINK("https://megapolitan.kompas.com/read/2019/06/11/18181911/ditangkap-pelaku-vandalisme-di-masjid-diduga-alami-gangguan-jiwa ","sumber")</f>
        <v>sumber</v>
      </c>
      <c r="G145" s="44" t="s">
        <v>33</v>
      </c>
      <c r="H145" s="44">
        <v>1.0</v>
      </c>
      <c r="I145" s="44">
        <v>1.0</v>
      </c>
      <c r="J145" s="44">
        <v>2.0</v>
      </c>
      <c r="K145" s="164" t="s">
        <v>5054</v>
      </c>
      <c r="L145" s="44">
        <v>0.0</v>
      </c>
      <c r="M145" s="188">
        <v>0.0</v>
      </c>
      <c r="N145" s="166">
        <v>0.0</v>
      </c>
      <c r="O145" s="166">
        <v>0.0</v>
      </c>
      <c r="P145" s="44">
        <v>0.0</v>
      </c>
      <c r="Q145" s="44">
        <v>0.0</v>
      </c>
      <c r="R145" s="44">
        <v>0.0</v>
      </c>
      <c r="S145" s="175"/>
      <c r="T145" s="44">
        <v>0.0</v>
      </c>
      <c r="U145" s="44">
        <v>0.0</v>
      </c>
      <c r="V145" s="44">
        <v>0.0</v>
      </c>
      <c r="W145" s="45"/>
      <c r="X145" s="45"/>
      <c r="Y145" s="45"/>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row>
    <row r="146">
      <c r="A146" s="379">
        <v>1.0</v>
      </c>
      <c r="B146" s="392" t="s">
        <v>5055</v>
      </c>
      <c r="C146" s="188">
        <v>142.0</v>
      </c>
      <c r="D146" s="188">
        <v>9.0</v>
      </c>
      <c r="E146" s="188" t="s">
        <v>420</v>
      </c>
      <c r="F146" s="393" t="str">
        <f>HYPERLINK("https://republika.co.id/berita/retizen/surat-pembaca/pt8knd349/aborsi-kebebasan-memilih-ataukah-memilih-bebas ","sumber")</f>
        <v>sumber</v>
      </c>
      <c r="G146" s="188" t="s">
        <v>33</v>
      </c>
      <c r="H146" s="188">
        <v>1.0</v>
      </c>
      <c r="I146" s="188">
        <v>2.0</v>
      </c>
      <c r="J146" s="188">
        <v>1.0</v>
      </c>
      <c r="K146" s="394"/>
      <c r="L146" s="188">
        <v>0.0</v>
      </c>
      <c r="M146" s="188">
        <v>0.0</v>
      </c>
      <c r="N146" s="395">
        <v>0.0</v>
      </c>
      <c r="O146" s="395">
        <v>0.0</v>
      </c>
      <c r="P146" s="188">
        <v>0.0</v>
      </c>
      <c r="Q146" s="188"/>
      <c r="R146" s="188"/>
      <c r="S146" s="396"/>
      <c r="T146" s="188">
        <v>0.0</v>
      </c>
      <c r="U146" s="188">
        <v>0.0</v>
      </c>
      <c r="V146" s="188">
        <v>1.0</v>
      </c>
      <c r="W146" s="397"/>
      <c r="X146" s="397"/>
      <c r="Y146" s="397"/>
      <c r="Z146" s="398"/>
      <c r="AA146" s="39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row>
    <row r="147">
      <c r="A147" s="369">
        <v>1.0</v>
      </c>
      <c r="B147" s="390" t="s">
        <v>1338</v>
      </c>
      <c r="C147" s="44">
        <v>143.0</v>
      </c>
      <c r="D147" s="44">
        <v>1.0</v>
      </c>
      <c r="E147" s="44" t="s">
        <v>414</v>
      </c>
      <c r="F147" s="162" t="str">
        <f>HYPERLINK("https://news.detik.com/berita-jawa-barat/d-4589900/pembuat-surat-sensen-presiden-republik-indonesia-akhirnya-kena-batunya ","sumber")</f>
        <v>sumber</v>
      </c>
      <c r="G147" s="44" t="s">
        <v>33</v>
      </c>
      <c r="H147" s="44">
        <v>1.0</v>
      </c>
      <c r="I147" s="44">
        <v>4.0</v>
      </c>
      <c r="J147" s="44">
        <v>2.0</v>
      </c>
      <c r="K147" s="164" t="s">
        <v>5056</v>
      </c>
      <c r="L147" s="44">
        <v>0.0</v>
      </c>
      <c r="M147" s="44">
        <v>0.0</v>
      </c>
      <c r="N147" s="166">
        <v>0.0</v>
      </c>
      <c r="O147" s="166">
        <v>0.0</v>
      </c>
      <c r="P147" s="44">
        <v>0.0</v>
      </c>
      <c r="Q147" s="44">
        <v>0.0</v>
      </c>
      <c r="R147" s="44">
        <v>0.0</v>
      </c>
      <c r="S147" s="175"/>
      <c r="T147" s="44">
        <v>0.0</v>
      </c>
      <c r="U147" s="44">
        <v>0.0</v>
      </c>
      <c r="V147" s="44">
        <v>0.0</v>
      </c>
      <c r="W147" s="45"/>
      <c r="X147" s="45"/>
      <c r="Y147" s="45"/>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row>
    <row r="148">
      <c r="A148" s="152">
        <v>2.0</v>
      </c>
      <c r="B148" s="389" t="s">
        <v>5057</v>
      </c>
      <c r="C148" s="47">
        <v>144.0</v>
      </c>
      <c r="D148" s="48"/>
      <c r="E148" s="47" t="s">
        <v>831</v>
      </c>
      <c r="F148" s="156" t="str">
        <f>HYPERLINK("https://nasional.republika.co.id/berita/nasional/jabodetabek-nasional/ptdvbn368/stasiun-cisauk-wujudkan-integrasi-transportasi-publik-di-bsd ","sumber")</f>
        <v>sumber</v>
      </c>
      <c r="G148" s="47" t="s">
        <v>33</v>
      </c>
      <c r="H148" s="48"/>
      <c r="I148" s="48"/>
      <c r="J148" s="48"/>
      <c r="K148" s="165"/>
      <c r="L148" s="48"/>
      <c r="M148" s="48"/>
      <c r="N148" s="48"/>
      <c r="O148" s="48"/>
      <c r="P148" s="48"/>
      <c r="Q148" s="48"/>
      <c r="R148" s="48"/>
      <c r="S148" s="165"/>
      <c r="T148" s="48"/>
      <c r="U148" s="48"/>
      <c r="V148" s="48"/>
      <c r="W148" s="48"/>
      <c r="X148" s="48"/>
      <c r="Y148" s="48"/>
      <c r="Z148" s="338"/>
      <c r="AA148" s="366"/>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row>
    <row r="149">
      <c r="A149" s="167">
        <v>1.0</v>
      </c>
      <c r="B149" s="378" t="s">
        <v>5058</v>
      </c>
      <c r="C149" s="55">
        <v>145.0</v>
      </c>
      <c r="D149" s="55">
        <v>9.0</v>
      </c>
      <c r="E149" s="55" t="s">
        <v>267</v>
      </c>
      <c r="F149" s="171" t="str">
        <f>HYPERLINK("https://nasional.republika.co.id/berita/nasional/daerah/psr76r383/polisi-bekuk-pelaku-penusukan-personel-pengamanan-lebaran ","sumber")</f>
        <v>sumber</v>
      </c>
      <c r="G149" s="55" t="s">
        <v>33</v>
      </c>
      <c r="H149" s="55">
        <v>1.0</v>
      </c>
      <c r="I149" s="55">
        <v>4.0</v>
      </c>
      <c r="J149" s="55">
        <v>2.0</v>
      </c>
      <c r="K149" s="172" t="s">
        <v>5059</v>
      </c>
      <c r="L149" s="55">
        <v>0.0</v>
      </c>
      <c r="M149" s="55">
        <v>0.0</v>
      </c>
      <c r="N149" s="173">
        <v>0.0</v>
      </c>
      <c r="O149" s="173">
        <v>0.0</v>
      </c>
      <c r="P149" s="55">
        <v>0.0</v>
      </c>
      <c r="Q149" s="55">
        <v>0.0</v>
      </c>
      <c r="R149" s="55">
        <v>0.0</v>
      </c>
      <c r="S149" s="174"/>
      <c r="T149" s="55">
        <v>0.0</v>
      </c>
      <c r="U149" s="55">
        <v>0.0</v>
      </c>
      <c r="V149" s="55">
        <v>0.0</v>
      </c>
      <c r="W149" s="46"/>
      <c r="X149" s="46"/>
      <c r="Y149" s="46"/>
      <c r="Z149" s="302"/>
      <c r="AA149" s="367"/>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row>
    <row r="150">
      <c r="A150" s="369">
        <v>1.0</v>
      </c>
      <c r="B150" s="390" t="s">
        <v>3204</v>
      </c>
      <c r="C150" s="44">
        <v>146.0</v>
      </c>
      <c r="D150" s="44">
        <v>3.0</v>
      </c>
      <c r="E150" s="44" t="s">
        <v>2237</v>
      </c>
      <c r="F150" s="162" t="str">
        <f>HYPERLINK("https://news.okezone.com/read/2019/06/22/340/2069748/sedang-bersihkan-lingkungan-gereja-pendeta-ini-ditusuk-otk ","sumber")</f>
        <v>sumber</v>
      </c>
      <c r="G150" s="44" t="s">
        <v>33</v>
      </c>
      <c r="H150" s="44">
        <v>1.0</v>
      </c>
      <c r="I150" s="44">
        <v>1.0</v>
      </c>
      <c r="J150" s="44">
        <v>4.0</v>
      </c>
      <c r="K150" s="164" t="s">
        <v>5060</v>
      </c>
      <c r="L150" s="44">
        <v>0.0</v>
      </c>
      <c r="M150" s="188">
        <v>0.0</v>
      </c>
      <c r="N150" s="166">
        <v>0.0</v>
      </c>
      <c r="O150" s="166">
        <v>0.0</v>
      </c>
      <c r="P150" s="44">
        <v>0.0</v>
      </c>
      <c r="Q150" s="44" t="s">
        <v>61</v>
      </c>
      <c r="R150" s="44" t="s">
        <v>61</v>
      </c>
      <c r="S150" s="175"/>
      <c r="T150" s="44">
        <v>0.0</v>
      </c>
      <c r="U150" s="44">
        <v>0.0</v>
      </c>
      <c r="V150" s="44">
        <v>0.0</v>
      </c>
      <c r="W150" s="45"/>
      <c r="X150" s="45"/>
      <c r="Y150" s="45"/>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row>
    <row r="151">
      <c r="A151" s="167">
        <v>1.0</v>
      </c>
      <c r="B151" s="378" t="s">
        <v>5061</v>
      </c>
      <c r="C151" s="55">
        <v>147.0</v>
      </c>
      <c r="D151" s="55">
        <v>2.0</v>
      </c>
      <c r="E151" s="55" t="s">
        <v>2070</v>
      </c>
      <c r="F151" s="171" t="str">
        <f>HYPERLINK("https://www.cnnindonesia.com/gaya-hidup/20190624175746-255-405955/pentingnya-deteksi-kelainan-kromosom-sejak-awal-hamil ","sumber")</f>
        <v>sumber</v>
      </c>
      <c r="G151" s="55" t="s">
        <v>33</v>
      </c>
      <c r="H151" s="55">
        <v>1.0</v>
      </c>
      <c r="I151" s="55">
        <v>2.0</v>
      </c>
      <c r="J151" s="55">
        <v>2.0</v>
      </c>
      <c r="K151" s="172"/>
      <c r="L151" s="55">
        <v>0.0</v>
      </c>
      <c r="M151" s="55">
        <v>0.0</v>
      </c>
      <c r="N151" s="173">
        <v>0.0</v>
      </c>
      <c r="O151" s="173">
        <v>0.0</v>
      </c>
      <c r="P151" s="55">
        <v>0.0</v>
      </c>
      <c r="Q151" s="55"/>
      <c r="R151" s="55"/>
      <c r="S151" s="174"/>
      <c r="T151" s="55">
        <v>0.0</v>
      </c>
      <c r="U151" s="55">
        <v>0.0</v>
      </c>
      <c r="V151" s="55">
        <v>1.0</v>
      </c>
      <c r="W151" s="46"/>
      <c r="X151" s="46"/>
      <c r="Y151" s="46"/>
      <c r="Z151" s="302"/>
      <c r="AA151" s="367"/>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row>
    <row r="152">
      <c r="A152" s="158">
        <v>1.0</v>
      </c>
      <c r="B152" s="390" t="s">
        <v>5062</v>
      </c>
      <c r="C152" s="44">
        <v>148.0</v>
      </c>
      <c r="D152" s="44">
        <v>10.0</v>
      </c>
      <c r="E152" s="44" t="s">
        <v>5063</v>
      </c>
      <c r="F152" s="162" t="str">
        <f>HYPERLINK("https://difabel.tempo.co/read/1218143/menyesap-wangi-kopi-barista-inklusi ","sumber")</f>
        <v>sumber</v>
      </c>
      <c r="G152" s="44" t="s">
        <v>33</v>
      </c>
      <c r="H152" s="44">
        <v>790.0</v>
      </c>
      <c r="I152" s="44">
        <v>3.0</v>
      </c>
      <c r="J152" s="44">
        <v>2.0</v>
      </c>
      <c r="K152" s="164" t="s">
        <v>5064</v>
      </c>
      <c r="L152" s="44">
        <v>0.0</v>
      </c>
      <c r="M152" s="44">
        <v>0.0</v>
      </c>
      <c r="N152" s="166">
        <v>0.0</v>
      </c>
      <c r="O152" s="166">
        <v>0.0</v>
      </c>
      <c r="P152" s="44">
        <v>0.0</v>
      </c>
      <c r="Q152" s="44" t="s">
        <v>191</v>
      </c>
      <c r="R152" s="44" t="s">
        <v>61</v>
      </c>
      <c r="S152" s="175"/>
      <c r="T152" s="44">
        <v>0.0</v>
      </c>
      <c r="U152" s="44">
        <v>0.0</v>
      </c>
      <c r="V152" s="44">
        <v>1.0</v>
      </c>
      <c r="W152" s="45"/>
      <c r="X152" s="45"/>
      <c r="Y152" s="45"/>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row>
    <row r="153">
      <c r="A153" s="152">
        <v>2.0</v>
      </c>
      <c r="B153" s="389" t="s">
        <v>5065</v>
      </c>
      <c r="C153" s="47">
        <v>149.0</v>
      </c>
      <c r="D153" s="48"/>
      <c r="E153" s="47" t="s">
        <v>616</v>
      </c>
      <c r="F153" s="156" t="str">
        <f>HYPERLINK("https://tirto.id/hasil-sidang-mk-dibacakan-siang-ini-mk-jelaskan-3-pilihan-putusan-eday ","sumber")</f>
        <v>sumber</v>
      </c>
      <c r="G153" s="47" t="s">
        <v>33</v>
      </c>
      <c r="H153" s="48"/>
      <c r="I153" s="48"/>
      <c r="J153" s="48"/>
      <c r="K153" s="165"/>
      <c r="L153" s="48"/>
      <c r="M153" s="48"/>
      <c r="N153" s="48"/>
      <c r="O153" s="48"/>
      <c r="P153" s="48"/>
      <c r="Q153" s="48"/>
      <c r="R153" s="48"/>
      <c r="S153" s="165"/>
      <c r="T153" s="48"/>
      <c r="U153" s="48"/>
      <c r="V153" s="48"/>
      <c r="W153" s="48"/>
      <c r="X153" s="48"/>
      <c r="Y153" s="48"/>
      <c r="Z153" s="338"/>
      <c r="AA153" s="366"/>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row>
    <row r="154">
      <c r="A154" s="222">
        <v>2.0</v>
      </c>
      <c r="B154" s="223" t="s">
        <v>5066</v>
      </c>
      <c r="C154" s="47">
        <v>150.0</v>
      </c>
      <c r="D154" s="48"/>
      <c r="E154" s="47" t="s">
        <v>273</v>
      </c>
      <c r="F154" s="156" t="str">
        <f>HYPERLINK("https://metro.tempo.co/read/1219334/begini-maruf-amin-di-mata-tetangga-yang-senang-sekaligus-sedih ","sumber")</f>
        <v>sumber</v>
      </c>
      <c r="G154" s="47" t="s">
        <v>33</v>
      </c>
      <c r="H154" s="48"/>
      <c r="I154" s="48"/>
      <c r="J154" s="48"/>
      <c r="K154" s="165"/>
      <c r="L154" s="48"/>
      <c r="M154" s="48"/>
      <c r="N154" s="48"/>
      <c r="O154" s="48"/>
      <c r="P154" s="48"/>
      <c r="Q154" s="48"/>
      <c r="R154" s="48"/>
      <c r="S154" s="165"/>
      <c r="T154" s="48"/>
      <c r="U154" s="48"/>
      <c r="V154" s="48"/>
      <c r="W154" s="48"/>
      <c r="X154" s="48"/>
      <c r="Y154" s="48"/>
      <c r="Z154" s="338"/>
      <c r="AA154" s="366"/>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row>
    <row r="155">
      <c r="A155" s="152">
        <v>2.0</v>
      </c>
      <c r="B155" s="389" t="s">
        <v>5067</v>
      </c>
      <c r="C155" s="47">
        <v>151.0</v>
      </c>
      <c r="D155" s="48"/>
      <c r="E155" s="47" t="s">
        <v>841</v>
      </c>
      <c r="F155" s="156" t="str">
        <f>HYPERLINK("https://lifestyle.okezone.com/read/2019/06/28/196/2072319/kurayakan-ulang-tahunmu-dengan-akad ","sumber")</f>
        <v>sumber</v>
      </c>
      <c r="G155" s="47" t="s">
        <v>33</v>
      </c>
      <c r="H155" s="48"/>
      <c r="I155" s="48"/>
      <c r="J155" s="48"/>
      <c r="K155" s="165"/>
      <c r="L155" s="48"/>
      <c r="M155" s="48"/>
      <c r="N155" s="48"/>
      <c r="O155" s="48"/>
      <c r="P155" s="48"/>
      <c r="Q155" s="48"/>
      <c r="R155" s="48"/>
      <c r="S155" s="165"/>
      <c r="T155" s="48"/>
      <c r="U155" s="48"/>
      <c r="V155" s="48"/>
      <c r="W155" s="48"/>
      <c r="X155" s="48"/>
      <c r="Y155" s="48"/>
      <c r="Z155" s="338"/>
      <c r="AA155" s="366"/>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row>
    <row r="156">
      <c r="A156" s="369">
        <v>1.0</v>
      </c>
      <c r="B156" s="390" t="s">
        <v>5068</v>
      </c>
      <c r="C156" s="44">
        <v>152.0</v>
      </c>
      <c r="D156" s="44">
        <v>10.0</v>
      </c>
      <c r="E156" s="268">
        <v>43503.0</v>
      </c>
      <c r="F156" s="162" t="str">
        <f>HYPERLINK("https://nasional.tempo.co/read/1220525/mui-minta-masyarakat-tenang-hadapi-kasus-anjing-masuk-masjid ","sumber")</f>
        <v>sumber</v>
      </c>
      <c r="G156" s="44" t="s">
        <v>33</v>
      </c>
      <c r="H156" s="44">
        <v>1.0</v>
      </c>
      <c r="I156" s="44">
        <v>4.0</v>
      </c>
      <c r="J156" s="44">
        <v>2.0</v>
      </c>
      <c r="K156" s="164" t="s">
        <v>5069</v>
      </c>
      <c r="L156" s="44">
        <v>0.0</v>
      </c>
      <c r="M156" s="44">
        <v>0.0</v>
      </c>
      <c r="N156" s="166">
        <v>0.0</v>
      </c>
      <c r="O156" s="166">
        <v>0.0</v>
      </c>
      <c r="P156" s="44">
        <v>0.0</v>
      </c>
      <c r="Q156" s="44" t="s">
        <v>61</v>
      </c>
      <c r="R156" s="44" t="s">
        <v>61</v>
      </c>
      <c r="S156" s="175"/>
      <c r="T156" s="44">
        <v>0.0</v>
      </c>
      <c r="U156" s="44">
        <v>0.0</v>
      </c>
      <c r="V156" s="44">
        <v>0.0</v>
      </c>
      <c r="W156" s="45"/>
      <c r="X156" s="45"/>
      <c r="Y156" s="45"/>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row>
    <row r="157">
      <c r="A157" s="167">
        <v>1.0</v>
      </c>
      <c r="B157" s="378" t="s">
        <v>5070</v>
      </c>
      <c r="C157" s="55">
        <v>153.0</v>
      </c>
      <c r="D157" s="55">
        <v>7.0</v>
      </c>
      <c r="E157" s="344">
        <v>43623.0</v>
      </c>
      <c r="F157" s="171" t="str">
        <f>HYPERLINK("https://www.tribunnews.com/regional/2019/07/20/seorang-anak-di-cianjur-gali-kuburan-ayahnya-lalu-jasadnya-dibawa-pulang-ke-rumah ","sumber")</f>
        <v>sumber</v>
      </c>
      <c r="G157" s="55" t="s">
        <v>33</v>
      </c>
      <c r="H157" s="55">
        <v>1.0</v>
      </c>
      <c r="I157" s="55">
        <v>2.0</v>
      </c>
      <c r="J157" s="55">
        <v>2.0</v>
      </c>
      <c r="K157" s="172" t="s">
        <v>5071</v>
      </c>
      <c r="L157" s="55">
        <v>0.0</v>
      </c>
      <c r="M157" s="55">
        <v>0.0</v>
      </c>
      <c r="N157" s="173">
        <v>0.0</v>
      </c>
      <c r="O157" s="173">
        <v>0.0</v>
      </c>
      <c r="P157" s="55">
        <v>0.0</v>
      </c>
      <c r="Q157" s="55">
        <v>0.0</v>
      </c>
      <c r="R157" s="55">
        <v>0.0</v>
      </c>
      <c r="S157" s="174"/>
      <c r="T157" s="55">
        <v>0.0</v>
      </c>
      <c r="U157" s="55">
        <v>0.0</v>
      </c>
      <c r="V157" s="55">
        <v>0.0</v>
      </c>
      <c r="W157" s="46"/>
      <c r="X157" s="46"/>
      <c r="Y157" s="46"/>
      <c r="Z157" s="302"/>
      <c r="AA157" s="367"/>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row>
    <row r="158">
      <c r="A158" s="167">
        <v>1.0</v>
      </c>
      <c r="B158" s="378" t="s">
        <v>5072</v>
      </c>
      <c r="C158" s="55">
        <v>154.0</v>
      </c>
      <c r="D158" s="55">
        <v>1.0</v>
      </c>
      <c r="E158" s="344">
        <v>43653.0</v>
      </c>
      <c r="F158" s="171" t="str">
        <f>HYPERLINK("https://news.detik.com/berita-jawa-barat/d-4633210/anak-bongkar-makam-dan-bopong-jasad-ayah-polisi-dia-gangguan-jiwa ","sumber")</f>
        <v>sumber</v>
      </c>
      <c r="G158" s="55" t="s">
        <v>33</v>
      </c>
      <c r="H158" s="55">
        <v>1.0</v>
      </c>
      <c r="I158" s="55">
        <v>2.0</v>
      </c>
      <c r="J158" s="55">
        <v>2.0</v>
      </c>
      <c r="K158" s="172" t="s">
        <v>5071</v>
      </c>
      <c r="L158" s="55">
        <v>0.0</v>
      </c>
      <c r="M158" s="55">
        <v>0.0</v>
      </c>
      <c r="N158" s="173">
        <v>0.0</v>
      </c>
      <c r="O158" s="173">
        <v>0.0</v>
      </c>
      <c r="P158" s="55">
        <v>0.0</v>
      </c>
      <c r="Q158" s="55">
        <v>0.0</v>
      </c>
      <c r="R158" s="55">
        <v>0.0</v>
      </c>
      <c r="S158" s="174"/>
      <c r="T158" s="55">
        <v>0.0</v>
      </c>
      <c r="U158" s="55">
        <v>0.0</v>
      </c>
      <c r="V158" s="55">
        <v>0.0</v>
      </c>
      <c r="W158" s="46"/>
      <c r="X158" s="46"/>
      <c r="Y158" s="46"/>
      <c r="Z158" s="302"/>
      <c r="AA158" s="367"/>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row>
    <row r="159">
      <c r="A159" s="158">
        <v>1.0</v>
      </c>
      <c r="B159" s="390" t="s">
        <v>5073</v>
      </c>
      <c r="C159" s="44">
        <v>155.0</v>
      </c>
      <c r="D159" s="44">
        <v>9.0</v>
      </c>
      <c r="E159" s="268">
        <v>43715.0</v>
      </c>
      <c r="F159" s="162" t="str">
        <f>HYPERLINK("https://khazanah.republika.co.id/berita/pud7la313/penyandang-disabilitas-beri-masukan-soal-alquran-braille ","sumber")</f>
        <v>sumber</v>
      </c>
      <c r="G159" s="44" t="s">
        <v>33</v>
      </c>
      <c r="H159" s="44">
        <v>373.0</v>
      </c>
      <c r="I159" s="44">
        <v>3.0</v>
      </c>
      <c r="J159" s="44">
        <v>2.0</v>
      </c>
      <c r="K159" s="164" t="s">
        <v>5074</v>
      </c>
      <c r="L159" s="44">
        <v>0.0</v>
      </c>
      <c r="M159" s="44">
        <v>0.0</v>
      </c>
      <c r="N159" s="166">
        <v>0.0</v>
      </c>
      <c r="O159" s="166">
        <v>0.0</v>
      </c>
      <c r="P159" s="44">
        <v>0.0</v>
      </c>
      <c r="Q159" s="44" t="s">
        <v>210</v>
      </c>
      <c r="R159" s="44" t="s">
        <v>192</v>
      </c>
      <c r="S159" s="175"/>
      <c r="T159" s="44">
        <v>0.0</v>
      </c>
      <c r="U159" s="44">
        <v>0.0</v>
      </c>
      <c r="V159" s="44">
        <v>1.0</v>
      </c>
      <c r="W159" s="45"/>
      <c r="X159" s="45"/>
      <c r="Y159" s="45"/>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row>
    <row r="160">
      <c r="A160" s="152">
        <v>2.0</v>
      </c>
      <c r="B160" s="389" t="s">
        <v>5075</v>
      </c>
      <c r="C160" s="47">
        <v>156.0</v>
      </c>
      <c r="D160" s="48"/>
      <c r="E160" s="280">
        <v>43776.0</v>
      </c>
      <c r="F160" s="156" t="str">
        <f>HYPERLINK("https://pilpres.tempo.co/read/1223476/kuasa-hukum-bantah-kabar-permohonan-ke-ma-tanpa-diketahui-prabowo ","sumber")</f>
        <v>sumber</v>
      </c>
      <c r="G160" s="47" t="s">
        <v>33</v>
      </c>
      <c r="H160" s="48"/>
      <c r="I160" s="48"/>
      <c r="J160" s="48"/>
      <c r="K160" s="165"/>
      <c r="L160" s="48"/>
      <c r="M160" s="48"/>
      <c r="N160" s="48"/>
      <c r="O160" s="48"/>
      <c r="P160" s="48"/>
      <c r="Q160" s="48"/>
      <c r="R160" s="48"/>
      <c r="S160" s="165"/>
      <c r="T160" s="48"/>
      <c r="U160" s="48"/>
      <c r="V160" s="48"/>
      <c r="W160" s="48"/>
      <c r="X160" s="48"/>
      <c r="Y160" s="48"/>
      <c r="Z160" s="338"/>
      <c r="AA160" s="366"/>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row>
    <row r="161">
      <c r="A161" s="167">
        <v>1.0</v>
      </c>
      <c r="B161" s="378" t="s">
        <v>5076</v>
      </c>
      <c r="C161" s="55">
        <v>157.0</v>
      </c>
      <c r="D161" s="55">
        <v>4.0</v>
      </c>
      <c r="E161" s="55" t="s">
        <v>4253</v>
      </c>
      <c r="F161" s="171" t="str">
        <f>HYPERLINK("https://www.liputan6.com/news/read/4002169/dewan-masjid-minta-umat-tak-terpancing-insiden-perempuan-bawa-anjing ","sumber")</f>
        <v>sumber</v>
      </c>
      <c r="G161" s="55" t="s">
        <v>33</v>
      </c>
      <c r="H161" s="55">
        <v>1.0</v>
      </c>
      <c r="I161" s="55">
        <v>1.0</v>
      </c>
      <c r="J161" s="55">
        <v>4.0</v>
      </c>
      <c r="K161" s="172" t="s">
        <v>5077</v>
      </c>
      <c r="L161" s="55">
        <v>0.0</v>
      </c>
      <c r="M161" s="55">
        <v>0.0</v>
      </c>
      <c r="N161" s="173">
        <v>0.0</v>
      </c>
      <c r="O161" s="173">
        <v>0.0</v>
      </c>
      <c r="P161" s="55">
        <v>0.0</v>
      </c>
      <c r="Q161" s="55" t="s">
        <v>61</v>
      </c>
      <c r="R161" s="55" t="s">
        <v>62</v>
      </c>
      <c r="S161" s="174"/>
      <c r="T161" s="55">
        <v>0.0</v>
      </c>
      <c r="U161" s="55">
        <v>0.0</v>
      </c>
      <c r="V161" s="55">
        <v>0.0</v>
      </c>
      <c r="W161" s="46"/>
      <c r="X161" s="46"/>
      <c r="Y161" s="46"/>
      <c r="Z161" s="302"/>
      <c r="AA161" s="367"/>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row>
    <row r="162">
      <c r="A162" s="167">
        <v>1.0</v>
      </c>
      <c r="B162" s="378" t="s">
        <v>5078</v>
      </c>
      <c r="C162" s="55">
        <v>158.0</v>
      </c>
      <c r="D162" s="55">
        <v>7.0</v>
      </c>
      <c r="E162" s="55" t="s">
        <v>4253</v>
      </c>
      <c r="F162" s="171" t="str">
        <f>HYPERLINK("https://www.tribunnews.com/regional/2019/07/15/perempuan-penderita-gangguan-jiwa-mengamuk-sel-satpol-pp-denpasar-dirusak ","sumber")</f>
        <v>sumber</v>
      </c>
      <c r="G162" s="55" t="s">
        <v>33</v>
      </c>
      <c r="H162" s="55">
        <v>2.0</v>
      </c>
      <c r="I162" s="55">
        <v>1.0</v>
      </c>
      <c r="J162" s="55">
        <v>2.0</v>
      </c>
      <c r="K162" s="172" t="s">
        <v>5079</v>
      </c>
      <c r="L162" s="55">
        <v>0.0</v>
      </c>
      <c r="M162" s="55">
        <v>0.0</v>
      </c>
      <c r="N162" s="173">
        <v>0.0</v>
      </c>
      <c r="O162" s="173">
        <v>0.0</v>
      </c>
      <c r="P162" s="55">
        <v>0.0</v>
      </c>
      <c r="Q162" s="55">
        <v>0.0</v>
      </c>
      <c r="R162" s="55">
        <v>0.0</v>
      </c>
      <c r="S162" s="174"/>
      <c r="T162" s="55">
        <v>0.0</v>
      </c>
      <c r="U162" s="55">
        <v>0.0</v>
      </c>
      <c r="V162" s="55">
        <v>0.0</v>
      </c>
      <c r="W162" s="46"/>
      <c r="X162" s="46"/>
      <c r="Y162" s="46"/>
      <c r="Z162" s="302"/>
      <c r="AA162" s="367"/>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row>
    <row r="163">
      <c r="A163" s="167">
        <v>1.0</v>
      </c>
      <c r="B163" s="378" t="s">
        <v>5080</v>
      </c>
      <c r="C163" s="55">
        <v>159.0</v>
      </c>
      <c r="D163" s="55">
        <v>2.0</v>
      </c>
      <c r="E163" s="55" t="s">
        <v>431</v>
      </c>
      <c r="F163" s="171" t="str">
        <f>HYPERLINK("https://www.cnnindonesia.com/nasional/20190702171503-12-408364/idap-skizofrenia-perempuan-bawa-anjing-dirujuk-ke-rs-jiwa ","sumber")</f>
        <v>sumber</v>
      </c>
      <c r="G163" s="55" t="s">
        <v>33</v>
      </c>
      <c r="H163" s="55">
        <v>1.0</v>
      </c>
      <c r="I163" s="55">
        <v>2.0</v>
      </c>
      <c r="J163" s="55">
        <v>2.0</v>
      </c>
      <c r="K163" s="172" t="s">
        <v>5081</v>
      </c>
      <c r="L163" s="55">
        <v>0.0</v>
      </c>
      <c r="M163" s="55">
        <v>0.0</v>
      </c>
      <c r="N163" s="173">
        <v>0.0</v>
      </c>
      <c r="O163" s="173">
        <v>0.0</v>
      </c>
      <c r="P163" s="55">
        <v>0.0</v>
      </c>
      <c r="Q163" s="55">
        <v>0.0</v>
      </c>
      <c r="R163" s="55">
        <v>0.0</v>
      </c>
      <c r="S163" s="174"/>
      <c r="T163" s="55">
        <v>0.0</v>
      </c>
      <c r="U163" s="55">
        <v>0.0</v>
      </c>
      <c r="V163" s="55">
        <v>0.0</v>
      </c>
      <c r="W163" s="46"/>
      <c r="X163" s="46"/>
      <c r="Y163" s="46"/>
      <c r="Z163" s="302"/>
      <c r="AA163" s="367"/>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row>
    <row r="164">
      <c r="A164" s="152">
        <v>2.0</v>
      </c>
      <c r="B164" s="389" t="s">
        <v>5082</v>
      </c>
      <c r="C164" s="47">
        <v>160.0</v>
      </c>
      <c r="D164" s="48"/>
      <c r="E164" s="47" t="s">
        <v>295</v>
      </c>
      <c r="F164" s="156" t="str">
        <f>HYPERLINK("https://sport.detik.com/sepakbola/liga-inggris/d-4636746/guardiola-jadwal-sibuk-sepakbola-membunuh-pemain-man-city ","sumber")</f>
        <v>sumber</v>
      </c>
      <c r="G164" s="47" t="s">
        <v>33</v>
      </c>
      <c r="H164" s="48"/>
      <c r="I164" s="48"/>
      <c r="J164" s="48"/>
      <c r="K164" s="165"/>
      <c r="L164" s="48"/>
      <c r="M164" s="48"/>
      <c r="N164" s="48"/>
      <c r="O164" s="48"/>
      <c r="P164" s="48"/>
      <c r="Q164" s="48"/>
      <c r="R164" s="48"/>
      <c r="S164" s="165"/>
      <c r="T164" s="48"/>
      <c r="U164" s="48"/>
      <c r="V164" s="48"/>
      <c r="W164" s="48"/>
      <c r="X164" s="48"/>
      <c r="Y164" s="48"/>
      <c r="Z164" s="338"/>
      <c r="AA164" s="366"/>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row>
    <row r="165">
      <c r="A165" s="369">
        <v>1.0</v>
      </c>
      <c r="B165" s="390" t="s">
        <v>5083</v>
      </c>
      <c r="C165" s="44">
        <v>161.0</v>
      </c>
      <c r="D165" s="44">
        <v>8.0</v>
      </c>
      <c r="E165" s="44" t="s">
        <v>2458</v>
      </c>
      <c r="F165" s="162" t="str">
        <f>HYPERLINK("https://www.suara.com/news/2019/07/28/230526/kasus-dokter-romi-digagalkan-jadi-asn-kemen-pppa-kami-tidak-mentolerir ","sumber")</f>
        <v>sumber</v>
      </c>
      <c r="G165" s="44" t="s">
        <v>33</v>
      </c>
      <c r="H165" s="44">
        <v>1.0</v>
      </c>
      <c r="I165" s="44">
        <v>1.0</v>
      </c>
      <c r="J165" s="44">
        <v>2.0</v>
      </c>
      <c r="K165" s="164" t="s">
        <v>5084</v>
      </c>
      <c r="L165" s="44">
        <v>0.0</v>
      </c>
      <c r="M165" s="188">
        <v>0.0</v>
      </c>
      <c r="N165" s="166">
        <v>0.0</v>
      </c>
      <c r="O165" s="166">
        <v>0.0</v>
      </c>
      <c r="P165" s="44">
        <v>0.0</v>
      </c>
      <c r="Q165" s="44" t="s">
        <v>119</v>
      </c>
      <c r="R165" s="44" t="s">
        <v>5085</v>
      </c>
      <c r="S165" s="175"/>
      <c r="T165" s="44">
        <v>0.0</v>
      </c>
      <c r="U165" s="44">
        <v>0.0</v>
      </c>
      <c r="V165" s="44">
        <v>1.0</v>
      </c>
      <c r="W165" s="45"/>
      <c r="X165" s="45"/>
      <c r="Y165" s="45"/>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row>
    <row r="166">
      <c r="A166" s="152">
        <v>2.0</v>
      </c>
      <c r="B166" s="389" t="s">
        <v>5086</v>
      </c>
      <c r="C166" s="47">
        <v>162.0</v>
      </c>
      <c r="D166" s="48"/>
      <c r="E166" s="280">
        <v>43473.0</v>
      </c>
      <c r="F166" s="156" t="str">
        <f>HYPERLINK("https://bola.kompas.com/read/2019/08/01/17200028/keluar-dari-rumah-sakit-begini-kondisi-asep-berlian ","sumber")</f>
        <v>sumber</v>
      </c>
      <c r="G166" s="47" t="s">
        <v>33</v>
      </c>
      <c r="H166" s="48"/>
      <c r="I166" s="48"/>
      <c r="J166" s="48"/>
      <c r="K166" s="165"/>
      <c r="L166" s="48"/>
      <c r="M166" s="48"/>
      <c r="N166" s="48"/>
      <c r="O166" s="48"/>
      <c r="P166" s="48"/>
      <c r="Q166" s="48"/>
      <c r="R166" s="48"/>
      <c r="S166" s="165"/>
      <c r="T166" s="48"/>
      <c r="U166" s="48"/>
      <c r="V166" s="48"/>
      <c r="W166" s="48"/>
      <c r="X166" s="48"/>
      <c r="Y166" s="48"/>
      <c r="Z166" s="338"/>
      <c r="AA166" s="366"/>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row>
    <row r="167">
      <c r="A167" s="369">
        <v>1.0</v>
      </c>
      <c r="B167" s="390" t="s">
        <v>5087</v>
      </c>
      <c r="C167" s="44">
        <v>163.0</v>
      </c>
      <c r="D167" s="44">
        <v>10.0</v>
      </c>
      <c r="E167" s="268">
        <v>43473.0</v>
      </c>
      <c r="F167" s="162" t="str">
        <f>HYPERLINK("https://nasional.tempo.co/read/1230872/mendagri-penolakan-drg-romi-jadi-pns-tidak-beralasan ","sumber")</f>
        <v>sumber</v>
      </c>
      <c r="G167" s="44" t="s">
        <v>33</v>
      </c>
      <c r="H167" s="44">
        <v>1.0</v>
      </c>
      <c r="I167" s="44">
        <v>1.0</v>
      </c>
      <c r="J167" s="44">
        <v>2.0</v>
      </c>
      <c r="K167" s="164" t="s">
        <v>5088</v>
      </c>
      <c r="L167" s="44">
        <v>0.0</v>
      </c>
      <c r="M167" s="188">
        <v>0.0</v>
      </c>
      <c r="N167" s="166">
        <v>0.0</v>
      </c>
      <c r="O167" s="166">
        <v>0.0</v>
      </c>
      <c r="P167" s="44">
        <v>0.0</v>
      </c>
      <c r="Q167" s="44" t="s">
        <v>61</v>
      </c>
      <c r="R167" s="44" t="s">
        <v>192</v>
      </c>
      <c r="S167" s="175"/>
      <c r="T167" s="44">
        <v>0.0</v>
      </c>
      <c r="U167" s="44">
        <v>0.0</v>
      </c>
      <c r="V167" s="44">
        <v>1.0</v>
      </c>
      <c r="W167" s="45"/>
      <c r="X167" s="45"/>
      <c r="Y167" s="45"/>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row>
    <row r="168">
      <c r="A168" s="152">
        <v>2.0</v>
      </c>
      <c r="B168" s="389" t="s">
        <v>5089</v>
      </c>
      <c r="C168" s="47">
        <v>164.0</v>
      </c>
      <c r="D168" s="48"/>
      <c r="E168" s="280">
        <v>43654.0</v>
      </c>
      <c r="F168" s="156" t="str">
        <f>HYPERLINK("https://republika.co.id/berita/pvubzq385/ada-apa-dengan-taliban-nusantara ","sumber")</f>
        <v>sumber</v>
      </c>
      <c r="G168" s="47" t="s">
        <v>33</v>
      </c>
      <c r="H168" s="48"/>
      <c r="I168" s="48"/>
      <c r="J168" s="48"/>
      <c r="K168" s="165"/>
      <c r="L168" s="48"/>
      <c r="M168" s="48"/>
      <c r="N168" s="48"/>
      <c r="O168" s="48"/>
      <c r="P168" s="48"/>
      <c r="Q168" s="48"/>
      <c r="R168" s="48"/>
      <c r="S168" s="165"/>
      <c r="T168" s="48"/>
      <c r="U168" s="48"/>
      <c r="V168" s="48"/>
      <c r="W168" s="48"/>
      <c r="X168" s="48"/>
      <c r="Y168" s="48"/>
      <c r="Z168" s="338"/>
      <c r="AA168" s="366"/>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row>
    <row r="169">
      <c r="A169" s="167">
        <v>1.0</v>
      </c>
      <c r="B169" s="378" t="s">
        <v>5090</v>
      </c>
      <c r="C169" s="55">
        <v>165.0</v>
      </c>
      <c r="D169" s="55">
        <v>10.0</v>
      </c>
      <c r="E169" s="344">
        <v>43654.0</v>
      </c>
      <c r="F169" s="171" t="str">
        <f>HYPERLINK("https://metro.tempo.co/read/1241106/dki-salurkan-7-137-kartu-penyandang-disabilitas ","sumber")</f>
        <v>sumber</v>
      </c>
      <c r="G169" s="55" t="s">
        <v>33</v>
      </c>
      <c r="H169" s="55">
        <v>1.0</v>
      </c>
      <c r="I169" s="55">
        <v>1.0</v>
      </c>
      <c r="J169" s="55">
        <v>2.0</v>
      </c>
      <c r="K169" s="172" t="s">
        <v>5091</v>
      </c>
      <c r="L169" s="55">
        <v>0.0</v>
      </c>
      <c r="M169" s="55">
        <v>0.0</v>
      </c>
      <c r="N169" s="173">
        <v>0.0</v>
      </c>
      <c r="O169" s="173">
        <v>0.0</v>
      </c>
      <c r="P169" s="55">
        <v>0.0</v>
      </c>
      <c r="Q169" s="55">
        <v>0.0</v>
      </c>
      <c r="R169" s="55">
        <v>1.0</v>
      </c>
      <c r="S169" s="174"/>
      <c r="T169" s="55">
        <v>0.0</v>
      </c>
      <c r="U169" s="55">
        <v>0.0</v>
      </c>
      <c r="V169" s="55">
        <v>1.0</v>
      </c>
      <c r="W169" s="46"/>
      <c r="X169" s="46"/>
      <c r="Y169" s="46"/>
      <c r="Z169" s="302"/>
      <c r="AA169" s="367"/>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row>
    <row r="170">
      <c r="A170" s="167">
        <v>1.0</v>
      </c>
      <c r="B170" s="378" t="s">
        <v>5092</v>
      </c>
      <c r="C170" s="55">
        <v>166.0</v>
      </c>
      <c r="D170" s="55">
        <v>10.0</v>
      </c>
      <c r="E170" s="344">
        <v>43777.0</v>
      </c>
      <c r="F170" s="171" t="str">
        <f>HYPERLINK("https://difabel.tempo.co/read/1231973/garuda-inaf-organisasi-sepak-bola-penyandang-disabilitas-daksa ","sumber")</f>
        <v>sumber</v>
      </c>
      <c r="G170" s="55" t="s">
        <v>33</v>
      </c>
      <c r="H170" s="55">
        <v>1.0</v>
      </c>
      <c r="I170" s="55">
        <v>2.0</v>
      </c>
      <c r="J170" s="55">
        <v>2.0</v>
      </c>
      <c r="K170" s="172" t="s">
        <v>5093</v>
      </c>
      <c r="L170" s="55">
        <v>0.0</v>
      </c>
      <c r="M170" s="55">
        <v>0.0</v>
      </c>
      <c r="N170" s="173">
        <v>0.0</v>
      </c>
      <c r="O170" s="173">
        <v>0.0</v>
      </c>
      <c r="P170" s="55">
        <v>0.0</v>
      </c>
      <c r="Q170" s="55" t="s">
        <v>61</v>
      </c>
      <c r="R170" s="55" t="s">
        <v>192</v>
      </c>
      <c r="S170" s="174"/>
      <c r="T170" s="55">
        <v>0.0</v>
      </c>
      <c r="U170" s="55">
        <v>0.0</v>
      </c>
      <c r="V170" s="55">
        <v>1.0</v>
      </c>
      <c r="W170" s="46"/>
      <c r="X170" s="46"/>
      <c r="Y170" s="46"/>
      <c r="Z170" s="302"/>
      <c r="AA170" s="367"/>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row>
    <row r="171">
      <c r="A171" s="158">
        <v>1.0</v>
      </c>
      <c r="B171" s="390" t="s">
        <v>5094</v>
      </c>
      <c r="C171" s="44">
        <v>167.0</v>
      </c>
      <c r="D171" s="44">
        <v>7.0</v>
      </c>
      <c r="E171" s="268">
        <v>43807.0</v>
      </c>
      <c r="F171" s="162" t="str">
        <f>HYPERLINK("https://www.tribunnews.com/internasional/2019/08/12/wanita-penyandang-disabilitas-ini-tak-boleh-masuk-ke-kantor-pemerintah-karena-gunakan-celana-pendek ","sumber")</f>
        <v>sumber</v>
      </c>
      <c r="G171" s="44" t="s">
        <v>33</v>
      </c>
      <c r="H171" s="44">
        <v>3.0</v>
      </c>
      <c r="I171" s="44">
        <v>1.0</v>
      </c>
      <c r="J171" s="44">
        <v>2.0</v>
      </c>
      <c r="K171" s="164" t="s">
        <v>5095</v>
      </c>
      <c r="L171" s="44">
        <v>0.0</v>
      </c>
      <c r="M171" s="44">
        <v>0.0</v>
      </c>
      <c r="N171" s="166">
        <v>0.0</v>
      </c>
      <c r="O171" s="166">
        <v>0.0</v>
      </c>
      <c r="P171" s="44">
        <v>0.0</v>
      </c>
      <c r="Q171" s="44">
        <v>2.0</v>
      </c>
      <c r="R171" s="44">
        <v>1.0</v>
      </c>
      <c r="S171" s="175"/>
      <c r="T171" s="44">
        <v>0.0</v>
      </c>
      <c r="U171" s="44">
        <v>0.0</v>
      </c>
      <c r="V171" s="44">
        <v>1.0</v>
      </c>
      <c r="W171" s="45"/>
      <c r="X171" s="45"/>
      <c r="Y171" s="45"/>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row>
    <row r="172">
      <c r="A172" s="167">
        <v>1.0</v>
      </c>
      <c r="B172" s="378" t="s">
        <v>5096</v>
      </c>
      <c r="C172" s="55">
        <v>168.0</v>
      </c>
      <c r="D172" s="55">
        <v>10.0</v>
      </c>
      <c r="E172" s="55" t="s">
        <v>2090</v>
      </c>
      <c r="F172" s="171" t="str">
        <f>HYPERLINK("https://sport.tempo.co/read/1238204/tenis-dunia-lee-duck-hee-torehan-bersejarah-atlet-tuna-rungu ","sumber")</f>
        <v>sumber</v>
      </c>
      <c r="G172" s="55" t="s">
        <v>33</v>
      </c>
      <c r="H172" s="55">
        <v>1.0</v>
      </c>
      <c r="I172" s="55">
        <v>2.0</v>
      </c>
      <c r="J172" s="55">
        <v>2.0</v>
      </c>
      <c r="K172" s="172" t="s">
        <v>5097</v>
      </c>
      <c r="L172" s="55">
        <v>0.0</v>
      </c>
      <c r="M172" s="55">
        <v>0.0</v>
      </c>
      <c r="N172" s="173">
        <v>0.0</v>
      </c>
      <c r="O172" s="173">
        <v>0.0</v>
      </c>
      <c r="P172" s="55">
        <v>0.0</v>
      </c>
      <c r="Q172" s="55">
        <v>2.0</v>
      </c>
      <c r="R172" s="55">
        <v>1.0</v>
      </c>
      <c r="S172" s="174"/>
      <c r="T172" s="55">
        <v>0.0</v>
      </c>
      <c r="U172" s="55">
        <v>0.0</v>
      </c>
      <c r="V172" s="55">
        <v>1.0</v>
      </c>
      <c r="W172" s="46"/>
      <c r="X172" s="46"/>
      <c r="Y172" s="46"/>
      <c r="Z172" s="302"/>
      <c r="AA172" s="367"/>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row>
    <row r="173">
      <c r="A173" s="152">
        <v>2.0</v>
      </c>
      <c r="B173" s="389" t="s">
        <v>5098</v>
      </c>
      <c r="C173" s="47">
        <v>169.0</v>
      </c>
      <c r="D173" s="48"/>
      <c r="E173" s="47" t="s">
        <v>303</v>
      </c>
      <c r="F173" s="156" t="str">
        <f>HYPERLINK("https://sports.okezone.com/read/2019/08/14/38/2091932/ciabatti-dovizioso-tampil-melebihi-ekspektasi-di-austria ","sumber")</f>
        <v>sumber</v>
      </c>
      <c r="G173" s="47" t="s">
        <v>33</v>
      </c>
      <c r="H173" s="48"/>
      <c r="I173" s="48"/>
      <c r="J173" s="48"/>
      <c r="K173" s="165"/>
      <c r="L173" s="48"/>
      <c r="M173" s="48"/>
      <c r="N173" s="48"/>
      <c r="O173" s="48"/>
      <c r="P173" s="48"/>
      <c r="Q173" s="48"/>
      <c r="R173" s="48"/>
      <c r="S173" s="165"/>
      <c r="T173" s="48"/>
      <c r="U173" s="48"/>
      <c r="V173" s="48"/>
      <c r="W173" s="48"/>
      <c r="X173" s="48"/>
      <c r="Y173" s="48"/>
      <c r="Z173" s="338"/>
      <c r="AA173" s="366"/>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row>
    <row r="174">
      <c r="A174" s="152">
        <v>2.0</v>
      </c>
      <c r="B174" s="389" t="s">
        <v>5099</v>
      </c>
      <c r="C174" s="47">
        <v>170.0</v>
      </c>
      <c r="D174" s="48"/>
      <c r="E174" s="47" t="s">
        <v>5100</v>
      </c>
      <c r="F174" s="156" t="str">
        <f>HYPERLINK("https://www.cnnindonesia.com/olahraga/20190821214106-142-423578/respons-pssi-soal-protes-tiket-timnas-indonesia-vs-malaysia ","sumber")</f>
        <v>sumber</v>
      </c>
      <c r="G174" s="47" t="s">
        <v>33</v>
      </c>
      <c r="H174" s="48"/>
      <c r="I174" s="48"/>
      <c r="J174" s="48"/>
      <c r="K174" s="165"/>
      <c r="L174" s="48"/>
      <c r="M174" s="48"/>
      <c r="N174" s="48"/>
      <c r="O174" s="48"/>
      <c r="P174" s="48"/>
      <c r="Q174" s="48"/>
      <c r="R174" s="48"/>
      <c r="S174" s="165"/>
      <c r="T174" s="48"/>
      <c r="U174" s="48"/>
      <c r="V174" s="48"/>
      <c r="W174" s="48"/>
      <c r="X174" s="48"/>
      <c r="Y174" s="48"/>
      <c r="Z174" s="338"/>
      <c r="AA174" s="366"/>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row>
    <row r="175">
      <c r="A175" s="167">
        <v>1.0</v>
      </c>
      <c r="B175" s="378" t="s">
        <v>5101</v>
      </c>
      <c r="C175" s="55">
        <v>171.0</v>
      </c>
      <c r="D175" s="55">
        <v>9.0</v>
      </c>
      <c r="E175" s="55" t="s">
        <v>306</v>
      </c>
      <c r="F175" s="171" t="str">
        <f>HYPERLINK("https://nasional.republika.co.id/berita/pw27gk384/600-disabilitas-ikuti-shalat-idul-adha-di-istiqlal ","sumber")</f>
        <v>sumber</v>
      </c>
      <c r="G175" s="55" t="s">
        <v>33</v>
      </c>
      <c r="H175" s="55">
        <v>1.0</v>
      </c>
      <c r="I175" s="55">
        <v>3.0</v>
      </c>
      <c r="J175" s="55">
        <v>2.0</v>
      </c>
      <c r="K175" s="172" t="s">
        <v>5102</v>
      </c>
      <c r="L175" s="55">
        <v>0.0</v>
      </c>
      <c r="M175" s="55">
        <v>0.0</v>
      </c>
      <c r="N175" s="173">
        <v>0.0</v>
      </c>
      <c r="O175" s="173">
        <v>0.0</v>
      </c>
      <c r="P175" s="55">
        <v>0.0</v>
      </c>
      <c r="Q175" s="55">
        <v>0.0</v>
      </c>
      <c r="R175" s="55">
        <v>1.0</v>
      </c>
      <c r="S175" s="174"/>
      <c r="T175" s="55">
        <v>0.0</v>
      </c>
      <c r="U175" s="55">
        <v>0.0</v>
      </c>
      <c r="V175" s="55">
        <v>0.0</v>
      </c>
      <c r="W175" s="46"/>
      <c r="X175" s="46"/>
      <c r="Y175" s="46"/>
      <c r="Z175" s="302"/>
      <c r="AA175" s="367"/>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row>
    <row r="176">
      <c r="A176" s="167">
        <v>1.0</v>
      </c>
      <c r="B176" s="378" t="s">
        <v>5103</v>
      </c>
      <c r="C176" s="55">
        <v>172.0</v>
      </c>
      <c r="D176" s="55">
        <v>3.0</v>
      </c>
      <c r="E176" s="55" t="s">
        <v>310</v>
      </c>
      <c r="F176" s="171" t="str">
        <f>HYPERLINK("https://news.okezone.com/read/2019/08/12/65/2090893/tak-lagi-pakai-tongkat-aplikasi-ini-mudahkan-tuna-netra-berjalan ","sumber")</f>
        <v>sumber</v>
      </c>
      <c r="G176" s="55" t="s">
        <v>33</v>
      </c>
      <c r="H176" s="55">
        <v>3.0</v>
      </c>
      <c r="I176" s="55">
        <v>2.0</v>
      </c>
      <c r="J176" s="55">
        <v>2.0</v>
      </c>
      <c r="K176" s="172" t="s">
        <v>5104</v>
      </c>
      <c r="L176" s="55">
        <v>0.0</v>
      </c>
      <c r="M176" s="55">
        <v>0.0</v>
      </c>
      <c r="N176" s="173">
        <v>0.0</v>
      </c>
      <c r="O176" s="173">
        <v>0.0</v>
      </c>
      <c r="P176" s="55">
        <v>0.0</v>
      </c>
      <c r="Q176" s="55">
        <v>0.0</v>
      </c>
      <c r="R176" s="55">
        <v>1.0</v>
      </c>
      <c r="S176" s="174"/>
      <c r="T176" s="55">
        <v>0.0</v>
      </c>
      <c r="U176" s="55">
        <v>0.0</v>
      </c>
      <c r="V176" s="55">
        <v>1.0</v>
      </c>
      <c r="W176" s="46"/>
      <c r="X176" s="46"/>
      <c r="Y176" s="46"/>
      <c r="Z176" s="302"/>
      <c r="AA176" s="367"/>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row>
    <row r="177">
      <c r="A177" s="152">
        <v>2.0</v>
      </c>
      <c r="B177" s="389" t="s">
        <v>5105</v>
      </c>
      <c r="C177" s="47">
        <v>173.0</v>
      </c>
      <c r="D177" s="48"/>
      <c r="E177" s="47" t="s">
        <v>310</v>
      </c>
      <c r="F177" s="156" t="str">
        <f>HYPERLINK("https://dunia.tempo.co/read/1240384/peringatan-75-tahun-pembebasan-paris-dari-nazi ","sumber")</f>
        <v>sumber</v>
      </c>
      <c r="G177" s="47" t="s">
        <v>33</v>
      </c>
      <c r="H177" s="48"/>
      <c r="I177" s="48"/>
      <c r="J177" s="48"/>
      <c r="K177" s="165"/>
      <c r="L177" s="48"/>
      <c r="M177" s="48"/>
      <c r="N177" s="48"/>
      <c r="O177" s="48"/>
      <c r="P177" s="48"/>
      <c r="Q177" s="48"/>
      <c r="R177" s="48"/>
      <c r="S177" s="165"/>
      <c r="T177" s="48"/>
      <c r="U177" s="48"/>
      <c r="V177" s="48"/>
      <c r="W177" s="48"/>
      <c r="X177" s="48"/>
      <c r="Y177" s="48"/>
      <c r="Z177" s="338"/>
      <c r="AA177" s="366"/>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row>
    <row r="178">
      <c r="A178" s="152">
        <v>2.0</v>
      </c>
      <c r="B178" s="389" t="s">
        <v>5106</v>
      </c>
      <c r="C178" s="47">
        <v>174.0</v>
      </c>
      <c r="D178" s="48"/>
      <c r="E178" s="280">
        <v>43474.0</v>
      </c>
      <c r="F178" s="156" t="str">
        <f>HYPERLINK("https://www.cnnindonesia.com/olahraga/20190827160547-142-425068/jalan-berliku-gonzales-ke-timnas-indonesia ","sumber")</f>
        <v>sumber</v>
      </c>
      <c r="G178" s="47" t="s">
        <v>33</v>
      </c>
      <c r="H178" s="48"/>
      <c r="I178" s="48"/>
      <c r="J178" s="48"/>
      <c r="K178" s="165"/>
      <c r="L178" s="48"/>
      <c r="M178" s="48"/>
      <c r="N178" s="48"/>
      <c r="O178" s="48"/>
      <c r="P178" s="48"/>
      <c r="Q178" s="48"/>
      <c r="R178" s="48"/>
      <c r="S178" s="165"/>
      <c r="T178" s="48"/>
      <c r="U178" s="48"/>
      <c r="V178" s="48"/>
      <c r="W178" s="48"/>
      <c r="X178" s="48"/>
      <c r="Y178" s="48"/>
      <c r="Z178" s="338"/>
      <c r="AA178" s="366"/>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row>
    <row r="179">
      <c r="A179" s="158">
        <v>1.0</v>
      </c>
      <c r="B179" s="390" t="s">
        <v>5107</v>
      </c>
      <c r="C179" s="44">
        <v>175.0</v>
      </c>
      <c r="D179" s="44">
        <v>9.0</v>
      </c>
      <c r="E179" s="268">
        <v>43474.0</v>
      </c>
      <c r="F179" s="162" t="str">
        <f>HYPERLINK("https://gayahidup.republika.co.id/berita/pwzez119000/kenali-gejala-autisme-pada-anak-usia-dini ","sumber")</f>
        <v>sumber</v>
      </c>
      <c r="G179" s="44" t="s">
        <v>33</v>
      </c>
      <c r="H179" s="44">
        <v>228.0</v>
      </c>
      <c r="I179" s="44">
        <v>2.0</v>
      </c>
      <c r="J179" s="44">
        <v>2.0</v>
      </c>
      <c r="K179" s="164" t="s">
        <v>5108</v>
      </c>
      <c r="L179" s="44">
        <v>0.0</v>
      </c>
      <c r="M179" s="44">
        <v>0.0</v>
      </c>
      <c r="N179" s="166">
        <v>0.0</v>
      </c>
      <c r="O179" s="166">
        <v>0.0</v>
      </c>
      <c r="P179" s="44">
        <v>0.0</v>
      </c>
      <c r="Q179" s="44">
        <v>0.0</v>
      </c>
      <c r="R179" s="44">
        <v>1.0</v>
      </c>
      <c r="S179" s="175"/>
      <c r="T179" s="44">
        <v>0.0</v>
      </c>
      <c r="U179" s="44">
        <v>0.0</v>
      </c>
      <c r="V179" s="44">
        <v>1.0</v>
      </c>
      <c r="W179" s="45"/>
      <c r="X179" s="45"/>
      <c r="Y179" s="45"/>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row>
    <row r="180">
      <c r="A180" s="152">
        <v>2.0</v>
      </c>
      <c r="B180" s="389" t="s">
        <v>5109</v>
      </c>
      <c r="C180" s="47">
        <v>176.0</v>
      </c>
      <c r="D180" s="47">
        <v>7.0</v>
      </c>
      <c r="E180" s="280">
        <v>43474.0</v>
      </c>
      <c r="F180" s="156" t="str">
        <f>HYPERLINK("https://www.tribunnews.com/seleb/2019/09/01/tayang-malam-ini-minggu-1-september-2019-3-days-to-kill-di-bioskop-trans-tv-pukul-2100-wib ","sumber")</f>
        <v>sumber</v>
      </c>
      <c r="G180" s="47" t="s">
        <v>33</v>
      </c>
      <c r="H180" s="47"/>
      <c r="I180" s="47" t="s">
        <v>5110</v>
      </c>
      <c r="J180" s="48"/>
      <c r="K180" s="165"/>
      <c r="L180" s="48"/>
      <c r="M180" s="48"/>
      <c r="N180" s="48"/>
      <c r="O180" s="48"/>
      <c r="P180" s="48"/>
      <c r="Q180" s="48"/>
      <c r="R180" s="48"/>
      <c r="S180" s="165"/>
      <c r="T180" s="48"/>
      <c r="U180" s="48"/>
      <c r="V180" s="48"/>
      <c r="W180" s="48"/>
      <c r="X180" s="48"/>
      <c r="Y180" s="48"/>
      <c r="Z180" s="338"/>
      <c r="AA180" s="366"/>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row>
    <row r="181">
      <c r="A181" s="152">
        <v>2.0</v>
      </c>
      <c r="B181" s="389" t="s">
        <v>5111</v>
      </c>
      <c r="C181" s="47">
        <v>177.0</v>
      </c>
      <c r="D181" s="48"/>
      <c r="E181" s="280">
        <v>43505.0</v>
      </c>
      <c r="F181" s="156" t="str">
        <f>HYPERLINK("https://hot.detik.com/movie/d-4689946/sri-asih-film-jagoan-yang-bakal-tayang-setelah-gundala ","sumber")</f>
        <v>sumber</v>
      </c>
      <c r="G181" s="47" t="s">
        <v>33</v>
      </c>
      <c r="H181" s="48"/>
      <c r="I181" s="48"/>
      <c r="J181" s="48"/>
      <c r="K181" s="165"/>
      <c r="L181" s="48"/>
      <c r="M181" s="48"/>
      <c r="N181" s="48"/>
      <c r="O181" s="48"/>
      <c r="P181" s="48"/>
      <c r="Q181" s="48"/>
      <c r="R181" s="48"/>
      <c r="S181" s="165"/>
      <c r="T181" s="48"/>
      <c r="U181" s="48"/>
      <c r="V181" s="48"/>
      <c r="W181" s="48"/>
      <c r="X181" s="48"/>
      <c r="Y181" s="48"/>
      <c r="Z181" s="338"/>
      <c r="AA181" s="366"/>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row>
    <row r="182">
      <c r="A182" s="152">
        <v>2.0</v>
      </c>
      <c r="B182" s="389" t="s">
        <v>5112</v>
      </c>
      <c r="C182" s="47">
        <v>178.0</v>
      </c>
      <c r="D182" s="48"/>
      <c r="E182" s="280">
        <v>43505.0</v>
      </c>
      <c r="F182" s="156" t="str">
        <f>HYPERLINK("https://www.tribunnews.com/nasional/2019/09/02/kbri-riyadh-terima-cek-santunan-korban-crane-senilai-851-miliar-dari-raja-salman ","sumber")</f>
        <v>sumber</v>
      </c>
      <c r="G182" s="47" t="s">
        <v>33</v>
      </c>
      <c r="H182" s="48"/>
      <c r="I182" s="48"/>
      <c r="J182" s="48"/>
      <c r="K182" s="165"/>
      <c r="L182" s="48"/>
      <c r="M182" s="48"/>
      <c r="N182" s="48"/>
      <c r="O182" s="48"/>
      <c r="P182" s="48"/>
      <c r="Q182" s="48"/>
      <c r="R182" s="48"/>
      <c r="S182" s="165"/>
      <c r="T182" s="48"/>
      <c r="U182" s="48"/>
      <c r="V182" s="48"/>
      <c r="W182" s="48"/>
      <c r="X182" s="48"/>
      <c r="Y182" s="48"/>
      <c r="Z182" s="338"/>
      <c r="AA182" s="366"/>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row>
    <row r="183">
      <c r="A183" s="152">
        <v>2.0</v>
      </c>
      <c r="B183" s="389" t="s">
        <v>5113</v>
      </c>
      <c r="C183" s="47">
        <v>179.0</v>
      </c>
      <c r="D183" s="48"/>
      <c r="E183" s="280">
        <v>43533.0</v>
      </c>
      <c r="F183" s="156" t="str">
        <f>HYPERLINK("https://senggang.republika.co.id/berita/px8hq9328/ltemgtcinta-itu-butaltemgt-adaptasi-film-drama-komedi-filipina ","sumber")</f>
        <v>sumber</v>
      </c>
      <c r="G183" s="47" t="s">
        <v>33</v>
      </c>
      <c r="H183" s="48"/>
      <c r="I183" s="48"/>
      <c r="J183" s="48"/>
      <c r="K183" s="165"/>
      <c r="L183" s="48"/>
      <c r="M183" s="48"/>
      <c r="N183" s="48"/>
      <c r="O183" s="48"/>
      <c r="P183" s="48"/>
      <c r="Q183" s="48"/>
      <c r="R183" s="48"/>
      <c r="S183" s="165"/>
      <c r="T183" s="48"/>
      <c r="U183" s="48"/>
      <c r="V183" s="48"/>
      <c r="W183" s="48"/>
      <c r="X183" s="48"/>
      <c r="Y183" s="48"/>
      <c r="Z183" s="338"/>
      <c r="AA183" s="366"/>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row>
    <row r="184">
      <c r="A184" s="152">
        <v>2.0</v>
      </c>
      <c r="B184" s="389" t="s">
        <v>5114</v>
      </c>
      <c r="C184" s="47">
        <v>180.0</v>
      </c>
      <c r="D184" s="48"/>
      <c r="E184" s="280">
        <v>43564.0</v>
      </c>
      <c r="F184" s="156" t="str">
        <f>HYPERLINK("https://index.okezone.com/read/2019/09/03/612/2100335/bisakah-dunia-menjadi-lebih-baik-selama-masih-ada-netizen ","sumber")</f>
        <v>sumber</v>
      </c>
      <c r="G184" s="47" t="s">
        <v>33</v>
      </c>
      <c r="H184" s="48"/>
      <c r="I184" s="48"/>
      <c r="J184" s="48"/>
      <c r="K184" s="165"/>
      <c r="L184" s="48"/>
      <c r="M184" s="48"/>
      <c r="N184" s="48"/>
      <c r="O184" s="48"/>
      <c r="P184" s="48"/>
      <c r="Q184" s="48"/>
      <c r="R184" s="48"/>
      <c r="S184" s="165"/>
      <c r="T184" s="48"/>
      <c r="U184" s="48"/>
      <c r="V184" s="48"/>
      <c r="W184" s="48"/>
      <c r="X184" s="48"/>
      <c r="Y184" s="48"/>
      <c r="Z184" s="338"/>
      <c r="AA184" s="366"/>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row>
    <row r="185">
      <c r="A185" s="158">
        <v>1.0</v>
      </c>
      <c r="B185" s="390" t="s">
        <v>5115</v>
      </c>
      <c r="C185" s="44">
        <v>181.0</v>
      </c>
      <c r="D185" s="44">
        <v>9.0</v>
      </c>
      <c r="E185" s="268">
        <v>43564.0</v>
      </c>
      <c r="F185" s="162" t="str">
        <f>HYPERLINK("https://nasional.republika.co.id/berita/pxacx3328/stiker-pengecualian-ganjil-genap-untuk-disabilitas-dibagikan ","sumber")</f>
        <v>sumber</v>
      </c>
      <c r="G185" s="44" t="s">
        <v>33</v>
      </c>
      <c r="H185" s="44">
        <v>1.0</v>
      </c>
      <c r="I185" s="44">
        <v>4.0</v>
      </c>
      <c r="J185" s="44">
        <v>2.0</v>
      </c>
      <c r="K185" s="164" t="s">
        <v>5116</v>
      </c>
      <c r="L185" s="44">
        <v>0.0</v>
      </c>
      <c r="M185" s="44">
        <v>0.0</v>
      </c>
      <c r="N185" s="166">
        <v>0.0</v>
      </c>
      <c r="O185" s="166">
        <v>0.0</v>
      </c>
      <c r="P185" s="44">
        <v>0.0</v>
      </c>
      <c r="Q185" s="44">
        <v>0.0</v>
      </c>
      <c r="R185" s="44">
        <v>1.0</v>
      </c>
      <c r="S185" s="175"/>
      <c r="T185" s="44">
        <v>0.0</v>
      </c>
      <c r="U185" s="44">
        <v>0.0</v>
      </c>
      <c r="V185" s="44">
        <v>1.0</v>
      </c>
      <c r="W185" s="45"/>
      <c r="X185" s="45"/>
      <c r="Y185" s="45"/>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row>
    <row r="186">
      <c r="A186" s="167">
        <v>1.0</v>
      </c>
      <c r="B186" s="378" t="s">
        <v>5117</v>
      </c>
      <c r="C186" s="55">
        <v>182.0</v>
      </c>
      <c r="D186" s="55">
        <v>10.0</v>
      </c>
      <c r="E186" s="344">
        <v>43564.0</v>
      </c>
      <c r="F186" s="171" t="str">
        <f>HYPERLINK("https://metro.tempo.co/read/1243588/dki-bagikan-stiker-penyandang-disabilitas-untuk-ganjil-genap ","sumber")</f>
        <v>sumber</v>
      </c>
      <c r="G186" s="55" t="s">
        <v>33</v>
      </c>
      <c r="H186" s="55">
        <v>1.0</v>
      </c>
      <c r="I186" s="55">
        <v>4.0</v>
      </c>
      <c r="J186" s="55">
        <v>2.0</v>
      </c>
      <c r="K186" s="172" t="s">
        <v>5118</v>
      </c>
      <c r="L186" s="55">
        <v>0.0</v>
      </c>
      <c r="M186" s="55">
        <v>0.0</v>
      </c>
      <c r="N186" s="173">
        <v>0.0</v>
      </c>
      <c r="O186" s="173">
        <v>0.0</v>
      </c>
      <c r="P186" s="55">
        <v>0.0</v>
      </c>
      <c r="Q186" s="55">
        <v>0.0</v>
      </c>
      <c r="R186" s="55">
        <v>1.0</v>
      </c>
      <c r="S186" s="174"/>
      <c r="T186" s="55">
        <v>0.0</v>
      </c>
      <c r="U186" s="55">
        <v>0.0</v>
      </c>
      <c r="V186" s="55">
        <v>1.0</v>
      </c>
      <c r="W186" s="46"/>
      <c r="X186" s="46"/>
      <c r="Y186" s="46"/>
      <c r="Z186" s="302"/>
      <c r="AA186" s="367"/>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row>
    <row r="187">
      <c r="A187" s="158">
        <v>1.0</v>
      </c>
      <c r="B187" s="390" t="s">
        <v>5119</v>
      </c>
      <c r="C187" s="44">
        <v>183.0</v>
      </c>
      <c r="D187" s="44">
        <v>5.0</v>
      </c>
      <c r="E187" s="268">
        <v>43564.0</v>
      </c>
      <c r="F187" s="162" t="str">
        <f>HYPERLINK("https://tirto.id/salah-kaprah-ruqyah-menyembuhkan-lgbt-yang-nirfaedah-ehtE ","sumber")</f>
        <v>sumber</v>
      </c>
      <c r="G187" s="44" t="s">
        <v>33</v>
      </c>
      <c r="H187" s="44">
        <v>2284.0</v>
      </c>
      <c r="I187" s="44">
        <v>1.0</v>
      </c>
      <c r="J187" s="44">
        <v>3.0</v>
      </c>
      <c r="K187" s="164" t="s">
        <v>5120</v>
      </c>
      <c r="L187" s="44">
        <v>0.0</v>
      </c>
      <c r="M187" s="44">
        <v>0.0</v>
      </c>
      <c r="N187" s="166">
        <v>0.0</v>
      </c>
      <c r="O187" s="166">
        <v>0.0</v>
      </c>
      <c r="P187" s="44">
        <v>0.0</v>
      </c>
      <c r="Q187" s="44" t="s">
        <v>5121</v>
      </c>
      <c r="R187" s="164" t="s">
        <v>5122</v>
      </c>
      <c r="S187" s="175"/>
      <c r="T187" s="44">
        <v>0.0</v>
      </c>
      <c r="U187" s="44">
        <v>0.0</v>
      </c>
      <c r="V187" s="44">
        <v>1.0</v>
      </c>
      <c r="W187" s="45"/>
      <c r="X187" s="45"/>
      <c r="Y187" s="45"/>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row>
    <row r="188">
      <c r="A188" s="152">
        <v>2.0</v>
      </c>
      <c r="B188" s="389" t="s">
        <v>3291</v>
      </c>
      <c r="C188" s="47">
        <v>184.0</v>
      </c>
      <c r="D188" s="48"/>
      <c r="E188" s="47" t="s">
        <v>681</v>
      </c>
      <c r="F188" s="156" t="str">
        <f>HYPERLINK("https://www.tribunnews.com/seleb/2019/09/28/5-film-indonesia-siap-tayang-oktober-2019-dari-cinta-itu-buta-hingga-ajari-aku-islam ","sumber")</f>
        <v>sumber</v>
      </c>
      <c r="G188" s="47" t="s">
        <v>33</v>
      </c>
      <c r="H188" s="48"/>
      <c r="I188" s="48"/>
      <c r="J188" s="48"/>
      <c r="K188" s="165"/>
      <c r="L188" s="48"/>
      <c r="M188" s="48"/>
      <c r="N188" s="48"/>
      <c r="O188" s="48"/>
      <c r="P188" s="48"/>
      <c r="Q188" s="48"/>
      <c r="R188" s="48"/>
      <c r="S188" s="165"/>
      <c r="T188" s="48"/>
      <c r="U188" s="48"/>
      <c r="V188" s="48"/>
      <c r="W188" s="48"/>
      <c r="X188" s="48"/>
      <c r="Y188" s="48"/>
      <c r="Z188" s="338"/>
      <c r="AA188" s="366"/>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row>
    <row r="189">
      <c r="A189" s="167">
        <v>1.0</v>
      </c>
      <c r="B189" s="378" t="s">
        <v>5123</v>
      </c>
      <c r="C189" s="55">
        <v>185.0</v>
      </c>
      <c r="D189" s="55">
        <v>3.0</v>
      </c>
      <c r="E189" s="344">
        <v>43586.0</v>
      </c>
      <c r="F189" s="171" t="str">
        <f>HYPERLINK("https://news.okezone.com/read/2019/01/12/18/2003420/penyanyi-rap-gay-ditembak-mati-di-puerto-rico ","sumber")</f>
        <v>sumber</v>
      </c>
      <c r="G189" s="55" t="s">
        <v>33</v>
      </c>
      <c r="H189" s="55">
        <v>2.0</v>
      </c>
      <c r="I189" s="55">
        <v>1.0</v>
      </c>
      <c r="J189" s="55">
        <v>3.0</v>
      </c>
      <c r="K189" s="172" t="s">
        <v>5124</v>
      </c>
      <c r="L189" s="55">
        <v>0.0</v>
      </c>
      <c r="M189" s="55">
        <v>0.0</v>
      </c>
      <c r="N189" s="173">
        <v>0.0</v>
      </c>
      <c r="O189" s="173">
        <v>0.0</v>
      </c>
      <c r="P189" s="55">
        <v>0.0</v>
      </c>
      <c r="Q189" s="55">
        <v>0.0</v>
      </c>
      <c r="R189" s="55">
        <v>1.0</v>
      </c>
      <c r="S189" s="174"/>
      <c r="T189" s="55">
        <v>0.0</v>
      </c>
      <c r="U189" s="55">
        <v>0.0</v>
      </c>
      <c r="V189" s="55">
        <v>1.0</v>
      </c>
      <c r="W189" s="46"/>
      <c r="X189" s="46"/>
      <c r="Y189" s="46"/>
      <c r="Z189" s="302"/>
      <c r="AA189" s="367"/>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row>
    <row r="190">
      <c r="A190" s="158">
        <v>1.0</v>
      </c>
      <c r="B190" s="390" t="s">
        <v>5125</v>
      </c>
      <c r="C190" s="44">
        <v>186.0</v>
      </c>
      <c r="D190" s="44">
        <v>10.0</v>
      </c>
      <c r="E190" s="268">
        <v>43617.0</v>
      </c>
      <c r="F190" s="162" t="str">
        <f>HYPERLINK("https://metro.tempo.co/read/1162140/khawatirkan-lgbt-wali-kota-depok-keluarkan-surat-edaran ","sumber")</f>
        <v>sumber</v>
      </c>
      <c r="G190" s="44" t="s">
        <v>33</v>
      </c>
      <c r="H190" s="44">
        <v>283.0</v>
      </c>
      <c r="I190" s="44">
        <v>4.0</v>
      </c>
      <c r="J190" s="44">
        <v>3.0</v>
      </c>
      <c r="K190" s="164" t="s">
        <v>5126</v>
      </c>
      <c r="L190" s="44">
        <v>0.0</v>
      </c>
      <c r="M190" s="44">
        <v>0.0</v>
      </c>
      <c r="N190" s="166">
        <v>0.0</v>
      </c>
      <c r="O190" s="166">
        <v>0.0</v>
      </c>
      <c r="P190" s="44">
        <v>0.0</v>
      </c>
      <c r="Q190" s="44">
        <v>0.0</v>
      </c>
      <c r="R190" s="44">
        <v>-1.0</v>
      </c>
      <c r="S190" s="175"/>
      <c r="T190" s="44">
        <v>0.0</v>
      </c>
      <c r="U190" s="44">
        <v>0.0</v>
      </c>
      <c r="V190" s="44">
        <v>1.0</v>
      </c>
      <c r="W190" s="45"/>
      <c r="X190" s="45"/>
      <c r="Y190" s="45"/>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row>
    <row r="191">
      <c r="A191" s="167">
        <v>1.0</v>
      </c>
      <c r="B191" s="378" t="s">
        <v>5127</v>
      </c>
      <c r="C191" s="55">
        <v>187.0</v>
      </c>
      <c r="D191" s="55">
        <v>3.0</v>
      </c>
      <c r="E191" s="344">
        <v>43678.0</v>
      </c>
      <c r="F191" s="171" t="str">
        <f>HYPERLINK("https://news.okezone.com/read/2019/01/15/340/2004904/warga-geruduk-rumah-yang-dijadikan-tempat-kumpul-lgbt ","sumber")</f>
        <v>sumber</v>
      </c>
      <c r="G191" s="55" t="s">
        <v>33</v>
      </c>
      <c r="H191" s="55">
        <v>1.0</v>
      </c>
      <c r="I191" s="55">
        <v>1.0</v>
      </c>
      <c r="J191" s="55">
        <v>3.0</v>
      </c>
      <c r="K191" s="172" t="s">
        <v>5128</v>
      </c>
      <c r="L191" s="55">
        <v>0.0</v>
      </c>
      <c r="M191" s="55">
        <v>0.0</v>
      </c>
      <c r="N191" s="173">
        <v>0.0</v>
      </c>
      <c r="O191" s="173">
        <v>0.0</v>
      </c>
      <c r="P191" s="55">
        <v>0.0</v>
      </c>
      <c r="Q191" s="55" t="s">
        <v>85</v>
      </c>
      <c r="R191" s="55" t="s">
        <v>173</v>
      </c>
      <c r="S191" s="174"/>
      <c r="T191" s="55">
        <v>0.0</v>
      </c>
      <c r="U191" s="55">
        <v>0.0</v>
      </c>
      <c r="V191" s="55">
        <v>1.0</v>
      </c>
      <c r="W191" s="46"/>
      <c r="X191" s="46"/>
      <c r="Y191" s="46"/>
      <c r="Z191" s="302"/>
      <c r="AA191" s="367"/>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row>
    <row r="192">
      <c r="A192" s="167">
        <v>1.0</v>
      </c>
      <c r="B192" s="378" t="s">
        <v>5129</v>
      </c>
      <c r="C192" s="55">
        <v>188.0</v>
      </c>
      <c r="D192" s="55">
        <v>8.0</v>
      </c>
      <c r="E192" s="344">
        <v>43770.0</v>
      </c>
      <c r="F192" s="171" t="str">
        <f>HYPERLINK("https://www.suara.com/lifestyle/2019/01/18/190000/9-model-dunia-yang-mendobrak-standar-kecantikan ","sumber")</f>
        <v>sumber</v>
      </c>
      <c r="G192" s="55" t="s">
        <v>33</v>
      </c>
      <c r="H192" s="55">
        <v>2.0</v>
      </c>
      <c r="I192" s="55">
        <v>2.0</v>
      </c>
      <c r="J192" s="55">
        <v>2.0</v>
      </c>
      <c r="K192" s="172"/>
      <c r="L192" s="55">
        <v>0.0</v>
      </c>
      <c r="M192" s="55">
        <v>0.0</v>
      </c>
      <c r="N192" s="173">
        <v>0.0</v>
      </c>
      <c r="O192" s="173">
        <v>0.0</v>
      </c>
      <c r="P192" s="55">
        <v>0.0</v>
      </c>
      <c r="Q192" s="55"/>
      <c r="R192" s="55"/>
      <c r="S192" s="174"/>
      <c r="T192" s="55">
        <v>0.0</v>
      </c>
      <c r="U192" s="55">
        <v>0.0</v>
      </c>
      <c r="V192" s="55">
        <v>1.0</v>
      </c>
      <c r="W192" s="46"/>
      <c r="X192" s="46"/>
      <c r="Y192" s="46"/>
      <c r="Z192" s="302"/>
      <c r="AA192" s="367"/>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row>
    <row r="193">
      <c r="A193" s="167">
        <v>1.0</v>
      </c>
      <c r="B193" s="378" t="s">
        <v>5130</v>
      </c>
      <c r="C193" s="55">
        <v>189.0</v>
      </c>
      <c r="D193" s="55">
        <v>10.0</v>
      </c>
      <c r="E193" s="344">
        <v>43770.0</v>
      </c>
      <c r="F193" s="171" t="str">
        <f>HYPERLINK("https://dunia.tempo.co/read/1168530/wali-kota-gay-dari-demokrat-maju-untuk-pilpres-as-2020 ","sumber")</f>
        <v>sumber</v>
      </c>
      <c r="G193" s="55" t="s">
        <v>33</v>
      </c>
      <c r="H193" s="55">
        <v>2.0</v>
      </c>
      <c r="I193" s="55">
        <v>2.0</v>
      </c>
      <c r="J193" s="55">
        <v>3.0</v>
      </c>
      <c r="K193" s="172" t="s">
        <v>5131</v>
      </c>
      <c r="L193" s="55">
        <v>0.0</v>
      </c>
      <c r="M193" s="55">
        <v>0.0</v>
      </c>
      <c r="N193" s="173">
        <v>0.0</v>
      </c>
      <c r="O193" s="173">
        <v>0.0</v>
      </c>
      <c r="P193" s="55">
        <v>0.0</v>
      </c>
      <c r="Q193" s="55">
        <v>2.0</v>
      </c>
      <c r="R193" s="55">
        <v>1.0</v>
      </c>
      <c r="S193" s="174"/>
      <c r="T193" s="55">
        <v>0.0</v>
      </c>
      <c r="U193" s="55">
        <v>0.0</v>
      </c>
      <c r="V193" s="55">
        <v>1.0</v>
      </c>
      <c r="W193" s="46"/>
      <c r="X193" s="46"/>
      <c r="Y193" s="46"/>
      <c r="Z193" s="302"/>
      <c r="AA193" s="367"/>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row>
    <row r="194">
      <c r="A194" s="167">
        <v>1.0</v>
      </c>
      <c r="B194" s="378" t="s">
        <v>5132</v>
      </c>
      <c r="C194" s="55">
        <v>190.0</v>
      </c>
      <c r="D194" s="55">
        <v>8.0</v>
      </c>
      <c r="E194" s="55" t="s">
        <v>449</v>
      </c>
      <c r="F194" s="171" t="str">
        <f>HYPERLINK("https://www.suara.com/news/2019/01/20/174310/publik-indonesia-paham-ham-tapi-tak-setuju-karena-terkesan-membela-lgbt ","sumber")</f>
        <v>sumber</v>
      </c>
      <c r="G194" s="55" t="s">
        <v>33</v>
      </c>
      <c r="H194" s="55">
        <v>2.0</v>
      </c>
      <c r="I194" s="55">
        <v>2.0</v>
      </c>
      <c r="J194" s="55">
        <v>3.0</v>
      </c>
      <c r="K194" s="172" t="s">
        <v>5133</v>
      </c>
      <c r="L194" s="55">
        <v>0.0</v>
      </c>
      <c r="M194" s="55">
        <v>0.0</v>
      </c>
      <c r="N194" s="173">
        <v>0.0</v>
      </c>
      <c r="O194" s="173">
        <v>0.0</v>
      </c>
      <c r="P194" s="55">
        <v>0.0</v>
      </c>
      <c r="Q194" s="55">
        <v>0.0</v>
      </c>
      <c r="R194" s="55">
        <v>1.0</v>
      </c>
      <c r="S194" s="174"/>
      <c r="T194" s="55">
        <v>0.0</v>
      </c>
      <c r="U194" s="55">
        <v>0.0</v>
      </c>
      <c r="V194" s="55">
        <v>1.0</v>
      </c>
      <c r="W194" s="46"/>
      <c r="X194" s="46"/>
      <c r="Y194" s="46"/>
      <c r="Z194" s="302"/>
      <c r="AA194" s="367"/>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row>
    <row r="195">
      <c r="A195" s="158">
        <v>1.0</v>
      </c>
      <c r="B195" s="390" t="s">
        <v>5134</v>
      </c>
      <c r="C195" s="44">
        <v>191.0</v>
      </c>
      <c r="D195" s="44">
        <v>5.0</v>
      </c>
      <c r="E195" s="44" t="s">
        <v>689</v>
      </c>
      <c r="F195" s="162" t="str">
        <f>HYPERLINK("https://tirto.id/djalan-sampoerna-sejarah-hidup-seorang-lgbt-di-zaman-kolonial-debP ","sumber")</f>
        <v>sumber</v>
      </c>
      <c r="G195" s="44" t="s">
        <v>33</v>
      </c>
      <c r="H195" s="44">
        <v>1575.0</v>
      </c>
      <c r="I195" s="44">
        <v>2.0</v>
      </c>
      <c r="J195" s="44">
        <v>3.0</v>
      </c>
      <c r="K195" s="164" t="s">
        <v>5135</v>
      </c>
      <c r="L195" s="44">
        <v>0.0</v>
      </c>
      <c r="M195" s="44">
        <v>0.0</v>
      </c>
      <c r="N195" s="166">
        <v>0.0</v>
      </c>
      <c r="O195" s="166">
        <v>0.0</v>
      </c>
      <c r="P195" s="44">
        <v>0.0</v>
      </c>
      <c r="Q195" s="44" t="s">
        <v>53</v>
      </c>
      <c r="R195" s="44" t="s">
        <v>392</v>
      </c>
      <c r="S195" s="175"/>
      <c r="T195" s="44">
        <v>0.0</v>
      </c>
      <c r="U195" s="44">
        <v>0.0</v>
      </c>
      <c r="V195" s="44">
        <v>1.0</v>
      </c>
      <c r="W195" s="45"/>
      <c r="X195" s="45"/>
      <c r="Y195" s="45"/>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row>
    <row r="196">
      <c r="A196" s="158">
        <v>1.0</v>
      </c>
      <c r="B196" s="390" t="s">
        <v>5136</v>
      </c>
      <c r="C196" s="44">
        <v>192.0</v>
      </c>
      <c r="D196" s="44">
        <v>1.0</v>
      </c>
      <c r="E196" s="44" t="s">
        <v>5137</v>
      </c>
      <c r="F196" s="162" t="str">
        <f>HYPERLINK("https://news.detik.com/bbc-world/d-4392363/duh-jurnalis-muslim-perempuan-as-ditulis-jadi-aktris-pakistan-oleh-vogue ","sumber")</f>
        <v>sumber</v>
      </c>
      <c r="G196" s="44" t="s">
        <v>33</v>
      </c>
      <c r="H196" s="44">
        <v>475.0</v>
      </c>
      <c r="I196" s="44">
        <v>1.0</v>
      </c>
      <c r="J196" s="44">
        <v>3.0</v>
      </c>
      <c r="K196" s="164" t="s">
        <v>5138</v>
      </c>
      <c r="L196" s="44">
        <v>0.0</v>
      </c>
      <c r="M196" s="44">
        <v>0.0</v>
      </c>
      <c r="N196" s="166">
        <v>0.0</v>
      </c>
      <c r="O196" s="166">
        <v>0.0</v>
      </c>
      <c r="P196" s="44">
        <v>0.0</v>
      </c>
      <c r="Q196" s="44" t="s">
        <v>210</v>
      </c>
      <c r="R196" s="44" t="s">
        <v>192</v>
      </c>
      <c r="S196" s="164"/>
      <c r="T196" s="44">
        <v>0.0</v>
      </c>
      <c r="U196" s="44">
        <v>0.0</v>
      </c>
      <c r="V196" s="44">
        <v>0.0</v>
      </c>
      <c r="W196" s="45"/>
      <c r="X196" s="45"/>
      <c r="Y196" s="45"/>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row>
    <row r="197">
      <c r="A197" s="158">
        <v>1.0</v>
      </c>
      <c r="B197" s="390" t="s">
        <v>5139</v>
      </c>
      <c r="C197" s="44">
        <v>193.0</v>
      </c>
      <c r="D197" s="44">
        <v>2.0</v>
      </c>
      <c r="E197" s="44" t="s">
        <v>346</v>
      </c>
      <c r="F197" s="162" t="str">
        <f>HYPERLINK("https://www.cnnindonesia.com/gaya-hidup/20190125075621-277-363679/anna-wintour-kritik-sikap-diskriminatif-lgbt-margaret-court ","sumber")</f>
        <v>sumber</v>
      </c>
      <c r="G197" s="44" t="s">
        <v>33</v>
      </c>
      <c r="H197" s="44">
        <v>281.0</v>
      </c>
      <c r="I197" s="44">
        <v>1.0</v>
      </c>
      <c r="J197" s="44">
        <v>3.0</v>
      </c>
      <c r="K197" s="164" t="s">
        <v>5140</v>
      </c>
      <c r="L197" s="44">
        <v>0.0</v>
      </c>
      <c r="M197" s="44">
        <v>0.0</v>
      </c>
      <c r="N197" s="166">
        <v>0.0</v>
      </c>
      <c r="O197" s="166">
        <v>0.0</v>
      </c>
      <c r="P197" s="44">
        <v>0.0</v>
      </c>
      <c r="Q197" s="44">
        <v>0.0</v>
      </c>
      <c r="R197" s="44">
        <v>1.0</v>
      </c>
      <c r="S197" s="175"/>
      <c r="T197" s="44">
        <v>0.0</v>
      </c>
      <c r="U197" s="44">
        <v>0.0</v>
      </c>
      <c r="V197" s="44">
        <v>1.0</v>
      </c>
      <c r="W197" s="45"/>
      <c r="X197" s="45"/>
      <c r="Y197" s="45"/>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row>
    <row r="198">
      <c r="A198" s="152">
        <v>2.0</v>
      </c>
      <c r="B198" s="389" t="s">
        <v>5141</v>
      </c>
      <c r="C198" s="47">
        <v>194.0</v>
      </c>
      <c r="D198" s="47"/>
      <c r="E198" s="47" t="s">
        <v>87</v>
      </c>
      <c r="F198" s="156" t="str">
        <f>HYPERLINK("https://tirto.id/redneck-revolt-gerakan-kiri-kaum-kulit-putih-as-plus-senjata-api-dfaq","sumber")</f>
        <v>sumber</v>
      </c>
      <c r="G198" s="47" t="s">
        <v>33</v>
      </c>
      <c r="H198" s="48"/>
      <c r="I198" s="48"/>
      <c r="J198" s="48"/>
      <c r="K198" s="165"/>
      <c r="L198" s="48"/>
      <c r="M198" s="48"/>
      <c r="N198" s="48"/>
      <c r="O198" s="48"/>
      <c r="P198" s="48"/>
      <c r="Q198" s="48"/>
      <c r="R198" s="48"/>
      <c r="S198" s="165"/>
      <c r="T198" s="48"/>
      <c r="U198" s="48"/>
      <c r="V198" s="48"/>
      <c r="W198" s="48"/>
      <c r="X198" s="48"/>
      <c r="Y198" s="48"/>
      <c r="Z198" s="338"/>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row>
    <row r="199">
      <c r="A199" s="167">
        <v>1.0</v>
      </c>
      <c r="B199" s="378" t="s">
        <v>5142</v>
      </c>
      <c r="C199" s="55">
        <v>195.0</v>
      </c>
      <c r="D199" s="55">
        <v>1.0</v>
      </c>
      <c r="E199" s="55" t="s">
        <v>5143</v>
      </c>
      <c r="F199" s="171" t="str">
        <f>HYPERLINK("https://news.detik.com/internasional/d-4393926/wawancara-pria-gay-pembawa-acara-tv-mesir-dibui-1-tahun ","sumber")</f>
        <v>sumber</v>
      </c>
      <c r="G199" s="55" t="s">
        <v>33</v>
      </c>
      <c r="H199" s="55">
        <v>1.0</v>
      </c>
      <c r="I199" s="55">
        <v>2.0</v>
      </c>
      <c r="J199" s="55">
        <v>3.0</v>
      </c>
      <c r="K199" s="172"/>
      <c r="L199" s="55">
        <v>0.0</v>
      </c>
      <c r="M199" s="55">
        <v>0.0</v>
      </c>
      <c r="N199" s="173">
        <v>0.0</v>
      </c>
      <c r="O199" s="173">
        <v>0.0</v>
      </c>
      <c r="P199" s="55">
        <v>0.0</v>
      </c>
      <c r="Q199" s="55"/>
      <c r="R199" s="55"/>
      <c r="S199" s="174"/>
      <c r="T199" s="55">
        <v>0.0</v>
      </c>
      <c r="U199" s="55">
        <v>0.0</v>
      </c>
      <c r="V199" s="55">
        <v>1.0</v>
      </c>
      <c r="W199" s="46"/>
      <c r="X199" s="46"/>
      <c r="Y199" s="46"/>
      <c r="Z199" s="302"/>
      <c r="AA199" s="367"/>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row>
    <row r="200">
      <c r="A200" s="158">
        <v>1.0</v>
      </c>
      <c r="B200" s="390" t="s">
        <v>5144</v>
      </c>
      <c r="C200" s="44">
        <v>196.0</v>
      </c>
      <c r="D200" s="44">
        <v>1.0</v>
      </c>
      <c r="E200" s="44" t="s">
        <v>5143</v>
      </c>
      <c r="F200" s="162" t="str">
        <f>HYPERLINK("https://bola.okezone.com/read/2019/01/28/51/2010305/5-pemain-yang-ternyata-penyuka-sesama-jenis-nomor-2-menikah-pada-2013 ","sumber")</f>
        <v>sumber</v>
      </c>
      <c r="G200" s="44" t="s">
        <v>33</v>
      </c>
      <c r="H200" s="44">
        <v>798.0</v>
      </c>
      <c r="I200" s="44">
        <v>2.0</v>
      </c>
      <c r="J200" s="44">
        <v>3.0</v>
      </c>
      <c r="K200" s="164" t="s">
        <v>5145</v>
      </c>
      <c r="L200" s="44">
        <v>0.0</v>
      </c>
      <c r="M200" s="44">
        <v>0.0</v>
      </c>
      <c r="N200" s="166">
        <v>0.0</v>
      </c>
      <c r="O200" s="166">
        <v>0.0</v>
      </c>
      <c r="P200" s="44">
        <v>0.0</v>
      </c>
      <c r="Q200" s="44" t="s">
        <v>5146</v>
      </c>
      <c r="R200" s="44" t="s">
        <v>700</v>
      </c>
      <c r="S200" s="175"/>
      <c r="T200" s="44">
        <v>0.0</v>
      </c>
      <c r="U200" s="44">
        <v>0.0</v>
      </c>
      <c r="V200" s="44">
        <v>0.0</v>
      </c>
      <c r="W200" s="45"/>
      <c r="X200" s="45"/>
      <c r="Y200" s="45"/>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row>
    <row r="201">
      <c r="A201" s="158">
        <v>1.0</v>
      </c>
      <c r="B201" s="390" t="s">
        <v>5147</v>
      </c>
      <c r="C201" s="44">
        <v>197.0</v>
      </c>
      <c r="D201" s="44">
        <v>1.0</v>
      </c>
      <c r="E201" s="44" t="s">
        <v>4980</v>
      </c>
      <c r="F201" s="162" t="str">
        <f>HYPERLINK("https://news.detik.com/berita/d-4405694/komnas-perempuan-ruu-hapus-kekerasan-seksual-bukan-untuk-legalkan-zina ","sumber")</f>
        <v>sumber</v>
      </c>
      <c r="G201" s="44" t="s">
        <v>33</v>
      </c>
      <c r="H201" s="44">
        <v>370.0</v>
      </c>
      <c r="I201" s="44">
        <v>4.0</v>
      </c>
      <c r="J201" s="44">
        <v>1.0</v>
      </c>
      <c r="K201" s="164" t="s">
        <v>5148</v>
      </c>
      <c r="L201" s="44">
        <v>0.0</v>
      </c>
      <c r="M201" s="44">
        <v>0.0</v>
      </c>
      <c r="N201" s="166">
        <v>0.0</v>
      </c>
      <c r="O201" s="166">
        <v>0.0</v>
      </c>
      <c r="P201" s="44">
        <v>0.0</v>
      </c>
      <c r="Q201" s="44">
        <v>1.0</v>
      </c>
      <c r="R201" s="44">
        <v>1.0</v>
      </c>
      <c r="S201" s="175"/>
      <c r="T201" s="44">
        <v>0.0</v>
      </c>
      <c r="U201" s="44">
        <v>0.0</v>
      </c>
      <c r="V201" s="44">
        <v>0.0</v>
      </c>
      <c r="W201" s="45"/>
      <c r="X201" s="45"/>
      <c r="Y201" s="45"/>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row>
    <row r="202">
      <c r="A202" s="152">
        <v>2.0</v>
      </c>
      <c r="B202" s="389" t="s">
        <v>5149</v>
      </c>
      <c r="C202" s="47">
        <v>198.0</v>
      </c>
      <c r="D202" s="48"/>
      <c r="E202" s="47" t="s">
        <v>98</v>
      </c>
      <c r="F202" s="156" t="str">
        <f>HYPERLINK("https://www.suara.com/news/2019/01/31/112741/psi-senang-ada-spanduk-psi-dukung-hak-hak-lgbt-kenapa ","sumber")</f>
        <v>sumber</v>
      </c>
      <c r="G202" s="47" t="s">
        <v>33</v>
      </c>
      <c r="H202" s="48"/>
      <c r="I202" s="48"/>
      <c r="J202" s="48"/>
      <c r="K202" s="165"/>
      <c r="L202" s="48"/>
      <c r="M202" s="47"/>
      <c r="N202" s="48"/>
      <c r="O202" s="48"/>
      <c r="P202" s="48"/>
      <c r="Q202" s="48"/>
      <c r="R202" s="48"/>
      <c r="S202" s="165"/>
      <c r="T202" s="48"/>
      <c r="U202" s="48"/>
      <c r="V202" s="48"/>
      <c r="W202" s="48"/>
      <c r="X202" s="48"/>
      <c r="Y202" s="48"/>
      <c r="Z202" s="338"/>
      <c r="AA202" s="366"/>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row>
    <row r="203">
      <c r="A203" s="167">
        <v>1.0</v>
      </c>
      <c r="B203" s="378" t="s">
        <v>5150</v>
      </c>
      <c r="C203" s="55">
        <v>199.0</v>
      </c>
      <c r="D203" s="55">
        <v>7.0</v>
      </c>
      <c r="E203" s="55" t="s">
        <v>98</v>
      </c>
      <c r="F203" s="171" t="str">
        <f>HYPERLINK("http://www.tribunnews.com/regional/2019/01/24/ternyata-pencabul-34-anak-di-bandung-pernah-jadi-korban-kejahatan-seksual-saat-smp ","sumber")</f>
        <v>sumber</v>
      </c>
      <c r="G203" s="55" t="s">
        <v>33</v>
      </c>
      <c r="H203" s="55">
        <v>2.0</v>
      </c>
      <c r="I203" s="55">
        <v>2.0</v>
      </c>
      <c r="J203" s="55">
        <v>1.0</v>
      </c>
      <c r="K203" s="172" t="s">
        <v>5151</v>
      </c>
      <c r="L203" s="55">
        <v>0.0</v>
      </c>
      <c r="M203" s="55">
        <v>0.0</v>
      </c>
      <c r="N203" s="173">
        <v>0.0</v>
      </c>
      <c r="O203" s="55">
        <v>1.0</v>
      </c>
      <c r="P203" s="55">
        <v>-1.0</v>
      </c>
      <c r="Q203" s="55">
        <v>0.0</v>
      </c>
      <c r="R203" s="55">
        <v>0.0</v>
      </c>
      <c r="S203" s="174"/>
      <c r="T203" s="55">
        <v>0.0</v>
      </c>
      <c r="U203" s="55">
        <v>0.0</v>
      </c>
      <c r="V203" s="55">
        <v>0.0</v>
      </c>
      <c r="W203" s="46"/>
      <c r="X203" s="46"/>
      <c r="Y203" s="46"/>
      <c r="Z203" s="302"/>
      <c r="AA203" s="367"/>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row>
    <row r="204">
      <c r="A204" s="158">
        <v>1.0</v>
      </c>
      <c r="B204" s="390" t="s">
        <v>5152</v>
      </c>
      <c r="C204" s="44">
        <v>200.0</v>
      </c>
      <c r="D204" s="44">
        <v>2.0</v>
      </c>
      <c r="E204" s="268">
        <v>43467.0</v>
      </c>
      <c r="F204" s="162" t="str">
        <f>HYPERLINK("https://www.cnnindonesia.com/nasional/20190131173645-32-365482/politikus-psi-lgbt-itu-privat-bukan-posisi-kita-menghakimi ","sumber")</f>
        <v>sumber</v>
      </c>
      <c r="G204" s="44" t="s">
        <v>33</v>
      </c>
      <c r="H204" s="44" t="s">
        <v>5153</v>
      </c>
      <c r="I204" s="44">
        <v>1.0</v>
      </c>
      <c r="J204" s="44">
        <v>3.0</v>
      </c>
      <c r="K204" s="164" t="s">
        <v>5154</v>
      </c>
      <c r="L204" s="44">
        <v>0.0</v>
      </c>
      <c r="M204" s="44">
        <v>0.0</v>
      </c>
      <c r="N204" s="166">
        <v>0.0</v>
      </c>
      <c r="O204" s="166">
        <v>0.0</v>
      </c>
      <c r="P204" s="44">
        <v>0.0</v>
      </c>
      <c r="Q204" s="44">
        <v>0.0</v>
      </c>
      <c r="R204" s="44">
        <v>1.0</v>
      </c>
      <c r="S204" s="175"/>
      <c r="T204" s="44">
        <v>0.0</v>
      </c>
      <c r="U204" s="44">
        <v>0.0</v>
      </c>
      <c r="V204" s="44">
        <v>1.0</v>
      </c>
      <c r="W204" s="45"/>
      <c r="X204" s="45"/>
      <c r="Y204" s="45"/>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row>
    <row r="205">
      <c r="A205" s="152">
        <v>2.0</v>
      </c>
      <c r="B205" s="389" t="s">
        <v>5155</v>
      </c>
      <c r="C205" s="47">
        <v>201.0</v>
      </c>
      <c r="D205" s="47">
        <v>7.0</v>
      </c>
      <c r="E205" s="280">
        <v>43498.0</v>
      </c>
      <c r="F205" s="156" t="str">
        <f>HYPERLINK("http://www.tribunnews.com/regional/2019/01/24/ternyata-pencabul-34-anak-di-bandung-pernah-jadi-korban-kejahatan-seksual-saat-smp ","sumber")</f>
        <v>sumber</v>
      </c>
      <c r="G205" s="47" t="s">
        <v>33</v>
      </c>
      <c r="H205" s="47">
        <v>2.0</v>
      </c>
      <c r="I205" s="47">
        <v>2.0</v>
      </c>
      <c r="J205" s="47">
        <v>1.0</v>
      </c>
      <c r="K205" s="157"/>
      <c r="L205" s="47"/>
      <c r="M205" s="47"/>
      <c r="N205" s="192"/>
      <c r="O205" s="47"/>
      <c r="P205" s="47"/>
      <c r="Q205" s="47"/>
      <c r="R205" s="47"/>
      <c r="S205" s="165"/>
      <c r="T205" s="47"/>
      <c r="U205" s="47"/>
      <c r="V205" s="47"/>
      <c r="W205" s="48"/>
      <c r="X205" s="48"/>
      <c r="Y205" s="48"/>
      <c r="Z205" s="338"/>
      <c r="AA205" s="366"/>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row>
    <row r="206">
      <c r="A206" s="152">
        <v>2.0</v>
      </c>
      <c r="B206" s="389" t="s">
        <v>5156</v>
      </c>
      <c r="C206" s="47">
        <v>202.0</v>
      </c>
      <c r="D206" s="48"/>
      <c r="E206" s="280">
        <v>43618.0</v>
      </c>
      <c r="F206" s="156" t="str">
        <f>HYPERLINK("https://nasional.kompas.com/read/2019/02/06/12540881/kominfo-temukan-175-hoaks-sepanjang-januari-2019 ","sumber")</f>
        <v>sumber</v>
      </c>
      <c r="G206" s="47" t="s">
        <v>33</v>
      </c>
      <c r="H206" s="48"/>
      <c r="I206" s="48"/>
      <c r="J206" s="48"/>
      <c r="K206" s="165"/>
      <c r="L206" s="48"/>
      <c r="M206" s="48"/>
      <c r="N206" s="48"/>
      <c r="O206" s="48"/>
      <c r="P206" s="48"/>
      <c r="Q206" s="48"/>
      <c r="R206" s="48"/>
      <c r="S206" s="165"/>
      <c r="T206" s="48"/>
      <c r="U206" s="48"/>
      <c r="V206" s="48"/>
      <c r="W206" s="48"/>
      <c r="X206" s="48"/>
      <c r="Y206" s="48"/>
      <c r="Z206" s="338"/>
      <c r="AA206" s="366"/>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row>
    <row r="207">
      <c r="A207" s="167">
        <v>1.0</v>
      </c>
      <c r="B207" s="378" t="s">
        <v>5157</v>
      </c>
      <c r="C207" s="55">
        <v>203.0</v>
      </c>
      <c r="D207" s="55">
        <v>2.0</v>
      </c>
      <c r="E207" s="344">
        <v>43648.0</v>
      </c>
      <c r="F207" s="171" t="str">
        <f>HYPERLINK("https://www.cnnindonesia.com/hiburan/20190228125556-220-373424/konten-homoseksual-bohemian-rhapsody-dipotong-di-china ","sumber")</f>
        <v>sumber</v>
      </c>
      <c r="G207" s="55" t="s">
        <v>33</v>
      </c>
      <c r="H207" s="55">
        <v>1.0</v>
      </c>
      <c r="I207" s="55">
        <v>2.0</v>
      </c>
      <c r="J207" s="55">
        <v>3.0</v>
      </c>
      <c r="K207" s="172"/>
      <c r="L207" s="55">
        <v>0.0</v>
      </c>
      <c r="M207" s="55">
        <v>0.0</v>
      </c>
      <c r="N207" s="173">
        <v>0.0</v>
      </c>
      <c r="O207" s="173">
        <v>0.0</v>
      </c>
      <c r="P207" s="55">
        <v>0.0</v>
      </c>
      <c r="Q207" s="55"/>
      <c r="R207" s="55"/>
      <c r="S207" s="174"/>
      <c r="T207" s="55">
        <v>0.0</v>
      </c>
      <c r="U207" s="55">
        <v>0.0</v>
      </c>
      <c r="V207" s="55">
        <v>1.0</v>
      </c>
      <c r="W207" s="46"/>
      <c r="X207" s="46"/>
      <c r="Y207" s="46"/>
      <c r="Z207" s="302"/>
      <c r="AA207" s="367"/>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row>
    <row r="208">
      <c r="A208" s="167">
        <v>1.0</v>
      </c>
      <c r="B208" s="378" t="s">
        <v>5158</v>
      </c>
      <c r="C208" s="55">
        <v>204.0</v>
      </c>
      <c r="D208" s="55">
        <v>3.0</v>
      </c>
      <c r="E208" s="344">
        <v>43740.0</v>
      </c>
      <c r="F208" s="171" t="str">
        <f>HYPERLINK("https://news.okezone.com/read/2019/02/10/337/2015946/heboh-akun-ig-komik-gay-bertema-muslim-banjir-sumpah-serapah-netizen ","sumber")</f>
        <v>sumber</v>
      </c>
      <c r="G208" s="55" t="s">
        <v>33</v>
      </c>
      <c r="H208" s="55">
        <v>1.0</v>
      </c>
      <c r="I208" s="55">
        <v>2.0</v>
      </c>
      <c r="J208" s="55">
        <v>3.0</v>
      </c>
      <c r="K208" s="172" t="s">
        <v>5159</v>
      </c>
      <c r="L208" s="55">
        <v>0.0</v>
      </c>
      <c r="M208" s="55">
        <v>0.0</v>
      </c>
      <c r="N208" s="173">
        <v>0.0</v>
      </c>
      <c r="O208" s="173">
        <v>0.0</v>
      </c>
      <c r="P208" s="55">
        <v>0.0</v>
      </c>
      <c r="Q208" s="55" t="s">
        <v>53</v>
      </c>
      <c r="R208" s="55" t="s">
        <v>718</v>
      </c>
      <c r="S208" s="174"/>
      <c r="T208" s="55">
        <v>0.0</v>
      </c>
      <c r="U208" s="55">
        <v>0.0</v>
      </c>
      <c r="V208" s="55">
        <v>1.0</v>
      </c>
      <c r="W208" s="46"/>
      <c r="X208" s="46"/>
      <c r="Y208" s="46"/>
      <c r="Z208" s="302"/>
      <c r="AA208" s="367"/>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row>
    <row r="209">
      <c r="A209" s="158">
        <v>1.0</v>
      </c>
      <c r="B209" s="390" t="s">
        <v>5160</v>
      </c>
      <c r="C209" s="44">
        <v>205.0</v>
      </c>
      <c r="D209" s="44">
        <v>8.0</v>
      </c>
      <c r="E209" s="268">
        <v>43771.0</v>
      </c>
      <c r="F209" s="162" t="str">
        <f>HYPERLINK("https://www.suara.com/news/2019/02/11/133002/menteri-agama-enggan-komentari-munculnya-komik-muslim-gay-di-instagram ","sumber")</f>
        <v>sumber</v>
      </c>
      <c r="G209" s="44" t="s">
        <v>33</v>
      </c>
      <c r="H209" s="44">
        <v>208.0</v>
      </c>
      <c r="I209" s="44">
        <v>1.0</v>
      </c>
      <c r="J209" s="44">
        <v>3.0</v>
      </c>
      <c r="K209" s="164" t="s">
        <v>5161</v>
      </c>
      <c r="L209" s="44">
        <v>0.0</v>
      </c>
      <c r="M209" s="44">
        <v>0.0</v>
      </c>
      <c r="N209" s="166">
        <v>0.0</v>
      </c>
      <c r="O209" s="166">
        <v>0.0</v>
      </c>
      <c r="P209" s="44">
        <v>0.0</v>
      </c>
      <c r="Q209" s="44">
        <v>0.0</v>
      </c>
      <c r="R209" s="44">
        <v>0.0</v>
      </c>
      <c r="S209" s="175"/>
      <c r="T209" s="44">
        <v>0.0</v>
      </c>
      <c r="U209" s="44">
        <v>0.0</v>
      </c>
      <c r="V209" s="44">
        <v>1.0</v>
      </c>
      <c r="W209" s="45"/>
      <c r="X209" s="45"/>
      <c r="Y209" s="45"/>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row>
    <row r="210">
      <c r="A210" s="167">
        <v>1.0</v>
      </c>
      <c r="B210" s="378" t="s">
        <v>5162</v>
      </c>
      <c r="C210" s="55">
        <v>206.0</v>
      </c>
      <c r="D210" s="55">
        <v>2.0</v>
      </c>
      <c r="E210" s="344">
        <v>43801.0</v>
      </c>
      <c r="F210" s="171" t="str">
        <f>HYPERLINK("https://www.cnnindonesia.com/hiburan/20190226105921-234-372642/menang-oscar-rami-malek-disebut-firaun ","sumber")</f>
        <v>sumber</v>
      </c>
      <c r="G210" s="55" t="s">
        <v>33</v>
      </c>
      <c r="H210" s="55">
        <v>1.0</v>
      </c>
      <c r="I210" s="55">
        <v>3.0</v>
      </c>
      <c r="J210" s="55">
        <v>3.0</v>
      </c>
      <c r="K210" s="172" t="s">
        <v>5163</v>
      </c>
      <c r="L210" s="55">
        <v>0.0</v>
      </c>
      <c r="M210" s="55">
        <v>0.0</v>
      </c>
      <c r="N210" s="173">
        <v>0.0</v>
      </c>
      <c r="O210" s="173">
        <v>0.0</v>
      </c>
      <c r="P210" s="55">
        <v>0.0</v>
      </c>
      <c r="Q210" s="55" t="s">
        <v>61</v>
      </c>
      <c r="R210" s="55" t="s">
        <v>192</v>
      </c>
      <c r="S210" s="174"/>
      <c r="T210" s="55">
        <v>0.0</v>
      </c>
      <c r="U210" s="55">
        <v>0.0</v>
      </c>
      <c r="V210" s="55">
        <v>1.0</v>
      </c>
      <c r="W210" s="46"/>
      <c r="X210" s="46"/>
      <c r="Y210" s="46"/>
      <c r="Z210" s="302"/>
      <c r="AA210" s="367"/>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row>
    <row r="211">
      <c r="A211" s="158">
        <v>1.0</v>
      </c>
      <c r="B211" s="390" t="s">
        <v>5164</v>
      </c>
      <c r="C211" s="44">
        <v>207.0</v>
      </c>
      <c r="D211" s="44">
        <v>3.0</v>
      </c>
      <c r="E211" s="44" t="s">
        <v>108</v>
      </c>
      <c r="F211" s="162" t="str">
        <f>HYPERLINK("https://techno.okezone.com/read/2019/02/13/207/2017294/bermuatan-lgbt-instagram-resmi-blokir-akun-alpantuni ","sumber")</f>
        <v>sumber</v>
      </c>
      <c r="G211" s="44" t="s">
        <v>33</v>
      </c>
      <c r="H211" s="44">
        <v>222.0</v>
      </c>
      <c r="I211" s="44">
        <v>4.0</v>
      </c>
      <c r="J211" s="44">
        <v>3.0</v>
      </c>
      <c r="K211" s="164" t="s">
        <v>5165</v>
      </c>
      <c r="L211" s="44">
        <v>0.0</v>
      </c>
      <c r="M211" s="44">
        <v>0.0</v>
      </c>
      <c r="N211" s="166">
        <v>0.0</v>
      </c>
      <c r="O211" s="166">
        <v>0.0</v>
      </c>
      <c r="P211" s="44">
        <v>0.0</v>
      </c>
      <c r="Q211" s="44">
        <v>0.0</v>
      </c>
      <c r="R211" s="44">
        <v>0.0</v>
      </c>
      <c r="S211" s="175"/>
      <c r="T211" s="44">
        <v>0.0</v>
      </c>
      <c r="U211" s="44">
        <v>0.0</v>
      </c>
      <c r="V211" s="44">
        <v>1.0</v>
      </c>
      <c r="W211" s="45"/>
      <c r="X211" s="45"/>
      <c r="Y211" s="45"/>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row>
    <row r="212">
      <c r="A212" s="167">
        <v>1.0</v>
      </c>
      <c r="B212" s="378" t="s">
        <v>5166</v>
      </c>
      <c r="C212" s="55">
        <v>208.0</v>
      </c>
      <c r="D212" s="55">
        <v>8.0</v>
      </c>
      <c r="E212" s="55" t="s">
        <v>2002</v>
      </c>
      <c r="F212" s="171" t="str">
        <f>HYPERLINK("https://www.suara.com/entertainment/2019/02/01/192648/pamer-beli-sepatu-mahal-lucinta-luna-ditertawai-warganet ","sumber")</f>
        <v>sumber</v>
      </c>
      <c r="G212" s="55" t="s">
        <v>33</v>
      </c>
      <c r="H212" s="55">
        <v>1.0</v>
      </c>
      <c r="I212" s="55">
        <v>2.0</v>
      </c>
      <c r="J212" s="55">
        <v>3.0</v>
      </c>
      <c r="K212" s="172" t="s">
        <v>5167</v>
      </c>
      <c r="L212" s="55">
        <v>0.0</v>
      </c>
      <c r="M212" s="55">
        <v>0.0</v>
      </c>
      <c r="N212" s="173">
        <v>0.0</v>
      </c>
      <c r="O212" s="173">
        <v>0.0</v>
      </c>
      <c r="P212" s="55">
        <v>0.0</v>
      </c>
      <c r="Q212" s="55" t="s">
        <v>277</v>
      </c>
      <c r="R212" s="55" t="s">
        <v>1013</v>
      </c>
      <c r="S212" s="174"/>
      <c r="T212" s="55">
        <v>0.0</v>
      </c>
      <c r="U212" s="55">
        <v>0.0</v>
      </c>
      <c r="V212" s="55">
        <v>0.0</v>
      </c>
      <c r="W212" s="46"/>
      <c r="X212" s="46"/>
      <c r="Y212" s="46"/>
      <c r="Z212" s="302"/>
      <c r="AA212" s="367"/>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row>
    <row r="213">
      <c r="A213" s="167">
        <v>1.0</v>
      </c>
      <c r="B213" s="378" t="s">
        <v>5168</v>
      </c>
      <c r="C213" s="55">
        <v>209.0</v>
      </c>
      <c r="D213" s="55">
        <v>10.0</v>
      </c>
      <c r="E213" s="55" t="s">
        <v>469</v>
      </c>
      <c r="F213" s="171" t="str">
        <f>HYPERLINK("https://pemilu.tempo.co/read/1171710/santri-pondok-pesanten-waria-kotagede-berkomitmen-tidak-golput ","sumber")</f>
        <v>sumber</v>
      </c>
      <c r="G213" s="55" t="s">
        <v>33</v>
      </c>
      <c r="H213" s="55">
        <v>1.0</v>
      </c>
      <c r="I213" s="55">
        <v>2.0</v>
      </c>
      <c r="J213" s="55">
        <v>3.0</v>
      </c>
      <c r="K213" s="172" t="s">
        <v>5169</v>
      </c>
      <c r="L213" s="55">
        <v>0.0</v>
      </c>
      <c r="M213" s="55">
        <v>0.0</v>
      </c>
      <c r="N213" s="173">
        <v>0.0</v>
      </c>
      <c r="O213" s="173">
        <v>0.0</v>
      </c>
      <c r="P213" s="55">
        <v>0.0</v>
      </c>
      <c r="Q213" s="55">
        <v>1.0</v>
      </c>
      <c r="R213" s="55">
        <v>1.0</v>
      </c>
      <c r="S213" s="174"/>
      <c r="T213" s="55">
        <v>0.0</v>
      </c>
      <c r="U213" s="55">
        <v>0.0</v>
      </c>
      <c r="V213" s="55">
        <v>1.0</v>
      </c>
      <c r="W213" s="46"/>
      <c r="X213" s="46"/>
      <c r="Y213" s="46"/>
      <c r="Z213" s="302"/>
      <c r="AA213" s="367"/>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row>
    <row r="214">
      <c r="A214" s="167">
        <v>1.0</v>
      </c>
      <c r="B214" s="378" t="s">
        <v>5170</v>
      </c>
      <c r="C214" s="55">
        <v>210.0</v>
      </c>
      <c r="D214" s="55">
        <v>8.0</v>
      </c>
      <c r="E214" s="55" t="s">
        <v>357</v>
      </c>
      <c r="F214" s="171" t="str">
        <f>HYPERLINK("https://www.suara.com/news/2019/02/12/204019/heboh-komik-muslim-gay-polda-metro-jaya-bakal-selidiki ","sumber")</f>
        <v>sumber</v>
      </c>
      <c r="G214" s="55" t="s">
        <v>33</v>
      </c>
      <c r="H214" s="55">
        <v>1.0</v>
      </c>
      <c r="I214" s="55">
        <v>1.0</v>
      </c>
      <c r="J214" s="55">
        <v>3.0</v>
      </c>
      <c r="K214" s="172" t="s">
        <v>5171</v>
      </c>
      <c r="L214" s="55">
        <v>0.0</v>
      </c>
      <c r="M214" s="55">
        <v>0.0</v>
      </c>
      <c r="N214" s="173">
        <v>0.0</v>
      </c>
      <c r="O214" s="173">
        <v>0.0</v>
      </c>
      <c r="P214" s="55">
        <v>0.0</v>
      </c>
      <c r="Q214" s="55">
        <v>0.0</v>
      </c>
      <c r="R214" s="55">
        <v>-1.0</v>
      </c>
      <c r="S214" s="174"/>
      <c r="T214" s="55">
        <v>0.0</v>
      </c>
      <c r="U214" s="55">
        <v>0.0</v>
      </c>
      <c r="V214" s="55">
        <v>0.0</v>
      </c>
      <c r="W214" s="46"/>
      <c r="X214" s="46"/>
      <c r="Y214" s="46"/>
      <c r="Z214" s="302"/>
      <c r="AA214" s="367"/>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row>
    <row r="215">
      <c r="A215" s="152">
        <v>2.0</v>
      </c>
      <c r="B215" s="389" t="s">
        <v>2341</v>
      </c>
      <c r="C215" s="47">
        <v>211.0</v>
      </c>
      <c r="D215" s="48"/>
      <c r="E215" s="280">
        <v>43557.0</v>
      </c>
      <c r="F215" s="156" t="str">
        <f>HYPERLINK("https://lifestyle.okezone.com/read/2019/03/04/194/2025563/6-zodiak-yang-paling-stylish-gayanya-bisa-jadi-trendsetter ","sumber")</f>
        <v>sumber</v>
      </c>
      <c r="G215" s="47" t="s">
        <v>33</v>
      </c>
      <c r="H215" s="48"/>
      <c r="I215" s="48"/>
      <c r="J215" s="48"/>
      <c r="K215" s="165"/>
      <c r="L215" s="48"/>
      <c r="M215" s="48"/>
      <c r="N215" s="48"/>
      <c r="O215" s="48"/>
      <c r="P215" s="48"/>
      <c r="Q215" s="48"/>
      <c r="R215" s="48"/>
      <c r="S215" s="165"/>
      <c r="T215" s="48"/>
      <c r="U215" s="48"/>
      <c r="V215" s="48"/>
      <c r="W215" s="48"/>
      <c r="X215" s="48"/>
      <c r="Y215" s="48"/>
      <c r="Z215" s="338"/>
      <c r="AA215" s="366"/>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row>
    <row r="216">
      <c r="A216" s="167">
        <v>1.0</v>
      </c>
      <c r="B216" s="378" t="s">
        <v>5172</v>
      </c>
      <c r="C216" s="55">
        <v>212.0</v>
      </c>
      <c r="D216" s="55">
        <v>3.0</v>
      </c>
      <c r="E216" s="344">
        <v>43588.0</v>
      </c>
      <c r="F216" s="171" t="str">
        <f>HYPERLINK("https://news.okezone.com/read/2019/03/05/18/2025887/lindungi-hak-tahanan-inggris-akan-punya-penjara-transgender-pertama ","sumber")</f>
        <v>sumber</v>
      </c>
      <c r="G216" s="55" t="s">
        <v>33</v>
      </c>
      <c r="H216" s="55">
        <v>1.0</v>
      </c>
      <c r="I216" s="55">
        <v>4.0</v>
      </c>
      <c r="J216" s="55">
        <v>3.0</v>
      </c>
      <c r="K216" s="172"/>
      <c r="L216" s="55">
        <v>0.0</v>
      </c>
      <c r="M216" s="55">
        <v>0.0</v>
      </c>
      <c r="N216" s="173">
        <v>0.0</v>
      </c>
      <c r="O216" s="173">
        <v>0.0</v>
      </c>
      <c r="P216" s="55">
        <v>0.0</v>
      </c>
      <c r="Q216" s="55"/>
      <c r="R216" s="55"/>
      <c r="S216" s="174"/>
      <c r="T216" s="55">
        <v>0.0</v>
      </c>
      <c r="U216" s="55">
        <v>0.0</v>
      </c>
      <c r="V216" s="55">
        <v>1.0</v>
      </c>
      <c r="W216" s="46"/>
      <c r="X216" s="46"/>
      <c r="Y216" s="46"/>
      <c r="Z216" s="302"/>
      <c r="AA216" s="367"/>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row>
    <row r="217">
      <c r="A217" s="167">
        <v>1.0</v>
      </c>
      <c r="B217" s="378" t="s">
        <v>5173</v>
      </c>
      <c r="C217" s="55">
        <v>213.0</v>
      </c>
      <c r="D217" s="55">
        <v>6.0</v>
      </c>
      <c r="E217" s="344">
        <v>43680.0</v>
      </c>
      <c r="F217" s="171" t="str">
        <f>HYPERLINK("https://internasional.kompas.com/read/2019/05/24/13471511/disorot-soal-hukuman-mati-bagi-lgbt-sultan-brunei-kembalikan-gelar-dari ","sumber")</f>
        <v>sumber</v>
      </c>
      <c r="G217" s="55" t="s">
        <v>33</v>
      </c>
      <c r="H217" s="55">
        <v>1.0</v>
      </c>
      <c r="I217" s="55">
        <v>4.0</v>
      </c>
      <c r="J217" s="55">
        <v>3.0</v>
      </c>
      <c r="K217" s="172" t="s">
        <v>5174</v>
      </c>
      <c r="L217" s="55">
        <v>0.0</v>
      </c>
      <c r="M217" s="55">
        <v>0.0</v>
      </c>
      <c r="N217" s="173">
        <v>0.0</v>
      </c>
      <c r="O217" s="173">
        <v>0.0</v>
      </c>
      <c r="P217" s="55">
        <v>0.0</v>
      </c>
      <c r="Q217" s="55">
        <v>0.0</v>
      </c>
      <c r="R217" s="55">
        <v>-1.0</v>
      </c>
      <c r="S217" s="174"/>
      <c r="T217" s="55">
        <v>0.0</v>
      </c>
      <c r="U217" s="55">
        <v>0.0</v>
      </c>
      <c r="V217" s="55">
        <v>1.0</v>
      </c>
      <c r="W217" s="46"/>
      <c r="X217" s="46"/>
      <c r="Y217" s="46"/>
      <c r="Z217" s="302"/>
      <c r="AA217" s="367"/>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row>
    <row r="218">
      <c r="A218" s="152">
        <v>2.0</v>
      </c>
      <c r="B218" s="389" t="s">
        <v>5175</v>
      </c>
      <c r="C218" s="47">
        <v>214.0</v>
      </c>
      <c r="D218" s="48"/>
      <c r="E218" s="280">
        <v>43680.0</v>
      </c>
      <c r="F218" s="156" t="str">
        <f>HYPERLINK("https://nasional.republika.co.id/berita/nasional/politik/po1h8l409/kampanye-di-lampung-jokowi-kembali-tepis-isu-larangan-azan ","sumber")</f>
        <v>sumber</v>
      </c>
      <c r="G218" s="47" t="s">
        <v>33</v>
      </c>
      <c r="H218" s="48"/>
      <c r="I218" s="48"/>
      <c r="J218" s="48"/>
      <c r="K218" s="165"/>
      <c r="L218" s="48"/>
      <c r="M218" s="48"/>
      <c r="N218" s="48"/>
      <c r="O218" s="48"/>
      <c r="P218" s="48"/>
      <c r="Q218" s="48"/>
      <c r="R218" s="48"/>
      <c r="S218" s="165"/>
      <c r="T218" s="48"/>
      <c r="U218" s="48"/>
      <c r="V218" s="48"/>
      <c r="W218" s="48"/>
      <c r="X218" s="48"/>
      <c r="Y218" s="48"/>
      <c r="Z218" s="338"/>
      <c r="AA218" s="366"/>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row>
    <row r="219">
      <c r="A219" s="158">
        <v>1.0</v>
      </c>
      <c r="B219" s="390" t="s">
        <v>5176</v>
      </c>
      <c r="C219" s="44">
        <v>215.0</v>
      </c>
      <c r="D219" s="44">
        <v>2.0</v>
      </c>
      <c r="E219" s="268">
        <v>43802.0</v>
      </c>
      <c r="F219" s="162" t="str">
        <f>HYPERLINK("https://www.cnnindonesia.com/nasional/20190312071342-32-376383/psi-kritik-partai-lama-soal-3-gereja-disegel-kenapa-bungkam ","sumber")</f>
        <v>sumber</v>
      </c>
      <c r="G219" s="44" t="s">
        <v>33</v>
      </c>
      <c r="H219" s="44">
        <v>485.0</v>
      </c>
      <c r="I219" s="44">
        <v>1.0</v>
      </c>
      <c r="J219" s="44">
        <v>4.0</v>
      </c>
      <c r="K219" s="164" t="s">
        <v>5177</v>
      </c>
      <c r="L219" s="44">
        <v>0.0</v>
      </c>
      <c r="M219" s="44">
        <v>0.0</v>
      </c>
      <c r="N219" s="166">
        <v>0.0</v>
      </c>
      <c r="O219" s="166">
        <v>0.0</v>
      </c>
      <c r="P219" s="44">
        <v>0.0</v>
      </c>
      <c r="Q219" s="44">
        <v>0.0</v>
      </c>
      <c r="R219" s="44">
        <v>1.0</v>
      </c>
      <c r="S219" s="175"/>
      <c r="T219" s="44">
        <v>0.0</v>
      </c>
      <c r="U219" s="44">
        <v>0.0</v>
      </c>
      <c r="V219" s="44">
        <v>1.0</v>
      </c>
      <c r="W219" s="45"/>
      <c r="X219" s="45"/>
      <c r="Y219" s="45"/>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row>
    <row r="220">
      <c r="A220" s="158">
        <v>1.0</v>
      </c>
      <c r="B220" s="390" t="s">
        <v>5178</v>
      </c>
      <c r="C220" s="44">
        <v>216.0</v>
      </c>
      <c r="D220" s="44">
        <v>5.0</v>
      </c>
      <c r="E220" s="268">
        <v>43802.0</v>
      </c>
      <c r="F220" s="162" t="str">
        <f>HYPERLINK("https://tirto.id/twit-faizal-assegaf-langgengkan-stigma-kepada-lgbt-di-tahun-politik-djeg ","sumber")</f>
        <v>sumber</v>
      </c>
      <c r="G220" s="44" t="s">
        <v>33</v>
      </c>
      <c r="H220" s="44">
        <v>480.0</v>
      </c>
      <c r="I220" s="44">
        <v>1.0</v>
      </c>
      <c r="J220" s="44">
        <v>3.0</v>
      </c>
      <c r="K220" s="164" t="s">
        <v>5179</v>
      </c>
      <c r="L220" s="44">
        <v>0.0</v>
      </c>
      <c r="M220" s="44">
        <v>0.0</v>
      </c>
      <c r="N220" s="166">
        <v>0.0</v>
      </c>
      <c r="O220" s="166">
        <v>0.0</v>
      </c>
      <c r="P220" s="44">
        <v>0.0</v>
      </c>
      <c r="Q220" s="44" t="s">
        <v>214</v>
      </c>
      <c r="R220" s="44" t="s">
        <v>192</v>
      </c>
      <c r="S220" s="175"/>
      <c r="T220" s="44">
        <v>0.0</v>
      </c>
      <c r="U220" s="44">
        <v>0.0</v>
      </c>
      <c r="V220" s="44">
        <v>1.0</v>
      </c>
      <c r="W220" s="45"/>
      <c r="X220" s="45"/>
      <c r="Y220" s="45"/>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row>
    <row r="221">
      <c r="A221" s="167">
        <v>1.0</v>
      </c>
      <c r="B221" s="378" t="s">
        <v>5180</v>
      </c>
      <c r="C221" s="55">
        <v>217.0</v>
      </c>
      <c r="D221" s="55">
        <v>3.0</v>
      </c>
      <c r="E221" s="55" t="s">
        <v>153</v>
      </c>
      <c r="F221" s="171" t="str">
        <f>HYPERLINK("https://news.okezone.com/read/2019/03/27/65/2035754/menristekdikti-angkat-suara-terkait-cerpen-lgbt-di-usu ","sumber")</f>
        <v>sumber</v>
      </c>
      <c r="G221" s="55" t="s">
        <v>33</v>
      </c>
      <c r="H221" s="55">
        <v>2.0</v>
      </c>
      <c r="I221" s="55">
        <v>1.0</v>
      </c>
      <c r="J221" s="55">
        <v>3.0</v>
      </c>
      <c r="K221" s="172" t="s">
        <v>5181</v>
      </c>
      <c r="L221" s="55">
        <v>0.0</v>
      </c>
      <c r="M221" s="55">
        <v>0.0</v>
      </c>
      <c r="N221" s="173">
        <v>0.0</v>
      </c>
      <c r="O221" s="173">
        <v>0.0</v>
      </c>
      <c r="P221" s="55">
        <v>0.0</v>
      </c>
      <c r="Q221" s="55">
        <v>0.0</v>
      </c>
      <c r="R221" s="55">
        <v>0.0</v>
      </c>
      <c r="S221" s="174"/>
      <c r="T221" s="55">
        <v>0.0</v>
      </c>
      <c r="U221" s="55">
        <v>0.0</v>
      </c>
      <c r="V221" s="55">
        <v>1.0</v>
      </c>
      <c r="W221" s="46"/>
      <c r="X221" s="46"/>
      <c r="Y221" s="46"/>
      <c r="Z221" s="302"/>
      <c r="AA221" s="367"/>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row>
    <row r="222">
      <c r="A222" s="369">
        <v>1.0</v>
      </c>
      <c r="B222" s="390" t="s">
        <v>5182</v>
      </c>
      <c r="C222" s="44">
        <v>218.0</v>
      </c>
      <c r="D222" s="44">
        <v>8.0</v>
      </c>
      <c r="E222" s="44" t="s">
        <v>153</v>
      </c>
      <c r="F222" s="162" t="str">
        <f>HYPERLINK("https://www.suara.com/entertainment/2019/03/13/201052/tak-sengaja-lucinta-luna-keluarkan-suara-asli-kocak-abis ","sumber")</f>
        <v>sumber</v>
      </c>
      <c r="G222" s="44" t="s">
        <v>33</v>
      </c>
      <c r="H222" s="44">
        <v>1.0</v>
      </c>
      <c r="I222" s="44">
        <v>2.0</v>
      </c>
      <c r="J222" s="44">
        <v>3.0</v>
      </c>
      <c r="K222" s="164"/>
      <c r="L222" s="44">
        <v>0.0</v>
      </c>
      <c r="M222" s="44">
        <v>0.0</v>
      </c>
      <c r="N222" s="166">
        <v>0.0</v>
      </c>
      <c r="O222" s="166">
        <v>0.0</v>
      </c>
      <c r="P222" s="44">
        <v>0.0</v>
      </c>
      <c r="Q222" s="44"/>
      <c r="R222" s="44"/>
      <c r="S222" s="175"/>
      <c r="T222" s="44">
        <v>0.0</v>
      </c>
      <c r="U222" s="44">
        <v>0.0</v>
      </c>
      <c r="V222" s="44">
        <v>0.0</v>
      </c>
      <c r="W222" s="45"/>
      <c r="X222" s="45"/>
      <c r="Y222" s="45"/>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row>
    <row r="223">
      <c r="A223" s="158">
        <v>1.0</v>
      </c>
      <c r="B223" s="390" t="s">
        <v>5183</v>
      </c>
      <c r="C223" s="44">
        <v>219.0</v>
      </c>
      <c r="D223" s="44">
        <v>6.0</v>
      </c>
      <c r="E223" s="44" t="s">
        <v>142</v>
      </c>
      <c r="F223" s="162" t="str">
        <f>HYPERLINK("https://nasional.kompas.com/read/2019/03/14/15474071/komnas-perempuan-ada-yang-salah-memahami-definisi-ruu-pks ","sumber")</f>
        <v>sumber</v>
      </c>
      <c r="G223" s="44" t="s">
        <v>33</v>
      </c>
      <c r="H223" s="44">
        <v>248.0</v>
      </c>
      <c r="I223" s="44">
        <v>4.0</v>
      </c>
      <c r="J223" s="44">
        <v>1.0</v>
      </c>
      <c r="K223" s="164" t="s">
        <v>5184</v>
      </c>
      <c r="L223" s="44">
        <v>0.0</v>
      </c>
      <c r="M223" s="44">
        <v>0.0</v>
      </c>
      <c r="N223" s="166">
        <v>0.0</v>
      </c>
      <c r="O223" s="166">
        <v>0.0</v>
      </c>
      <c r="P223" s="44">
        <v>0.0</v>
      </c>
      <c r="Q223" s="44">
        <v>1.0</v>
      </c>
      <c r="R223" s="44">
        <v>1.0</v>
      </c>
      <c r="S223" s="175"/>
      <c r="T223" s="44">
        <v>0.0</v>
      </c>
      <c r="U223" s="44">
        <v>0.0</v>
      </c>
      <c r="V223" s="44">
        <v>1.0</v>
      </c>
      <c r="W223" s="45"/>
      <c r="X223" s="45"/>
      <c r="Y223" s="45"/>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row>
    <row r="224">
      <c r="A224" s="167">
        <v>1.0</v>
      </c>
      <c r="B224" s="378" t="s">
        <v>5185</v>
      </c>
      <c r="C224" s="55">
        <v>220.0</v>
      </c>
      <c r="D224" s="55">
        <v>1.0</v>
      </c>
      <c r="E224" s="55" t="s">
        <v>123</v>
      </c>
      <c r="F224" s="171" t="str">
        <f>HYPERLINK("https://news.detik.com/berita/d-4553674/polri-soal-pemecatan-polisi-gay-anggota-polri-tak-boleh-lgbt ","sumber")</f>
        <v>sumber</v>
      </c>
      <c r="G224" s="55" t="s">
        <v>33</v>
      </c>
      <c r="H224" s="55">
        <v>2.0</v>
      </c>
      <c r="I224" s="55">
        <v>4.0</v>
      </c>
      <c r="J224" s="55">
        <v>3.0</v>
      </c>
      <c r="K224" s="172" t="s">
        <v>5186</v>
      </c>
      <c r="L224" s="55">
        <v>0.0</v>
      </c>
      <c r="M224" s="55">
        <v>0.0</v>
      </c>
      <c r="N224" s="173">
        <v>0.0</v>
      </c>
      <c r="O224" s="173">
        <v>0.0</v>
      </c>
      <c r="P224" s="55">
        <v>0.0</v>
      </c>
      <c r="Q224" s="55">
        <v>0.0</v>
      </c>
      <c r="R224" s="55">
        <v>-1.0</v>
      </c>
      <c r="S224" s="174"/>
      <c r="T224" s="55">
        <v>0.0</v>
      </c>
      <c r="U224" s="55">
        <v>0.0</v>
      </c>
      <c r="V224" s="55">
        <v>1.0</v>
      </c>
      <c r="W224" s="46"/>
      <c r="X224" s="46"/>
      <c r="Y224" s="46"/>
      <c r="Z224" s="302"/>
      <c r="AA224" s="367"/>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row>
    <row r="225">
      <c r="A225" s="167">
        <v>1.0</v>
      </c>
      <c r="B225" s="378" t="s">
        <v>5187</v>
      </c>
      <c r="C225" s="55">
        <v>221.0</v>
      </c>
      <c r="D225" s="55">
        <v>3.0</v>
      </c>
      <c r="E225" s="55" t="s">
        <v>150</v>
      </c>
      <c r="F225" s="171" t="str">
        <f>HYPERLINK("https://celebrity.okezone.com/read/2019/03/30/33/2036929/solena-chaniago-operasi-vagina-plasty-itu-yang-termahal ","sumber")</f>
        <v>sumber</v>
      </c>
      <c r="G225" s="55" t="s">
        <v>33</v>
      </c>
      <c r="H225" s="55">
        <v>1.0</v>
      </c>
      <c r="I225" s="55">
        <v>2.0</v>
      </c>
      <c r="J225" s="55">
        <v>3.0</v>
      </c>
      <c r="K225" s="172" t="s">
        <v>5188</v>
      </c>
      <c r="L225" s="55">
        <v>0.0</v>
      </c>
      <c r="M225" s="55">
        <v>0.0</v>
      </c>
      <c r="N225" s="173">
        <v>0.0</v>
      </c>
      <c r="O225" s="173">
        <v>0.0</v>
      </c>
      <c r="P225" s="55">
        <v>0.0</v>
      </c>
      <c r="Q225" s="55">
        <v>2.0</v>
      </c>
      <c r="R225" s="55">
        <v>1.0</v>
      </c>
      <c r="S225" s="174"/>
      <c r="T225" s="55">
        <v>0.0</v>
      </c>
      <c r="U225" s="55">
        <v>0.0</v>
      </c>
      <c r="V225" s="55">
        <v>1.0</v>
      </c>
      <c r="W225" s="46"/>
      <c r="X225" s="46"/>
      <c r="Y225" s="46"/>
      <c r="Z225" s="302"/>
      <c r="AA225" s="367"/>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row>
    <row r="226">
      <c r="A226" s="158">
        <v>1.0</v>
      </c>
      <c r="B226" s="390" t="s">
        <v>5189</v>
      </c>
      <c r="C226" s="44">
        <v>222.0</v>
      </c>
      <c r="D226" s="44">
        <v>10.0</v>
      </c>
      <c r="E226" s="44" t="s">
        <v>156</v>
      </c>
      <c r="F226" s="162" t="str">
        <f>HYPERLINK("https://nasional.tempo.co/read/1187893/unggah-cerpen-bertema-lgbt-media-suara-usu-terancam-dibubarkan ","sumber")</f>
        <v>sumber</v>
      </c>
      <c r="G226" s="44" t="s">
        <v>33</v>
      </c>
      <c r="H226" s="44">
        <v>459.0</v>
      </c>
      <c r="I226" s="44">
        <v>1.0</v>
      </c>
      <c r="J226" s="44">
        <v>3.0</v>
      </c>
      <c r="K226" s="164" t="s">
        <v>5190</v>
      </c>
      <c r="L226" s="44">
        <v>0.0</v>
      </c>
      <c r="M226" s="44">
        <v>0.0</v>
      </c>
      <c r="N226" s="166">
        <v>0.0</v>
      </c>
      <c r="O226" s="166">
        <v>0.0</v>
      </c>
      <c r="P226" s="44">
        <v>0.0</v>
      </c>
      <c r="Q226" s="44" t="s">
        <v>61</v>
      </c>
      <c r="R226" s="44" t="s">
        <v>173</v>
      </c>
      <c r="S226" s="175"/>
      <c r="T226" s="44">
        <v>0.0</v>
      </c>
      <c r="U226" s="44">
        <v>0.0</v>
      </c>
      <c r="V226" s="44">
        <v>1.0</v>
      </c>
      <c r="W226" s="45"/>
      <c r="X226" s="45"/>
      <c r="Y226" s="45"/>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row>
    <row r="227">
      <c r="A227" s="158">
        <v>1.0</v>
      </c>
      <c r="B227" s="390" t="s">
        <v>5191</v>
      </c>
      <c r="C227" s="44">
        <v>223.0</v>
      </c>
      <c r="D227" s="44">
        <v>8.0</v>
      </c>
      <c r="E227" s="44" t="s">
        <v>159</v>
      </c>
      <c r="F227" s="162" t="str">
        <f>HYPERLINK("https://www.suara.com/news/2019/03/26/133653/dikecam-brunei-mau-terapkan-hukum-lgbt-dilempari-batu-sampai-mati ","sumber")</f>
        <v>sumber</v>
      </c>
      <c r="G227" s="44" t="s">
        <v>33</v>
      </c>
      <c r="H227" s="44">
        <v>273.0</v>
      </c>
      <c r="I227" s="44">
        <v>4.0</v>
      </c>
      <c r="J227" s="44">
        <v>3.0</v>
      </c>
      <c r="K227" s="164" t="s">
        <v>5192</v>
      </c>
      <c r="L227" s="44">
        <v>0.0</v>
      </c>
      <c r="M227" s="44">
        <v>0.0</v>
      </c>
      <c r="N227" s="166">
        <v>0.0</v>
      </c>
      <c r="O227" s="166">
        <v>0.0</v>
      </c>
      <c r="P227" s="44">
        <v>0.0</v>
      </c>
      <c r="Q227" s="44" t="s">
        <v>651</v>
      </c>
      <c r="R227" s="44" t="s">
        <v>192</v>
      </c>
      <c r="S227" s="175"/>
      <c r="T227" s="44">
        <v>0.0</v>
      </c>
      <c r="U227" s="44">
        <v>0.0</v>
      </c>
      <c r="V227" s="44">
        <v>1.0</v>
      </c>
      <c r="W227" s="45"/>
      <c r="X227" s="45"/>
      <c r="Y227" s="45"/>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row>
    <row r="228">
      <c r="A228" s="158">
        <v>1.0</v>
      </c>
      <c r="B228" s="390" t="s">
        <v>2362</v>
      </c>
      <c r="C228" s="44">
        <v>224.0</v>
      </c>
      <c r="D228" s="44">
        <v>6.0</v>
      </c>
      <c r="E228" s="44" t="s">
        <v>529</v>
      </c>
      <c r="F228" s="162" t="str">
        <f>HYPERLINK("https://internasional.kompas.com/read/2019/03/27/18292741/brunei-dikabarkan-akan-hukum-rajam-sampai-mati-pelaku-lgbt ","sumber")</f>
        <v>sumber</v>
      </c>
      <c r="G228" s="44" t="s">
        <v>33</v>
      </c>
      <c r="H228" s="44">
        <v>281.0</v>
      </c>
      <c r="I228" s="44">
        <v>4.0</v>
      </c>
      <c r="J228" s="44">
        <v>3.0</v>
      </c>
      <c r="K228" s="164" t="s">
        <v>5193</v>
      </c>
      <c r="L228" s="44">
        <v>0.0</v>
      </c>
      <c r="M228" s="44">
        <v>0.0</v>
      </c>
      <c r="N228" s="166">
        <v>0.0</v>
      </c>
      <c r="O228" s="166">
        <v>0.0</v>
      </c>
      <c r="P228" s="44">
        <v>0.0</v>
      </c>
      <c r="Q228" s="44">
        <v>2.0</v>
      </c>
      <c r="R228" s="44">
        <v>1.0</v>
      </c>
      <c r="S228" s="175"/>
      <c r="T228" s="44">
        <v>0.0</v>
      </c>
      <c r="U228" s="44">
        <v>0.0</v>
      </c>
      <c r="V228" s="44">
        <v>1.0</v>
      </c>
      <c r="W228" s="45"/>
      <c r="X228" s="45"/>
      <c r="Y228" s="45"/>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row>
    <row r="229">
      <c r="A229" s="167">
        <v>1.0</v>
      </c>
      <c r="B229" s="378" t="s">
        <v>5194</v>
      </c>
      <c r="C229" s="55">
        <v>225.0</v>
      </c>
      <c r="D229" s="55">
        <v>5.0</v>
      </c>
      <c r="E229" s="55" t="s">
        <v>529</v>
      </c>
      <c r="F229" s="171" t="str">
        <f>HYPERLINK("https://tirto.id/coming-out-itu-tak-mudah-ketika-anak-lgbt-terbuka-kepada-keluarga-djhl ","sumber")</f>
        <v>sumber</v>
      </c>
      <c r="G229" s="55" t="s">
        <v>33</v>
      </c>
      <c r="H229" s="55">
        <v>3.0</v>
      </c>
      <c r="I229" s="55">
        <v>2.0</v>
      </c>
      <c r="J229" s="55">
        <v>3.0</v>
      </c>
      <c r="K229" s="172" t="s">
        <v>5195</v>
      </c>
      <c r="L229" s="55">
        <v>0.0</v>
      </c>
      <c r="M229" s="55">
        <v>0.0</v>
      </c>
      <c r="N229" s="173">
        <v>0.0</v>
      </c>
      <c r="O229" s="173">
        <v>0.0</v>
      </c>
      <c r="P229" s="55">
        <v>0.0</v>
      </c>
      <c r="Q229" s="55" t="s">
        <v>1472</v>
      </c>
      <c r="R229" s="55" t="s">
        <v>1058</v>
      </c>
      <c r="S229" s="174"/>
      <c r="T229" s="55">
        <v>0.0</v>
      </c>
      <c r="U229" s="55">
        <v>0.0</v>
      </c>
      <c r="V229" s="55">
        <v>1.0</v>
      </c>
      <c r="W229" s="46"/>
      <c r="X229" s="46"/>
      <c r="Y229" s="46"/>
      <c r="Z229" s="302"/>
      <c r="AA229" s="367"/>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row>
    <row r="230">
      <c r="A230" s="158">
        <v>1.0</v>
      </c>
      <c r="B230" s="390" t="s">
        <v>5196</v>
      </c>
      <c r="C230" s="44">
        <v>226.0</v>
      </c>
      <c r="D230" s="44">
        <v>1.0</v>
      </c>
      <c r="E230" s="268">
        <v>43469.0</v>
      </c>
      <c r="F230" s="162" t="str">
        <f>HYPERLINK("https://news.detik.com/bbc-world/d-4491956/brunei-terapkan-hukuman-rajam-sampai-mati-bagi-lgbt-pekan-ini ","sumber")</f>
        <v>sumber</v>
      </c>
      <c r="G230" s="44" t="s">
        <v>33</v>
      </c>
      <c r="H230" s="44">
        <v>446.0</v>
      </c>
      <c r="I230" s="44">
        <v>4.0</v>
      </c>
      <c r="J230" s="44">
        <v>3.0</v>
      </c>
      <c r="K230" s="164" t="s">
        <v>5197</v>
      </c>
      <c r="L230" s="44">
        <v>0.0</v>
      </c>
      <c r="M230" s="44">
        <v>0.0</v>
      </c>
      <c r="N230" s="166">
        <v>0.0</v>
      </c>
      <c r="O230" s="166">
        <v>0.0</v>
      </c>
      <c r="P230" s="44">
        <v>0.0</v>
      </c>
      <c r="Q230" s="44" t="s">
        <v>202</v>
      </c>
      <c r="R230" s="44" t="s">
        <v>700</v>
      </c>
      <c r="S230" s="175"/>
      <c r="T230" s="44">
        <v>0.0</v>
      </c>
      <c r="U230" s="44">
        <v>0.0</v>
      </c>
      <c r="V230" s="44">
        <v>1.0</v>
      </c>
      <c r="W230" s="45"/>
      <c r="X230" s="45"/>
      <c r="Y230" s="45"/>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row>
    <row r="231">
      <c r="A231" s="167">
        <v>1.0</v>
      </c>
      <c r="B231" s="378" t="s">
        <v>5198</v>
      </c>
      <c r="C231" s="55">
        <v>227.0</v>
      </c>
      <c r="D231" s="55">
        <v>6.0</v>
      </c>
      <c r="E231" s="344">
        <v>43469.0</v>
      </c>
      <c r="F231" s="171" t="str">
        <f>HYPERLINK("https://internasional.kompas.com/read/2019/04/01/17371801/pbb-hukuman-rajam-sampai-mati-di-brunei-tak-manusiawi ","sumber")</f>
        <v>sumber</v>
      </c>
      <c r="G231" s="55" t="s">
        <v>33</v>
      </c>
      <c r="H231" s="55">
        <v>2.0</v>
      </c>
      <c r="I231" s="55">
        <v>4.0</v>
      </c>
      <c r="J231" s="55">
        <v>4.0</v>
      </c>
      <c r="K231" s="172" t="s">
        <v>5199</v>
      </c>
      <c r="L231" s="55">
        <v>0.0</v>
      </c>
      <c r="M231" s="55">
        <v>0.0</v>
      </c>
      <c r="N231" s="173">
        <v>0.0</v>
      </c>
      <c r="O231" s="173">
        <v>0.0</v>
      </c>
      <c r="P231" s="55">
        <v>0.0</v>
      </c>
      <c r="Q231" s="55">
        <v>0.0</v>
      </c>
      <c r="R231" s="55">
        <v>1.0</v>
      </c>
      <c r="S231" s="174"/>
      <c r="T231" s="55">
        <v>0.0</v>
      </c>
      <c r="U231" s="55">
        <v>0.0</v>
      </c>
      <c r="V231" s="55">
        <v>1.0</v>
      </c>
      <c r="W231" s="46"/>
      <c r="X231" s="46"/>
      <c r="Y231" s="46"/>
      <c r="Z231" s="302"/>
      <c r="AA231" s="367"/>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c r="BB231" s="31"/>
      <c r="BC231" s="31"/>
      <c r="BD231" s="31"/>
      <c r="BE231" s="31"/>
    </row>
    <row r="232">
      <c r="A232" s="152">
        <v>2.0</v>
      </c>
      <c r="B232" s="389" t="s">
        <v>5200</v>
      </c>
      <c r="C232" s="47">
        <v>228.0</v>
      </c>
      <c r="D232" s="48"/>
      <c r="E232" s="280">
        <v>43528.0</v>
      </c>
      <c r="F232" s="156" t="str">
        <f>HYPERLINK("https://internasional.republika.co.id/berita/internasional/asia/ppdq8z423/junta-militer-thailand-ajukan-gugatan-terhadap-ketua-partai ","sumber")</f>
        <v>sumber</v>
      </c>
      <c r="G232" s="47" t="s">
        <v>33</v>
      </c>
      <c r="H232" s="48"/>
      <c r="I232" s="48"/>
      <c r="J232" s="48"/>
      <c r="K232" s="165"/>
      <c r="L232" s="48"/>
      <c r="M232" s="48"/>
      <c r="N232" s="48"/>
      <c r="O232" s="48"/>
      <c r="P232" s="48"/>
      <c r="Q232" s="48"/>
      <c r="R232" s="48"/>
      <c r="S232" s="165"/>
      <c r="T232" s="48"/>
      <c r="U232" s="48"/>
      <c r="V232" s="48"/>
      <c r="W232" s="48"/>
      <c r="X232" s="48"/>
      <c r="Y232" s="48"/>
      <c r="Z232" s="338"/>
      <c r="AA232" s="366"/>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row>
    <row r="233">
      <c r="A233" s="158">
        <v>1.0</v>
      </c>
      <c r="B233" s="390" t="s">
        <v>5201</v>
      </c>
      <c r="C233" s="44">
        <v>229.0</v>
      </c>
      <c r="D233" s="44">
        <v>9.0</v>
      </c>
      <c r="E233" s="268">
        <v>43559.0</v>
      </c>
      <c r="F233" s="162" t="str">
        <f>HYPERLINK("https://senggang.republika.co.id/berita/senggang/blitz/ppei4x414/bela-penyuka-sesama-jenis-degeneres-boikot-hotel-brunei ","sumber")</f>
        <v>sumber</v>
      </c>
      <c r="G233" s="44" t="s">
        <v>33</v>
      </c>
      <c r="H233" s="44">
        <v>179.0</v>
      </c>
      <c r="I233" s="44">
        <v>1.0</v>
      </c>
      <c r="J233" s="44">
        <v>3.0</v>
      </c>
      <c r="K233" s="164" t="s">
        <v>5202</v>
      </c>
      <c r="L233" s="44">
        <v>0.0</v>
      </c>
      <c r="M233" s="44">
        <v>0.0</v>
      </c>
      <c r="N233" s="166">
        <v>0.0</v>
      </c>
      <c r="O233" s="166">
        <v>0.0</v>
      </c>
      <c r="P233" s="44">
        <v>0.0</v>
      </c>
      <c r="Q233" s="44">
        <v>0.0</v>
      </c>
      <c r="R233" s="44">
        <v>1.0</v>
      </c>
      <c r="S233" s="175"/>
      <c r="T233" s="44">
        <v>0.0</v>
      </c>
      <c r="U233" s="44">
        <v>0.0</v>
      </c>
      <c r="V233" s="44">
        <v>1.0</v>
      </c>
      <c r="W233" s="45"/>
      <c r="X233" s="45"/>
      <c r="Y233" s="45"/>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row>
    <row r="234">
      <c r="A234" s="158">
        <v>1.0</v>
      </c>
      <c r="B234" s="390" t="s">
        <v>5203</v>
      </c>
      <c r="C234" s="44">
        <v>230.0</v>
      </c>
      <c r="D234" s="44">
        <v>8.0</v>
      </c>
      <c r="E234" s="268">
        <v>43681.0</v>
      </c>
      <c r="F234" s="162" t="str">
        <f>HYPERLINK("https://www.suara.com/news/2019/04/08/163001/buron-dari-brunei-aksi-pria-gay-ini-ternyata-bukan-terkait-hukum-syariat ","sumber")</f>
        <v>sumber</v>
      </c>
      <c r="G234" s="44" t="s">
        <v>33</v>
      </c>
      <c r="H234" s="44">
        <v>343.0</v>
      </c>
      <c r="I234" s="44">
        <v>1.0</v>
      </c>
      <c r="J234" s="44">
        <v>3.0</v>
      </c>
      <c r="K234" s="164" t="s">
        <v>5204</v>
      </c>
      <c r="L234" s="44">
        <v>0.0</v>
      </c>
      <c r="M234" s="44">
        <v>0.0</v>
      </c>
      <c r="N234" s="166">
        <v>0.0</v>
      </c>
      <c r="O234" s="166">
        <v>0.0</v>
      </c>
      <c r="P234" s="44">
        <v>0.0</v>
      </c>
      <c r="Q234" s="44" t="s">
        <v>61</v>
      </c>
      <c r="R234" s="44" t="s">
        <v>192</v>
      </c>
      <c r="S234" s="175"/>
      <c r="T234" s="44">
        <v>0.0</v>
      </c>
      <c r="U234" s="44">
        <v>0.0</v>
      </c>
      <c r="V234" s="44">
        <v>1.0</v>
      </c>
      <c r="W234" s="45"/>
      <c r="X234" s="45"/>
      <c r="Y234" s="45"/>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row>
    <row r="235">
      <c r="A235" s="152">
        <v>2.0</v>
      </c>
      <c r="B235" s="389" t="s">
        <v>5205</v>
      </c>
      <c r="C235" s="47">
        <v>231.0</v>
      </c>
      <c r="D235" s="48"/>
      <c r="E235" s="47" t="s">
        <v>766</v>
      </c>
      <c r="F235" s="156" t="str">
        <f>HYPERLINK("https://nasional.republika.co.id/berita/nasional/umum/ppwbkt383/bkn-catat-ada-990-kasus-pelanggaran-netralitas-asn ","sumber")</f>
        <v>sumber</v>
      </c>
      <c r="G235" s="47" t="s">
        <v>33</v>
      </c>
      <c r="H235" s="48"/>
      <c r="I235" s="48"/>
      <c r="J235" s="48"/>
      <c r="K235" s="165"/>
      <c r="L235" s="48"/>
      <c r="M235" s="48"/>
      <c r="N235" s="48"/>
      <c r="O235" s="48"/>
      <c r="P235" s="48"/>
      <c r="Q235" s="48"/>
      <c r="R235" s="48"/>
      <c r="S235" s="165"/>
      <c r="T235" s="48"/>
      <c r="U235" s="48"/>
      <c r="V235" s="48"/>
      <c r="W235" s="48"/>
      <c r="X235" s="48"/>
      <c r="Y235" s="48"/>
      <c r="Z235" s="338"/>
      <c r="AA235" s="366"/>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row>
    <row r="236">
      <c r="A236" s="158">
        <v>1.0</v>
      </c>
      <c r="B236" s="390" t="s">
        <v>5206</v>
      </c>
      <c r="C236" s="44">
        <v>232.0</v>
      </c>
      <c r="D236" s="44">
        <v>10.0</v>
      </c>
      <c r="E236" s="44" t="s">
        <v>766</v>
      </c>
      <c r="F236" s="162" t="str">
        <f>HYPERLINK("https://dunia.tempo.co/read/1195214/uu-brunei-rajam-mati-lgbt-dikecam-pbb-apa-kata-menlu-brunei ","sumber")</f>
        <v>sumber</v>
      </c>
      <c r="G236" s="44" t="s">
        <v>33</v>
      </c>
      <c r="H236" s="44">
        <v>314.0</v>
      </c>
      <c r="I236" s="44">
        <v>1.0</v>
      </c>
      <c r="J236" s="44">
        <v>3.0</v>
      </c>
      <c r="K236" s="400" t="s">
        <v>5207</v>
      </c>
      <c r="L236" s="44">
        <v>0.0</v>
      </c>
      <c r="M236" s="44">
        <v>0.0</v>
      </c>
      <c r="N236" s="166">
        <v>0.0</v>
      </c>
      <c r="O236" s="166">
        <v>0.0</v>
      </c>
      <c r="P236" s="44">
        <v>0.0</v>
      </c>
      <c r="Q236" s="44">
        <v>0.0</v>
      </c>
      <c r="R236" s="44">
        <v>-1.0</v>
      </c>
      <c r="S236" s="175"/>
      <c r="T236" s="44">
        <v>0.0</v>
      </c>
      <c r="U236" s="44">
        <v>0.0</v>
      </c>
      <c r="V236" s="44">
        <v>1.0</v>
      </c>
      <c r="W236" s="45"/>
      <c r="X236" s="45"/>
      <c r="Y236" s="45"/>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row>
    <row r="237">
      <c r="A237" s="167">
        <v>1.0</v>
      </c>
      <c r="B237" s="378" t="s">
        <v>5208</v>
      </c>
      <c r="C237" s="55">
        <v>233.0</v>
      </c>
      <c r="D237" s="55">
        <v>2.0</v>
      </c>
      <c r="E237" s="55" t="s">
        <v>2573</v>
      </c>
      <c r="F237" s="171" t="str">
        <f>HYPERLINK("https://www.cnnindonesia.com/internasional/20190402132740-106-382863/hindari-hukum-rajam-mati-komunitas-lgbt-kabur-dari-brunei ","sumber")</f>
        <v>sumber</v>
      </c>
      <c r="G237" s="55" t="s">
        <v>33</v>
      </c>
      <c r="H237" s="55">
        <v>2.0</v>
      </c>
      <c r="I237" s="55">
        <v>2.0</v>
      </c>
      <c r="J237" s="55">
        <v>4.0</v>
      </c>
      <c r="K237" s="246" t="s">
        <v>5209</v>
      </c>
      <c r="L237" s="55">
        <v>0.0</v>
      </c>
      <c r="M237" s="55">
        <v>0.0</v>
      </c>
      <c r="N237" s="173">
        <v>0.0</v>
      </c>
      <c r="O237" s="173">
        <v>0.0</v>
      </c>
      <c r="P237" s="55">
        <v>0.0</v>
      </c>
      <c r="Q237" s="55" t="s">
        <v>2026</v>
      </c>
      <c r="R237" s="55" t="s">
        <v>392</v>
      </c>
      <c r="S237" s="174"/>
      <c r="T237" s="55">
        <v>0.0</v>
      </c>
      <c r="U237" s="55">
        <v>0.0</v>
      </c>
      <c r="V237" s="55">
        <v>1.0</v>
      </c>
      <c r="W237" s="46"/>
      <c r="X237" s="46"/>
      <c r="Y237" s="46"/>
      <c r="Z237" s="302"/>
      <c r="AA237" s="367"/>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row>
    <row r="238">
      <c r="A238" s="158">
        <v>1.0</v>
      </c>
      <c r="B238" s="390" t="s">
        <v>5210</v>
      </c>
      <c r="C238" s="44">
        <v>234.0</v>
      </c>
      <c r="D238" s="44">
        <v>10.0</v>
      </c>
      <c r="E238" s="44" t="s">
        <v>2573</v>
      </c>
      <c r="F238" s="162" t="str">
        <f>HYPERLINK("https://seleb.tempo.co/read/1196132/film-garin-nugroho-kucumbu-tubuh-indahku-tayang-usai-pemilu ","sumber")</f>
        <v>sumber</v>
      </c>
      <c r="G238" s="44" t="s">
        <v>33</v>
      </c>
      <c r="H238" s="44">
        <v>326.0</v>
      </c>
      <c r="I238" s="44">
        <v>3.0</v>
      </c>
      <c r="J238" s="44">
        <v>3.0</v>
      </c>
      <c r="K238" s="164" t="s">
        <v>5211</v>
      </c>
      <c r="L238" s="44">
        <v>0.0</v>
      </c>
      <c r="M238" s="44">
        <v>0.0</v>
      </c>
      <c r="N238" s="166">
        <v>0.0</v>
      </c>
      <c r="O238" s="166">
        <v>0.0</v>
      </c>
      <c r="P238" s="44">
        <v>0.0</v>
      </c>
      <c r="Q238" s="44">
        <v>0.0</v>
      </c>
      <c r="R238" s="44">
        <v>1.0</v>
      </c>
      <c r="S238" s="175"/>
      <c r="T238" s="44">
        <v>0.0</v>
      </c>
      <c r="U238" s="44">
        <v>0.0</v>
      </c>
      <c r="V238" s="44">
        <v>1.0</v>
      </c>
      <c r="W238" s="45"/>
      <c r="X238" s="45"/>
      <c r="Y238" s="45"/>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row>
    <row r="239">
      <c r="A239" s="158">
        <v>1.0</v>
      </c>
      <c r="B239" s="390" t="s">
        <v>5212</v>
      </c>
      <c r="C239" s="44">
        <v>235.0</v>
      </c>
      <c r="D239" s="44">
        <v>10.0</v>
      </c>
      <c r="E239" s="44" t="s">
        <v>5213</v>
      </c>
      <c r="F239" s="162" t="str">
        <f>HYPERLINK("https://www.suara.com/entertainment/2019/04/23/135032/dinar-candy-sebut-soal-potong-anu-dan-bencong-sindir-lucinta-luna ","sumber")</f>
        <v>sumber</v>
      </c>
      <c r="G239" s="44" t="s">
        <v>33</v>
      </c>
      <c r="H239" s="44">
        <v>186.0</v>
      </c>
      <c r="I239" s="44">
        <v>1.0</v>
      </c>
      <c r="J239" s="44">
        <v>3.0</v>
      </c>
      <c r="K239" s="164" t="s">
        <v>5214</v>
      </c>
      <c r="L239" s="44">
        <v>0.0</v>
      </c>
      <c r="M239" s="44">
        <v>0.0</v>
      </c>
      <c r="N239" s="166">
        <v>0.0</v>
      </c>
      <c r="O239" s="166">
        <v>0.0</v>
      </c>
      <c r="P239" s="44">
        <v>0.0</v>
      </c>
      <c r="Q239" s="44">
        <v>0.0</v>
      </c>
      <c r="R239" s="44">
        <v>-1.0</v>
      </c>
      <c r="S239" s="175"/>
      <c r="T239" s="44">
        <v>0.0</v>
      </c>
      <c r="U239" s="44">
        <v>0.0</v>
      </c>
      <c r="V239" s="44">
        <v>1.0</v>
      </c>
      <c r="W239" s="45"/>
      <c r="X239" s="45"/>
      <c r="Y239" s="45"/>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row>
    <row r="240">
      <c r="A240" s="167">
        <v>1.0</v>
      </c>
      <c r="B240" s="378" t="s">
        <v>5215</v>
      </c>
      <c r="C240" s="55">
        <v>236.0</v>
      </c>
      <c r="D240" s="55">
        <v>10.0</v>
      </c>
      <c r="E240" s="55" t="s">
        <v>5216</v>
      </c>
      <c r="F240" s="171" t="str">
        <f>HYPERLINK("https://dunia.tempo.co/read/1192075/brunei-darussalam-mulai-terapkan-hukum-syariah-rajam-dan-cambuk ","sumber")</f>
        <v>sumber</v>
      </c>
      <c r="G240" s="55" t="s">
        <v>33</v>
      </c>
      <c r="H240" s="55">
        <v>2.0</v>
      </c>
      <c r="I240" s="55">
        <v>4.0</v>
      </c>
      <c r="J240" s="55">
        <v>3.0</v>
      </c>
      <c r="K240" s="172" t="s">
        <v>5217</v>
      </c>
      <c r="L240" s="55">
        <v>0.0</v>
      </c>
      <c r="M240" s="55">
        <v>0.0</v>
      </c>
      <c r="N240" s="173">
        <v>0.0</v>
      </c>
      <c r="O240" s="173">
        <v>0.0</v>
      </c>
      <c r="P240" s="55">
        <v>0.0</v>
      </c>
      <c r="Q240" s="55" t="s">
        <v>61</v>
      </c>
      <c r="R240" s="55" t="s">
        <v>173</v>
      </c>
      <c r="S240" s="174"/>
      <c r="T240" s="55">
        <v>0.0</v>
      </c>
      <c r="U240" s="55">
        <v>0.0</v>
      </c>
      <c r="V240" s="55">
        <v>1.0</v>
      </c>
      <c r="W240" s="46"/>
      <c r="X240" s="46"/>
      <c r="Y240" s="46"/>
      <c r="Z240" s="302"/>
      <c r="AA240" s="367"/>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c r="BB240" s="31"/>
      <c r="BC240" s="31"/>
      <c r="BD240" s="31"/>
      <c r="BE240" s="31"/>
    </row>
    <row r="241">
      <c r="A241" s="158">
        <v>1.0</v>
      </c>
      <c r="B241" s="390" t="s">
        <v>4382</v>
      </c>
      <c r="C241" s="44">
        <v>237.0</v>
      </c>
      <c r="D241" s="44">
        <v>6.0</v>
      </c>
      <c r="E241" s="268">
        <v>43470.0</v>
      </c>
      <c r="F241" s="162" t="str">
        <f>HYPERLINK("https://regional.kompas.com/read/2019/05/01/12594781/dianggap-meresahkan-indekos-waria-di-cianjur-digerebek-warga ","sumber")</f>
        <v>sumber</v>
      </c>
      <c r="G241" s="44" t="s">
        <v>33</v>
      </c>
      <c r="H241" s="44">
        <v>342.0</v>
      </c>
      <c r="I241" s="44">
        <v>1.0</v>
      </c>
      <c r="J241" s="44">
        <v>3.0</v>
      </c>
      <c r="K241" s="164" t="s">
        <v>5218</v>
      </c>
      <c r="L241" s="44">
        <v>0.0</v>
      </c>
      <c r="M241" s="44">
        <v>0.0</v>
      </c>
      <c r="N241" s="166">
        <v>0.0</v>
      </c>
      <c r="O241" s="166">
        <v>0.0</v>
      </c>
      <c r="P241" s="44">
        <v>0.0</v>
      </c>
      <c r="Q241" s="44" t="s">
        <v>61</v>
      </c>
      <c r="R241" s="44" t="s">
        <v>685</v>
      </c>
      <c r="S241" s="175"/>
      <c r="T241" s="44">
        <v>0.0</v>
      </c>
      <c r="U241" s="44">
        <v>0.0</v>
      </c>
      <c r="V241" s="44">
        <v>1.0</v>
      </c>
      <c r="W241" s="45"/>
      <c r="X241" s="45"/>
      <c r="Y241" s="45"/>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row>
    <row r="242">
      <c r="A242" s="158">
        <v>1.0</v>
      </c>
      <c r="B242" s="390" t="s">
        <v>5219</v>
      </c>
      <c r="C242" s="44">
        <v>238.0</v>
      </c>
      <c r="D242" s="44">
        <v>6.0</v>
      </c>
      <c r="E242" s="268">
        <v>43651.0</v>
      </c>
      <c r="F242" s="162" t="str">
        <f>HYPERLINK("https://internasional.kompas.com/read/2019/05/07/05391131/populer-nternasional-sultan-brunei-tak-hukum-mati-pelaku-seks-lgbt ","sumber")</f>
        <v>sumber</v>
      </c>
      <c r="G242" s="44" t="s">
        <v>33</v>
      </c>
      <c r="H242" s="44">
        <v>299.0</v>
      </c>
      <c r="I242" s="44">
        <v>4.0</v>
      </c>
      <c r="J242" s="44">
        <v>3.0</v>
      </c>
      <c r="K242" s="164" t="s">
        <v>5220</v>
      </c>
      <c r="L242" s="44">
        <v>0.0</v>
      </c>
      <c r="M242" s="44">
        <v>0.0</v>
      </c>
      <c r="N242" s="166">
        <v>0.0</v>
      </c>
      <c r="O242" s="166">
        <v>0.0</v>
      </c>
      <c r="P242" s="44">
        <v>0.0</v>
      </c>
      <c r="Q242" s="44">
        <v>0.0</v>
      </c>
      <c r="R242" s="44">
        <v>1.0</v>
      </c>
      <c r="S242" s="175"/>
      <c r="T242" s="44">
        <v>0.0</v>
      </c>
      <c r="U242" s="44">
        <v>0.0</v>
      </c>
      <c r="V242" s="44">
        <v>1.0</v>
      </c>
      <c r="W242" s="45"/>
      <c r="X242" s="45"/>
      <c r="Y242" s="45"/>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row>
    <row r="243">
      <c r="A243" s="167">
        <v>1.0</v>
      </c>
      <c r="B243" s="378" t="s">
        <v>5221</v>
      </c>
      <c r="C243" s="55">
        <v>239.0</v>
      </c>
      <c r="D243" s="55">
        <v>6.0</v>
      </c>
      <c r="E243" s="344">
        <v>43713.0</v>
      </c>
      <c r="F243" s="171" t="str">
        <f>HYPERLINK("https://regional.kompas.com/read/2019/05/09/10312451/wali-kota-padang-larang-penayangan-film-kucumbu-tubuh-indahku ","sumber")</f>
        <v>sumber</v>
      </c>
      <c r="G243" s="55" t="s">
        <v>33</v>
      </c>
      <c r="H243" s="55">
        <v>1.0</v>
      </c>
      <c r="I243" s="55">
        <v>4.0</v>
      </c>
      <c r="J243" s="55">
        <v>3.0</v>
      </c>
      <c r="K243" s="172" t="s">
        <v>5222</v>
      </c>
      <c r="L243" s="55">
        <v>0.0</v>
      </c>
      <c r="M243" s="55">
        <v>0.0</v>
      </c>
      <c r="N243" s="173">
        <v>0.0</v>
      </c>
      <c r="O243" s="173">
        <v>0.0</v>
      </c>
      <c r="P243" s="55">
        <v>0.0</v>
      </c>
      <c r="Q243" s="55">
        <v>0.0</v>
      </c>
      <c r="R243" s="55">
        <v>-1.0</v>
      </c>
      <c r="S243" s="174"/>
      <c r="T243" s="55">
        <v>0.0</v>
      </c>
      <c r="U243" s="55">
        <v>0.0</v>
      </c>
      <c r="V243" s="55">
        <v>1.0</v>
      </c>
      <c r="W243" s="46"/>
      <c r="X243" s="46"/>
      <c r="Y243" s="46"/>
      <c r="Z243" s="302"/>
      <c r="AA243" s="367"/>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c r="BB243" s="31"/>
      <c r="BC243" s="31"/>
      <c r="BD243" s="31"/>
      <c r="BE243" s="31"/>
    </row>
    <row r="244">
      <c r="A244" s="167">
        <v>1.0</v>
      </c>
      <c r="B244" s="378" t="s">
        <v>5223</v>
      </c>
      <c r="C244" s="55">
        <v>240.0</v>
      </c>
      <c r="D244" s="55">
        <v>6.0</v>
      </c>
      <c r="E244" s="344">
        <v>43804.0</v>
      </c>
      <c r="F244" s="171" t="str">
        <f>HYPERLINK("https://internasional.kompas.com/read/2019/05/26/21425461/cucu-bapak-pendiri-singapura-nikahi-pasangan-sejenisnya ","sumber")</f>
        <v>sumber</v>
      </c>
      <c r="G244" s="55" t="s">
        <v>33</v>
      </c>
      <c r="H244" s="55">
        <v>2.0</v>
      </c>
      <c r="I244" s="55">
        <v>2.0</v>
      </c>
      <c r="J244" s="55">
        <v>3.0</v>
      </c>
      <c r="K244" s="172" t="s">
        <v>5224</v>
      </c>
      <c r="L244" s="55">
        <v>0.0</v>
      </c>
      <c r="M244" s="55">
        <v>0.0</v>
      </c>
      <c r="N244" s="173">
        <v>0.0</v>
      </c>
      <c r="O244" s="173">
        <v>0.0</v>
      </c>
      <c r="P244" s="55">
        <v>0.0</v>
      </c>
      <c r="Q244" s="55">
        <v>0.0</v>
      </c>
      <c r="R244" s="55">
        <v>1.0</v>
      </c>
      <c r="S244" s="174"/>
      <c r="T244" s="55">
        <v>0.0</v>
      </c>
      <c r="U244" s="55">
        <v>0.0</v>
      </c>
      <c r="V244" s="55">
        <v>1.0</v>
      </c>
      <c r="W244" s="46"/>
      <c r="X244" s="46"/>
      <c r="Y244" s="46"/>
      <c r="Z244" s="302"/>
      <c r="AA244" s="367"/>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c r="BB244" s="31"/>
      <c r="BC244" s="31"/>
      <c r="BD244" s="31"/>
      <c r="BE244" s="31"/>
    </row>
    <row r="245">
      <c r="A245" s="158">
        <v>1.0</v>
      </c>
      <c r="B245" s="390" t="s">
        <v>5225</v>
      </c>
      <c r="C245" s="44">
        <v>241.0</v>
      </c>
      <c r="D245" s="44">
        <v>4.0</v>
      </c>
      <c r="E245" s="44" t="s">
        <v>390</v>
      </c>
      <c r="F245" s="162" t="str">
        <f>HYPERLINK("https://www.liputan6.com/global/read/3969747/saat-taiwan-jadi-negara-asia-pertama-yang-legalkan-pernikahan-sesama-jenis ","sumber")</f>
        <v>sumber</v>
      </c>
      <c r="G245" s="44" t="s">
        <v>33</v>
      </c>
      <c r="H245" s="44">
        <v>446.0</v>
      </c>
      <c r="I245" s="44">
        <v>4.0</v>
      </c>
      <c r="J245" s="44">
        <v>3.0</v>
      </c>
      <c r="K245" s="164" t="s">
        <v>5226</v>
      </c>
      <c r="L245" s="44">
        <v>0.0</v>
      </c>
      <c r="M245" s="44">
        <v>0.0</v>
      </c>
      <c r="N245" s="166">
        <v>0.0</v>
      </c>
      <c r="O245" s="166">
        <v>0.0</v>
      </c>
      <c r="P245" s="44">
        <v>0.0</v>
      </c>
      <c r="Q245" s="44" t="s">
        <v>53</v>
      </c>
      <c r="R245" s="44" t="s">
        <v>869</v>
      </c>
      <c r="S245" s="175"/>
      <c r="T245" s="44">
        <v>0.0</v>
      </c>
      <c r="U245" s="44">
        <v>0.0</v>
      </c>
      <c r="V245" s="44">
        <v>1.0</v>
      </c>
      <c r="W245" s="45"/>
      <c r="X245" s="45"/>
      <c r="Y245" s="45"/>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row>
    <row r="246">
      <c r="A246" s="158">
        <v>1.0</v>
      </c>
      <c r="B246" s="390" t="s">
        <v>5227</v>
      </c>
      <c r="C246" s="44">
        <v>242.0</v>
      </c>
      <c r="D246" s="44">
        <v>1.0</v>
      </c>
      <c r="E246" s="44" t="s">
        <v>237</v>
      </c>
      <c r="F246" s="162" t="str">
        <f>HYPERLINK("https://news.detik.com/berita-jawa-timur/d-4557885/5-pria-terjaring-razia-saat-berbuat-asusila-antar-sesama ","sumber")</f>
        <v>sumber</v>
      </c>
      <c r="G246" s="44" t="s">
        <v>33</v>
      </c>
      <c r="H246" s="44">
        <v>154.0</v>
      </c>
      <c r="I246" s="44">
        <v>1.0</v>
      </c>
      <c r="J246" s="44">
        <v>3.0</v>
      </c>
      <c r="K246" s="164" t="s">
        <v>5228</v>
      </c>
      <c r="L246" s="44">
        <v>0.0</v>
      </c>
      <c r="M246" s="44">
        <v>0.0</v>
      </c>
      <c r="N246" s="166">
        <v>0.0</v>
      </c>
      <c r="O246" s="166">
        <v>0.0</v>
      </c>
      <c r="P246" s="44">
        <v>0.0</v>
      </c>
      <c r="Q246" s="44">
        <v>0.0</v>
      </c>
      <c r="R246" s="44">
        <v>-1.0</v>
      </c>
      <c r="S246" s="175"/>
      <c r="T246" s="44">
        <v>0.0</v>
      </c>
      <c r="U246" s="44">
        <v>0.0</v>
      </c>
      <c r="V246" s="44">
        <v>1.0</v>
      </c>
      <c r="W246" s="45"/>
      <c r="X246" s="45"/>
      <c r="Y246" s="45"/>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row>
    <row r="247">
      <c r="A247" s="152">
        <v>2.0</v>
      </c>
      <c r="B247" s="389" t="s">
        <v>5229</v>
      </c>
      <c r="C247" s="47">
        <v>243.0</v>
      </c>
      <c r="D247" s="47">
        <v>4.0</v>
      </c>
      <c r="E247" s="47" t="s">
        <v>588</v>
      </c>
      <c r="F247" s="156" t="str">
        <f>HYPERLINK("https://hot.liputan6.com/read/3972703/video-ada-panti-jompo-waria-di-indonesia-pertama-di-dunia ","sumber")</f>
        <v>sumber</v>
      </c>
      <c r="G247" s="47" t="s">
        <v>33</v>
      </c>
      <c r="H247" s="47">
        <v>21.0</v>
      </c>
      <c r="I247" s="47">
        <v>2.0</v>
      </c>
      <c r="J247" s="47">
        <v>3.0</v>
      </c>
      <c r="K247" s="157" t="s">
        <v>5110</v>
      </c>
      <c r="L247" s="48"/>
      <c r="M247" s="47"/>
      <c r="N247" s="192"/>
      <c r="O247" s="192"/>
      <c r="P247" s="47"/>
      <c r="Q247" s="48"/>
      <c r="R247" s="48"/>
      <c r="S247" s="165"/>
      <c r="T247" s="47"/>
      <c r="U247" s="47"/>
      <c r="V247" s="47"/>
      <c r="W247" s="48"/>
      <c r="X247" s="48"/>
      <c r="Y247" s="48"/>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row>
    <row r="248">
      <c r="A248" s="167">
        <v>1.0</v>
      </c>
      <c r="B248" s="378" t="s">
        <v>5230</v>
      </c>
      <c r="C248" s="55">
        <v>244.0</v>
      </c>
      <c r="D248" s="55">
        <v>2.0</v>
      </c>
      <c r="E248" s="55" t="s">
        <v>5231</v>
      </c>
      <c r="F248" s="171" t="str">
        <f>HYPERLINK("https://www.cnnindonesia.com/hiburan/20190502125147-220-391340/kontroversial-kucumbu-tubuh-indahku-dirasa-tetap-perlu-ada ","sumber")</f>
        <v>sumber</v>
      </c>
      <c r="G248" s="55" t="s">
        <v>33</v>
      </c>
      <c r="H248" s="55">
        <v>3.0</v>
      </c>
      <c r="I248" s="55">
        <v>3.0</v>
      </c>
      <c r="J248" s="55">
        <v>3.0</v>
      </c>
      <c r="K248" s="347" t="s">
        <v>5232</v>
      </c>
      <c r="L248" s="55">
        <v>0.0</v>
      </c>
      <c r="M248" s="55">
        <v>0.0</v>
      </c>
      <c r="N248" s="173">
        <v>0.0</v>
      </c>
      <c r="O248" s="173">
        <v>0.0</v>
      </c>
      <c r="P248" s="55">
        <v>0.0</v>
      </c>
      <c r="Q248" s="55" t="s">
        <v>61</v>
      </c>
      <c r="R248" s="55" t="s">
        <v>192</v>
      </c>
      <c r="S248" s="174"/>
      <c r="T248" s="55">
        <v>0.0</v>
      </c>
      <c r="U248" s="55">
        <v>0.0</v>
      </c>
      <c r="V248" s="55">
        <v>1.0</v>
      </c>
      <c r="W248" s="46"/>
      <c r="X248" s="46"/>
      <c r="Y248" s="46"/>
      <c r="Z248" s="302"/>
      <c r="AA248" s="367"/>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c r="BA248" s="31"/>
      <c r="BB248" s="31"/>
      <c r="BC248" s="31"/>
      <c r="BD248" s="31"/>
      <c r="BE248" s="31"/>
    </row>
    <row r="249">
      <c r="A249" s="152">
        <v>2.0</v>
      </c>
      <c r="B249" s="389" t="s">
        <v>5233</v>
      </c>
      <c r="C249" s="47">
        <v>245.0</v>
      </c>
      <c r="D249" s="48"/>
      <c r="E249" s="47" t="s">
        <v>4425</v>
      </c>
      <c r="F249" s="156" t="str">
        <f>HYPERLINK("https://index.okezone.com/read/2019/06/13/614/2065994/kontroversi-zakir-naik-penceramah-kondang-yang-bikin-malaysia-dan-india-memanas ","sumber")</f>
        <v>sumber</v>
      </c>
      <c r="G249" s="47" t="s">
        <v>33</v>
      </c>
      <c r="H249" s="48"/>
      <c r="I249" s="48"/>
      <c r="J249" s="48"/>
      <c r="K249" s="165"/>
      <c r="L249" s="48"/>
      <c r="M249" s="48"/>
      <c r="N249" s="48"/>
      <c r="O249" s="48"/>
      <c r="P249" s="48"/>
      <c r="Q249" s="48"/>
      <c r="R249" s="48"/>
      <c r="S249" s="165"/>
      <c r="T249" s="48"/>
      <c r="U249" s="48"/>
      <c r="V249" s="48"/>
      <c r="W249" s="48"/>
      <c r="X249" s="48"/>
      <c r="Y249" s="48"/>
      <c r="Z249" s="338"/>
      <c r="AA249" s="366"/>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row>
    <row r="250">
      <c r="A250" s="167">
        <v>1.0</v>
      </c>
      <c r="B250" s="378" t="s">
        <v>5234</v>
      </c>
      <c r="C250" s="55">
        <v>246.0</v>
      </c>
      <c r="D250" s="55">
        <v>5.0</v>
      </c>
      <c r="E250" s="55" t="s">
        <v>420</v>
      </c>
      <c r="F250" s="171" t="str">
        <f>HYPERLINK("https://tirto.id/kuasa-hukum-polisi-gay-minta-komnas-ham-jadi-ahli-sidang-ptun-dSLj ","sumber")</f>
        <v>sumber</v>
      </c>
      <c r="G250" s="55" t="s">
        <v>33</v>
      </c>
      <c r="H250" s="55">
        <v>2.0</v>
      </c>
      <c r="I250" s="55">
        <v>4.0</v>
      </c>
      <c r="J250" s="55">
        <v>3.0</v>
      </c>
      <c r="K250" s="172" t="s">
        <v>5235</v>
      </c>
      <c r="L250" s="55">
        <v>0.0</v>
      </c>
      <c r="M250" s="55">
        <v>0.0</v>
      </c>
      <c r="N250" s="173">
        <v>0.0</v>
      </c>
      <c r="O250" s="173">
        <v>0.0</v>
      </c>
      <c r="P250" s="55">
        <v>0.0</v>
      </c>
      <c r="Q250" s="55" t="s">
        <v>61</v>
      </c>
      <c r="R250" s="55" t="s">
        <v>192</v>
      </c>
      <c r="S250" s="174"/>
      <c r="T250" s="55">
        <v>0.0</v>
      </c>
      <c r="U250" s="55">
        <v>0.0</v>
      </c>
      <c r="V250" s="55">
        <v>1.0</v>
      </c>
      <c r="W250" s="46"/>
      <c r="X250" s="46"/>
      <c r="Y250" s="46"/>
      <c r="Z250" s="302"/>
      <c r="AA250" s="367"/>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c r="BA250" s="31"/>
      <c r="BB250" s="31"/>
      <c r="BC250" s="31"/>
      <c r="BD250" s="31"/>
      <c r="BE250" s="31"/>
    </row>
    <row r="251">
      <c r="A251" s="152">
        <v>2.0</v>
      </c>
      <c r="B251" s="389" t="s">
        <v>5236</v>
      </c>
      <c r="C251" s="47">
        <v>247.0</v>
      </c>
      <c r="D251" s="48"/>
      <c r="E251" s="47" t="s">
        <v>252</v>
      </c>
      <c r="F251" s="156" t="str">
        <f>HYPERLINK("https://www.cnnindonesia.com/gaya-hidup/20190621125441-269-405238/sambut-hut-jakarta-hari-ini-masuk-ancol-gratis ","sumber")</f>
        <v>sumber</v>
      </c>
      <c r="G251" s="47" t="s">
        <v>33</v>
      </c>
      <c r="H251" s="48"/>
      <c r="I251" s="48"/>
      <c r="J251" s="48"/>
      <c r="K251" s="165"/>
      <c r="L251" s="48"/>
      <c r="M251" s="47"/>
      <c r="N251" s="48"/>
      <c r="O251" s="48"/>
      <c r="P251" s="48"/>
      <c r="Q251" s="48"/>
      <c r="R251" s="48"/>
      <c r="S251" s="165"/>
      <c r="T251" s="48"/>
      <c r="U251" s="48"/>
      <c r="V251" s="48"/>
      <c r="W251" s="48"/>
      <c r="X251" s="48"/>
      <c r="Y251" s="48"/>
      <c r="Z251" s="338"/>
      <c r="AA251" s="366"/>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row>
    <row r="252">
      <c r="A252" s="152">
        <v>2.0</v>
      </c>
      <c r="B252" s="389" t="s">
        <v>5237</v>
      </c>
      <c r="C252" s="47">
        <v>248.0</v>
      </c>
      <c r="D252" s="48"/>
      <c r="E252" s="47" t="s">
        <v>2070</v>
      </c>
      <c r="F252" s="156" t="str">
        <f>HYPERLINK("https://dunia.tempo.co/read/1217611/trump-tidak-siap-kalah-di-pemilihan-presiden-as-2020 ","sumber")</f>
        <v>sumber</v>
      </c>
      <c r="G252" s="47" t="s">
        <v>33</v>
      </c>
      <c r="H252" s="48"/>
      <c r="I252" s="48"/>
      <c r="J252" s="48"/>
      <c r="K252" s="165"/>
      <c r="L252" s="48"/>
      <c r="M252" s="48"/>
      <c r="N252" s="48"/>
      <c r="O252" s="48"/>
      <c r="P252" s="48"/>
      <c r="Q252" s="48"/>
      <c r="R252" s="48"/>
      <c r="S252" s="165"/>
      <c r="T252" s="48"/>
      <c r="U252" s="48"/>
      <c r="V252" s="48"/>
      <c r="W252" s="48"/>
      <c r="X252" s="48"/>
      <c r="Y252" s="48"/>
      <c r="Z252" s="338"/>
      <c r="AA252" s="366"/>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row>
    <row r="253">
      <c r="A253" s="158">
        <v>1.0</v>
      </c>
      <c r="B253" s="390" t="s">
        <v>5238</v>
      </c>
      <c r="C253" s="44">
        <v>249.0</v>
      </c>
      <c r="D253" s="44">
        <v>6.0</v>
      </c>
      <c r="E253" s="44" t="s">
        <v>270</v>
      </c>
      <c r="F253" s="162" t="str">
        <f>HYPERLINK("https://internasional.kompas.com/read/2019/06/25/18015741/usai-bikin-status-facebook-pria-gay-myanmar-bunuh-diri ","sumber")</f>
        <v>sumber</v>
      </c>
      <c r="G253" s="44" t="s">
        <v>33</v>
      </c>
      <c r="H253" s="44">
        <v>288.0</v>
      </c>
      <c r="I253" s="44">
        <v>1.0</v>
      </c>
      <c r="J253" s="44">
        <v>3.0</v>
      </c>
      <c r="K253" s="164" t="s">
        <v>5239</v>
      </c>
      <c r="L253" s="44">
        <v>0.0</v>
      </c>
      <c r="M253" s="44">
        <v>0.0</v>
      </c>
      <c r="N253" s="166">
        <v>0.0</v>
      </c>
      <c r="O253" s="166">
        <v>0.0</v>
      </c>
      <c r="P253" s="44">
        <v>0.0</v>
      </c>
      <c r="Q253" s="44" t="s">
        <v>214</v>
      </c>
      <c r="R253" s="44" t="s">
        <v>192</v>
      </c>
      <c r="S253" s="175"/>
      <c r="T253" s="44">
        <v>0.0</v>
      </c>
      <c r="U253" s="44">
        <v>0.0</v>
      </c>
      <c r="V253" s="44">
        <v>1.0</v>
      </c>
      <c r="W253" s="45"/>
      <c r="X253" s="45"/>
      <c r="Y253" s="45"/>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row>
    <row r="254">
      <c r="A254" s="158">
        <v>1.0</v>
      </c>
      <c r="B254" s="390" t="s">
        <v>5240</v>
      </c>
      <c r="C254" s="44">
        <v>250.0</v>
      </c>
      <c r="D254" s="44">
        <v>10.0</v>
      </c>
      <c r="E254" s="44" t="s">
        <v>270</v>
      </c>
      <c r="F254" s="162" t="str">
        <f>HYPERLINK("https://difabel.tempo.co/read/1218143/menyesap-wangi-kopi-barista-inklusi ","sumber")</f>
        <v>sumber</v>
      </c>
      <c r="G254" s="44" t="s">
        <v>33</v>
      </c>
      <c r="H254" s="44">
        <v>790.0</v>
      </c>
      <c r="I254" s="44">
        <v>3.0</v>
      </c>
      <c r="J254" s="44">
        <v>3.0</v>
      </c>
      <c r="K254" s="164" t="s">
        <v>5241</v>
      </c>
      <c r="L254" s="44">
        <v>0.0</v>
      </c>
      <c r="M254" s="44">
        <v>0.0</v>
      </c>
      <c r="N254" s="166">
        <v>0.0</v>
      </c>
      <c r="O254" s="166">
        <v>0.0</v>
      </c>
      <c r="P254" s="44">
        <v>0.0</v>
      </c>
      <c r="Q254" s="44" t="s">
        <v>5242</v>
      </c>
      <c r="R254" s="44" t="s">
        <v>5243</v>
      </c>
      <c r="S254" s="175"/>
      <c r="T254" s="44">
        <v>0.0</v>
      </c>
      <c r="U254" s="44">
        <v>0.0</v>
      </c>
      <c r="V254" s="44">
        <v>1.0</v>
      </c>
      <c r="W254" s="45"/>
      <c r="X254" s="45"/>
      <c r="Y254" s="45"/>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row>
    <row r="255">
      <c r="A255" s="152">
        <v>2.0</v>
      </c>
      <c r="B255" s="389" t="s">
        <v>5244</v>
      </c>
      <c r="C255" s="47">
        <v>251.0</v>
      </c>
      <c r="D255" s="48"/>
      <c r="E255" s="47" t="s">
        <v>273</v>
      </c>
      <c r="F255" s="156" t="str">
        <f>HYPERLINK("https://gayahidup.republika.co.id/berita/gaya-hidup/kuliner/ptt358328/mengintip-jajanan-lezat-di-festival-makanan-singapura ","sumber")</f>
        <v>sumber</v>
      </c>
      <c r="G255" s="47" t="s">
        <v>33</v>
      </c>
      <c r="H255" s="48"/>
      <c r="I255" s="48"/>
      <c r="J255" s="48"/>
      <c r="K255" s="165"/>
      <c r="L255" s="48"/>
      <c r="M255" s="48"/>
      <c r="N255" s="48"/>
      <c r="O255" s="48"/>
      <c r="P255" s="48"/>
      <c r="Q255" s="48"/>
      <c r="R255" s="48"/>
      <c r="S255" s="165"/>
      <c r="T255" s="48"/>
      <c r="U255" s="48"/>
      <c r="V255" s="48"/>
      <c r="W255" s="48"/>
      <c r="X255" s="48"/>
      <c r="Y255" s="48"/>
      <c r="Z255" s="338"/>
      <c r="AA255" s="366"/>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row>
    <row r="256">
      <c r="A256" s="167">
        <v>1.0</v>
      </c>
      <c r="B256" s="378" t="s">
        <v>5245</v>
      </c>
      <c r="C256" s="55">
        <v>252.0</v>
      </c>
      <c r="D256" s="55">
        <v>2.0</v>
      </c>
      <c r="E256" s="55" t="s">
        <v>841</v>
      </c>
      <c r="F256" s="171" t="str">
        <f>HYPERLINK("https://www.cnnindonesia.com/hiburan/20190629152300-220-407600/elton-john-sebut-vladimir-putin-munafik ","sumber")</f>
        <v>sumber</v>
      </c>
      <c r="G256" s="55" t="s">
        <v>33</v>
      </c>
      <c r="H256" s="46"/>
      <c r="I256" s="55">
        <v>1.0</v>
      </c>
      <c r="J256" s="55">
        <v>3.0</v>
      </c>
      <c r="K256" s="172" t="s">
        <v>5246</v>
      </c>
      <c r="L256" s="55">
        <v>0.0</v>
      </c>
      <c r="M256" s="55">
        <v>0.0</v>
      </c>
      <c r="N256" s="173">
        <v>0.0</v>
      </c>
      <c r="O256" s="173">
        <v>0.0</v>
      </c>
      <c r="P256" s="55">
        <v>0.0</v>
      </c>
      <c r="Q256" s="55" t="s">
        <v>61</v>
      </c>
      <c r="R256" s="55" t="s">
        <v>214</v>
      </c>
      <c r="S256" s="174"/>
      <c r="T256" s="55">
        <v>0.0</v>
      </c>
      <c r="U256" s="55">
        <v>0.0</v>
      </c>
      <c r="V256" s="55">
        <v>1.0</v>
      </c>
      <c r="W256" s="46"/>
      <c r="X256" s="46"/>
      <c r="Y256" s="46"/>
      <c r="Z256" s="302"/>
      <c r="AA256" s="367"/>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c r="BB256" s="31"/>
      <c r="BC256" s="31"/>
      <c r="BD256" s="31"/>
      <c r="BE256" s="31"/>
    </row>
    <row r="257">
      <c r="A257" s="158">
        <v>1.0</v>
      </c>
      <c r="B257" s="390" t="s">
        <v>2424</v>
      </c>
      <c r="C257" s="44">
        <v>253.0</v>
      </c>
      <c r="D257" s="44">
        <v>6.0</v>
      </c>
      <c r="E257" s="268">
        <v>43472.0</v>
      </c>
      <c r="F257" s="162" t="str">
        <f>HYPERLINK("https://regional.kompas.com/read/2019/07/01/18063211/waria-perias-pengantin-cabuli-50-pria-2-orang-masih-pelajar","sumber")</f>
        <v>sumber</v>
      </c>
      <c r="G257" s="44" t="s">
        <v>33</v>
      </c>
      <c r="H257" s="44">
        <v>281.0</v>
      </c>
      <c r="I257" s="44">
        <v>1.0</v>
      </c>
      <c r="J257" s="44">
        <v>3.0</v>
      </c>
      <c r="K257" s="164" t="s">
        <v>5247</v>
      </c>
      <c r="L257" s="44">
        <v>0.0</v>
      </c>
      <c r="M257" s="44">
        <v>-1.0</v>
      </c>
      <c r="N257" s="166">
        <v>0.0</v>
      </c>
      <c r="O257" s="166">
        <v>0.0</v>
      </c>
      <c r="P257" s="44">
        <v>0.0</v>
      </c>
      <c r="Q257" s="44">
        <v>0.0</v>
      </c>
      <c r="R257" s="44">
        <v>1.0</v>
      </c>
      <c r="S257" s="175"/>
      <c r="T257" s="44">
        <v>0.0</v>
      </c>
      <c r="U257" s="44">
        <v>0.0</v>
      </c>
      <c r="V257" s="44">
        <v>1.0</v>
      </c>
      <c r="W257" s="45"/>
      <c r="X257" s="45"/>
      <c r="Y257" s="45"/>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row>
    <row r="258">
      <c r="A258" s="401">
        <v>2.0</v>
      </c>
      <c r="B258" s="378" t="s">
        <v>5248</v>
      </c>
      <c r="C258" s="55">
        <v>254.0</v>
      </c>
      <c r="D258" s="55">
        <v>1.0</v>
      </c>
      <c r="E258" s="402">
        <v>43655.0</v>
      </c>
      <c r="F258" s="194" t="s">
        <v>2198</v>
      </c>
      <c r="G258" s="55" t="s">
        <v>33</v>
      </c>
      <c r="H258" s="55">
        <v>476.0</v>
      </c>
      <c r="I258" s="55">
        <v>1.0</v>
      </c>
      <c r="J258" s="55">
        <v>3.0</v>
      </c>
      <c r="K258" s="172" t="s">
        <v>5249</v>
      </c>
      <c r="L258" s="55">
        <v>0.0</v>
      </c>
      <c r="M258" s="55">
        <v>1.0</v>
      </c>
      <c r="N258" s="55">
        <v>0.0</v>
      </c>
      <c r="O258" s="55">
        <v>0.0</v>
      </c>
      <c r="P258" s="55">
        <v>0.0</v>
      </c>
      <c r="Q258" s="55" t="s">
        <v>90</v>
      </c>
      <c r="R258" s="55" t="s">
        <v>1485</v>
      </c>
      <c r="S258" s="172" t="s">
        <v>748</v>
      </c>
      <c r="T258" s="55">
        <v>1.0</v>
      </c>
      <c r="U258" s="55">
        <v>0.0</v>
      </c>
      <c r="V258" s="55">
        <v>1.0</v>
      </c>
      <c r="W258" s="46"/>
      <c r="X258" s="46"/>
      <c r="Y258" s="46"/>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c r="BA258" s="31"/>
      <c r="BB258" s="31"/>
      <c r="BC258" s="31"/>
      <c r="BD258" s="31"/>
      <c r="BE258" s="31"/>
    </row>
    <row r="259">
      <c r="A259" s="167">
        <v>1.0</v>
      </c>
      <c r="B259" s="378" t="s">
        <v>5250</v>
      </c>
      <c r="C259" s="55">
        <v>255.0</v>
      </c>
      <c r="D259" s="55">
        <v>9.0</v>
      </c>
      <c r="E259" s="344">
        <v>43531.0</v>
      </c>
      <c r="F259" s="171" t="str">
        <f>HYPERLINK("https://nasional.republika.co.id/berita/pv41y5354/pemkot-depok-akan-usulkan-kembali-perda-antilgbt-pada-2020 ","sumber")</f>
        <v>sumber</v>
      </c>
      <c r="G259" s="55" t="s">
        <v>33</v>
      </c>
      <c r="H259" s="55">
        <v>2.0</v>
      </c>
      <c r="I259" s="55">
        <v>4.0</v>
      </c>
      <c r="J259" s="55">
        <v>3.0</v>
      </c>
      <c r="K259" s="172" t="s">
        <v>5251</v>
      </c>
      <c r="L259" s="55">
        <v>0.0</v>
      </c>
      <c r="M259" s="55">
        <v>0.0</v>
      </c>
      <c r="N259" s="173">
        <v>0.0</v>
      </c>
      <c r="O259" s="173">
        <v>0.0</v>
      </c>
      <c r="P259" s="55">
        <v>0.0</v>
      </c>
      <c r="Q259" s="55" t="s">
        <v>61</v>
      </c>
      <c r="R259" s="55" t="s">
        <v>685</v>
      </c>
      <c r="S259" s="174"/>
      <c r="T259" s="55">
        <v>0.0</v>
      </c>
      <c r="U259" s="55">
        <v>0.0</v>
      </c>
      <c r="V259" s="55">
        <v>1.0</v>
      </c>
      <c r="W259" s="46"/>
      <c r="X259" s="46"/>
      <c r="Y259" s="46"/>
      <c r="Z259" s="302"/>
      <c r="AA259" s="367"/>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c r="BA259" s="31"/>
      <c r="BB259" s="31"/>
      <c r="BC259" s="31"/>
      <c r="BD259" s="31"/>
      <c r="BE259" s="31"/>
    </row>
    <row r="260">
      <c r="A260" s="167">
        <v>1.0</v>
      </c>
      <c r="B260" s="378" t="s">
        <v>5252</v>
      </c>
      <c r="C260" s="55">
        <v>256.0</v>
      </c>
      <c r="D260" s="55">
        <v>4.0</v>
      </c>
      <c r="E260" s="344">
        <v>43562.0</v>
      </c>
      <c r="F260" s="171" t="str">
        <f>HYPERLINK("https://www.liputan6.com/showbiz/read/4005033/ikut-parade-di-new-york-city-dena-rachman-tampil-heboh ","sumber")</f>
        <v>sumber</v>
      </c>
      <c r="G260" s="55" t="s">
        <v>33</v>
      </c>
      <c r="H260" s="55">
        <v>183.0</v>
      </c>
      <c r="I260" s="55">
        <v>3.0</v>
      </c>
      <c r="J260" s="55">
        <v>3.0</v>
      </c>
      <c r="K260" s="246" t="s">
        <v>5253</v>
      </c>
      <c r="L260" s="55">
        <v>0.0</v>
      </c>
      <c r="M260" s="55">
        <v>0.0</v>
      </c>
      <c r="N260" s="173">
        <v>0.0</v>
      </c>
      <c r="O260" s="173">
        <v>0.0</v>
      </c>
      <c r="P260" s="55">
        <v>0.0</v>
      </c>
      <c r="Q260" s="55">
        <v>0.0</v>
      </c>
      <c r="R260" s="55">
        <v>1.0</v>
      </c>
      <c r="S260" s="174"/>
      <c r="T260" s="55">
        <v>0.0</v>
      </c>
      <c r="U260" s="55">
        <v>0.0</v>
      </c>
      <c r="V260" s="55">
        <v>0.0</v>
      </c>
      <c r="W260" s="46"/>
      <c r="X260" s="46"/>
      <c r="Y260" s="46"/>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c r="BC260" s="31"/>
      <c r="BD260" s="31"/>
      <c r="BE260" s="31"/>
    </row>
    <row r="261">
      <c r="A261" s="167">
        <v>1.0</v>
      </c>
      <c r="B261" s="341" t="s">
        <v>5254</v>
      </c>
      <c r="C261" s="55">
        <v>257.0</v>
      </c>
      <c r="D261" s="55">
        <v>3.0</v>
      </c>
      <c r="E261" s="344">
        <v>43653.0</v>
      </c>
      <c r="F261" s="171" t="str">
        <f>HYPERLINK("https://news.okezone.com/read/2019/07/27/18/2084425/uskup-siprus-sebut-penyebab-gay-akibat-ibu-hamil-melakukan-seks-anal ","sumber")</f>
        <v>sumber</v>
      </c>
      <c r="G261" s="55" t="s">
        <v>33</v>
      </c>
      <c r="H261" s="55">
        <v>1.0</v>
      </c>
      <c r="I261" s="55">
        <v>3.0</v>
      </c>
      <c r="J261" s="55">
        <v>3.0</v>
      </c>
      <c r="K261" s="172" t="s">
        <v>5255</v>
      </c>
      <c r="L261" s="55">
        <v>0.0</v>
      </c>
      <c r="M261" s="55">
        <v>0.0</v>
      </c>
      <c r="N261" s="173">
        <v>0.0</v>
      </c>
      <c r="O261" s="173">
        <v>0.0</v>
      </c>
      <c r="P261" s="55">
        <v>0.0</v>
      </c>
      <c r="Q261" s="55">
        <v>0.0</v>
      </c>
      <c r="R261" s="55">
        <v>-1.0</v>
      </c>
      <c r="S261" s="174"/>
      <c r="T261" s="55">
        <v>0.0</v>
      </c>
      <c r="U261" s="55">
        <v>0.0</v>
      </c>
      <c r="V261" s="55">
        <v>0.0</v>
      </c>
      <c r="W261" s="46"/>
      <c r="X261" s="46"/>
      <c r="Y261" s="46"/>
      <c r="Z261" s="302"/>
      <c r="AA261" s="367"/>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c r="BB261" s="31"/>
      <c r="BC261" s="31"/>
      <c r="BD261" s="31"/>
      <c r="BE261" s="31"/>
    </row>
    <row r="262">
      <c r="A262" s="167">
        <v>1.0</v>
      </c>
      <c r="B262" s="341" t="s">
        <v>5256</v>
      </c>
      <c r="C262" s="55">
        <v>258.0</v>
      </c>
      <c r="D262" s="55">
        <v>5.0</v>
      </c>
      <c r="E262" s="55" t="s">
        <v>645</v>
      </c>
      <c r="F262" s="171" t="str">
        <f>HYPERLINK("https://tirto.id/jejak-pertama-lesbianisme-dalam-film-indonesia-edFe ","sumber")</f>
        <v>sumber</v>
      </c>
      <c r="G262" s="55" t="s">
        <v>33</v>
      </c>
      <c r="H262" s="55">
        <v>3.0</v>
      </c>
      <c r="I262" s="55">
        <v>2.0</v>
      </c>
      <c r="J262" s="55">
        <v>3.0</v>
      </c>
      <c r="K262" s="172" t="s">
        <v>5257</v>
      </c>
      <c r="L262" s="55">
        <v>0.0</v>
      </c>
      <c r="M262" s="55">
        <v>0.0</v>
      </c>
      <c r="N262" s="173">
        <v>0.0</v>
      </c>
      <c r="O262" s="173">
        <v>0.0</v>
      </c>
      <c r="P262" s="55">
        <v>0.0</v>
      </c>
      <c r="Q262" s="55" t="s">
        <v>61</v>
      </c>
      <c r="R262" s="55" t="s">
        <v>192</v>
      </c>
      <c r="S262" s="174"/>
      <c r="T262" s="55">
        <v>0.0</v>
      </c>
      <c r="U262" s="55">
        <v>0.0</v>
      </c>
      <c r="V262" s="55">
        <v>1.0</v>
      </c>
      <c r="W262" s="46"/>
      <c r="X262" s="46"/>
      <c r="Y262" s="46"/>
      <c r="Z262" s="302"/>
      <c r="AA262" s="367"/>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c r="BB262" s="31"/>
      <c r="BC262" s="31"/>
      <c r="BD262" s="31"/>
      <c r="BE262" s="31"/>
    </row>
    <row r="263">
      <c r="A263" s="158">
        <v>1.0</v>
      </c>
      <c r="B263" s="351" t="s">
        <v>5258</v>
      </c>
      <c r="C263" s="44">
        <v>259.0</v>
      </c>
      <c r="D263" s="44">
        <v>7.0</v>
      </c>
      <c r="E263" s="44" t="s">
        <v>860</v>
      </c>
      <c r="F263" s="162" t="str">
        <f>HYPERLINK("https://www.tribunnews.com/regional/2019/07/14/video-call-tak-senonoh-diam-diam-direkam-pria-di-palopo-ini-jadi-sasaran-pemerasan-waria ","sumber")</f>
        <v>sumber</v>
      </c>
      <c r="G263" s="44" t="s">
        <v>33</v>
      </c>
      <c r="H263" s="44">
        <v>222.0</v>
      </c>
      <c r="I263" s="44">
        <v>1.0</v>
      </c>
      <c r="J263" s="44">
        <v>3.0</v>
      </c>
      <c r="K263" s="164" t="s">
        <v>5259</v>
      </c>
      <c r="L263" s="44">
        <v>0.0</v>
      </c>
      <c r="M263" s="44">
        <v>0.0</v>
      </c>
      <c r="N263" s="166">
        <v>0.0</v>
      </c>
      <c r="O263" s="166">
        <v>0.0</v>
      </c>
      <c r="P263" s="44">
        <v>-1.0</v>
      </c>
      <c r="Q263" s="44">
        <v>0.0</v>
      </c>
      <c r="R263" s="44">
        <v>1.0</v>
      </c>
      <c r="S263" s="175"/>
      <c r="T263" s="44">
        <v>0.0</v>
      </c>
      <c r="U263" s="44">
        <v>0.0</v>
      </c>
      <c r="V263" s="44">
        <v>1.0</v>
      </c>
      <c r="W263" s="45"/>
      <c r="X263" s="45"/>
      <c r="Y263" s="45"/>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row>
    <row r="264">
      <c r="A264" s="152">
        <v>2.0</v>
      </c>
      <c r="B264" s="365" t="s">
        <v>5260</v>
      </c>
      <c r="C264" s="47">
        <v>260.0</v>
      </c>
      <c r="D264" s="48"/>
      <c r="E264" s="47" t="s">
        <v>2441</v>
      </c>
      <c r="F264" s="156" t="str">
        <f>HYPERLINK("https://www.cnnindonesia.com/internasional/20190718152757-106-413301/tak-bela-menteri-terkait-video-seks-anwar-ibrahim-dikritik ","sumber")</f>
        <v>sumber</v>
      </c>
      <c r="G264" s="47" t="s">
        <v>33</v>
      </c>
      <c r="H264" s="48"/>
      <c r="I264" s="48"/>
      <c r="J264" s="48"/>
      <c r="K264" s="165"/>
      <c r="L264" s="48"/>
      <c r="M264" s="48"/>
      <c r="N264" s="48"/>
      <c r="O264" s="48"/>
      <c r="P264" s="48"/>
      <c r="Q264" s="48"/>
      <c r="R264" s="48"/>
      <c r="S264" s="165"/>
      <c r="T264" s="48"/>
      <c r="U264" s="48"/>
      <c r="V264" s="48"/>
      <c r="W264" s="48"/>
      <c r="X264" s="48"/>
      <c r="Y264" s="48"/>
      <c r="Z264" s="338"/>
      <c r="AA264" s="366"/>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row>
    <row r="265">
      <c r="A265" s="158">
        <v>1.0</v>
      </c>
      <c r="B265" s="351" t="s">
        <v>5261</v>
      </c>
      <c r="C265" s="44">
        <v>261.0</v>
      </c>
      <c r="D265" s="44">
        <v>8.0</v>
      </c>
      <c r="E265" s="44" t="s">
        <v>865</v>
      </c>
      <c r="F265" s="162" t="str">
        <f>HYPERLINK("https://jabar.suara.com/read/2019/07/21/130336/cerita-perjuangan-pekerja-seks-di-depok-hingga-waria-positif-hiv ","sumber")</f>
        <v>sumber</v>
      </c>
      <c r="G265" s="44" t="s">
        <v>33</v>
      </c>
      <c r="H265" s="162" t="str">
        <f>HYPERLINK("https://news.detik.com/berita/d-4617341/penjara-bikin-napi-jadi-gay-pernah-menyulut-kontroversi-di-as ","sumber")</f>
        <v>sumber</v>
      </c>
      <c r="I265" s="44">
        <v>2.0</v>
      </c>
      <c r="J265" s="44">
        <v>3.0</v>
      </c>
      <c r="K265" s="164" t="s">
        <v>5262</v>
      </c>
      <c r="L265" s="44">
        <v>0.0</v>
      </c>
      <c r="M265" s="44">
        <v>0.0</v>
      </c>
      <c r="N265" s="166">
        <v>0.0</v>
      </c>
      <c r="O265" s="166">
        <v>0.0</v>
      </c>
      <c r="P265" s="44">
        <v>0.0</v>
      </c>
      <c r="Q265" s="44" t="s">
        <v>191</v>
      </c>
      <c r="R265" s="44" t="s">
        <v>192</v>
      </c>
      <c r="S265" s="175"/>
      <c r="T265" s="44">
        <v>0.0</v>
      </c>
      <c r="U265" s="44">
        <v>0.0</v>
      </c>
      <c r="V265" s="44">
        <v>1.0</v>
      </c>
      <c r="W265" s="45"/>
      <c r="X265" s="45"/>
      <c r="Y265" s="45"/>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row>
    <row r="266">
      <c r="A266" s="158">
        <v>1.0</v>
      </c>
      <c r="B266" s="351" t="s">
        <v>4460</v>
      </c>
      <c r="C266" s="44">
        <v>262.0</v>
      </c>
      <c r="D266" s="44">
        <v>10.0</v>
      </c>
      <c r="E266" s="44" t="s">
        <v>865</v>
      </c>
      <c r="F266" s="162" t="str">
        <f>HYPERLINK("https://metro.tempo.co/read/1226832/tolak-raperda-anti-lgbt-dkr-dpok-usulkan-perda-hivaids ","sumber")</f>
        <v>sumber</v>
      </c>
      <c r="G266" s="44" t="s">
        <v>33</v>
      </c>
      <c r="H266" s="44">
        <v>210.0</v>
      </c>
      <c r="I266" s="44">
        <v>4.0</v>
      </c>
      <c r="J266" s="44">
        <v>3.0</v>
      </c>
      <c r="K266" s="228" t="s">
        <v>5263</v>
      </c>
      <c r="L266" s="44">
        <v>0.0</v>
      </c>
      <c r="M266" s="44">
        <v>0.0</v>
      </c>
      <c r="N266" s="166">
        <v>0.0</v>
      </c>
      <c r="O266" s="166">
        <v>0.0</v>
      </c>
      <c r="P266" s="44">
        <v>0.0</v>
      </c>
      <c r="Q266" s="44">
        <v>0.0</v>
      </c>
      <c r="R266" s="44">
        <v>1.0</v>
      </c>
      <c r="S266" s="175"/>
      <c r="T266" s="44">
        <v>0.0</v>
      </c>
      <c r="U266" s="44">
        <v>0.0</v>
      </c>
      <c r="V266" s="44">
        <v>1.0</v>
      </c>
      <c r="W266" s="45"/>
      <c r="X266" s="45"/>
      <c r="Y266" s="45"/>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row>
    <row r="267" ht="15.75" customHeight="1">
      <c r="A267" s="167">
        <v>1.0</v>
      </c>
      <c r="B267" s="341" t="s">
        <v>5264</v>
      </c>
      <c r="C267" s="55">
        <v>263.0</v>
      </c>
      <c r="D267" s="55">
        <v>6.0</v>
      </c>
      <c r="E267" s="55" t="s">
        <v>2458</v>
      </c>
      <c r="F267" s="171" t="str">
        <f>HYPERLINK("https://olahraga.kompas.com/read/2019/07/14/17262568/satu-lagi-petarung-puteri-lgbt-seganas-amanda-nunes ","sumber")</f>
        <v>sumber</v>
      </c>
      <c r="G267" s="55" t="s">
        <v>33</v>
      </c>
      <c r="H267" s="55">
        <v>1.0</v>
      </c>
      <c r="I267" s="55">
        <v>3.0</v>
      </c>
      <c r="J267" s="55">
        <v>3.0</v>
      </c>
      <c r="K267" s="172"/>
      <c r="L267" s="55">
        <v>0.0</v>
      </c>
      <c r="M267" s="55">
        <v>0.0</v>
      </c>
      <c r="N267" s="173">
        <v>0.0</v>
      </c>
      <c r="O267" s="173">
        <v>0.0</v>
      </c>
      <c r="P267" s="55">
        <v>0.0</v>
      </c>
      <c r="Q267" s="55"/>
      <c r="R267" s="55"/>
      <c r="S267" s="174"/>
      <c r="T267" s="55">
        <v>0.0</v>
      </c>
      <c r="U267" s="55">
        <v>0.0</v>
      </c>
      <c r="V267" s="55">
        <v>0.0</v>
      </c>
      <c r="W267" s="46"/>
      <c r="X267" s="46"/>
      <c r="Y267" s="46"/>
      <c r="Z267" s="302"/>
      <c r="AA267" s="367"/>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c r="BC267" s="31"/>
      <c r="BD267" s="31"/>
      <c r="BE267" s="31"/>
    </row>
    <row r="268">
      <c r="A268" s="167">
        <v>1.0</v>
      </c>
      <c r="B268" s="341" t="s">
        <v>5265</v>
      </c>
      <c r="C268" s="55">
        <v>264.0</v>
      </c>
      <c r="D268" s="55">
        <v>10.0</v>
      </c>
      <c r="E268" s="55" t="s">
        <v>2622</v>
      </c>
      <c r="F268" s="171" t="str">
        <f>HYPERLINK("https://sport.tempo.co/read/1222279/begini-sosok-unik-amanda-nunes-petarung-wanita-terhebat-mma ","sumber")</f>
        <v>sumber</v>
      </c>
      <c r="G268" s="55" t="s">
        <v>33</v>
      </c>
      <c r="H268" s="55">
        <v>1.0</v>
      </c>
      <c r="I268" s="55">
        <v>2.0</v>
      </c>
      <c r="J268" s="55">
        <v>3.0</v>
      </c>
      <c r="K268" s="172"/>
      <c r="L268" s="55">
        <v>0.0</v>
      </c>
      <c r="M268" s="55">
        <v>0.0</v>
      </c>
      <c r="N268" s="173">
        <v>0.0</v>
      </c>
      <c r="O268" s="173">
        <v>0.0</v>
      </c>
      <c r="P268" s="55">
        <v>0.0</v>
      </c>
      <c r="Q268" s="55"/>
      <c r="R268" s="55"/>
      <c r="S268" s="174"/>
      <c r="T268" s="55">
        <v>0.0</v>
      </c>
      <c r="U268" s="55">
        <v>0.0</v>
      </c>
      <c r="V268" s="55">
        <v>0.0</v>
      </c>
      <c r="W268" s="46"/>
      <c r="X268" s="46"/>
      <c r="Y268" s="46"/>
      <c r="Z268" s="30"/>
      <c r="AA268" s="367"/>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c r="BC268" s="31"/>
      <c r="BD268" s="31"/>
      <c r="BE268" s="31"/>
    </row>
    <row r="269">
      <c r="A269" s="167">
        <v>1.0</v>
      </c>
      <c r="B269" s="341" t="s">
        <v>5266</v>
      </c>
      <c r="C269" s="55">
        <v>265.0</v>
      </c>
      <c r="D269" s="55">
        <v>5.0</v>
      </c>
      <c r="E269" s="55" t="s">
        <v>2264</v>
      </c>
      <c r="F269" s="171" t="str">
        <f>HYPERLINK("https://tirto.id/lewat-megan-rapinoe-sepakbola-wanita-bersuara-melawan-diskriminasi-edTp ","sumber")</f>
        <v>sumber</v>
      </c>
      <c r="G269" s="55" t="s">
        <v>33</v>
      </c>
      <c r="H269" s="55">
        <v>3.0</v>
      </c>
      <c r="I269" s="55">
        <v>2.0</v>
      </c>
      <c r="J269" s="55">
        <v>3.0</v>
      </c>
      <c r="K269" s="172" t="s">
        <v>5267</v>
      </c>
      <c r="L269" s="55">
        <v>0.0</v>
      </c>
      <c r="M269" s="55">
        <v>0.0</v>
      </c>
      <c r="N269" s="173">
        <v>0.0</v>
      </c>
      <c r="O269" s="173">
        <v>0.0</v>
      </c>
      <c r="P269" s="55">
        <v>0.0</v>
      </c>
      <c r="Q269" s="55" t="s">
        <v>80</v>
      </c>
      <c r="R269" s="55" t="s">
        <v>54</v>
      </c>
      <c r="S269" s="174"/>
      <c r="T269" s="55">
        <v>0.0</v>
      </c>
      <c r="U269" s="55">
        <v>0.0</v>
      </c>
      <c r="V269" s="55">
        <v>1.0</v>
      </c>
      <c r="W269" s="46"/>
      <c r="X269" s="46"/>
      <c r="Y269" s="46"/>
      <c r="Z269" s="30"/>
      <c r="AA269" s="367"/>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c r="BC269" s="31"/>
      <c r="BD269" s="31"/>
      <c r="BE269" s="31"/>
    </row>
    <row r="270">
      <c r="A270" s="167">
        <v>1.0</v>
      </c>
      <c r="B270" s="341" t="s">
        <v>5268</v>
      </c>
      <c r="C270" s="55">
        <v>266.0</v>
      </c>
      <c r="D270" s="55">
        <v>8.0</v>
      </c>
      <c r="E270" s="344">
        <v>43473.0</v>
      </c>
      <c r="F270" s="171" t="str">
        <f>HYPERLINK("https://www.suara.com/health/2019/08/01/152000/millendaru-sudah-cangkok-rahim-hati-hati-risikonya-bisa-mengancam-jiwa ","sumber")</f>
        <v>sumber</v>
      </c>
      <c r="G270" s="55" t="s">
        <v>33</v>
      </c>
      <c r="H270" s="55">
        <v>2.0</v>
      </c>
      <c r="I270" s="55">
        <v>2.0</v>
      </c>
      <c r="J270" s="55">
        <v>3.0</v>
      </c>
      <c r="K270" s="172" t="s">
        <v>5269</v>
      </c>
      <c r="L270" s="55">
        <v>0.0</v>
      </c>
      <c r="M270" s="55">
        <v>0.0</v>
      </c>
      <c r="N270" s="173">
        <v>0.0</v>
      </c>
      <c r="O270" s="173">
        <v>0.0</v>
      </c>
      <c r="P270" s="55">
        <v>0.0</v>
      </c>
      <c r="Q270" s="55">
        <v>2.0</v>
      </c>
      <c r="R270" s="55">
        <v>0.0</v>
      </c>
      <c r="S270" s="174"/>
      <c r="T270" s="55">
        <v>0.0</v>
      </c>
      <c r="U270" s="55">
        <v>0.0</v>
      </c>
      <c r="V270" s="55">
        <v>0.0</v>
      </c>
      <c r="W270" s="46"/>
      <c r="X270" s="46"/>
      <c r="Y270" s="46"/>
      <c r="Z270" s="30"/>
      <c r="AA270" s="367"/>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c r="BC270" s="31"/>
      <c r="BD270" s="31"/>
      <c r="BE270" s="31"/>
    </row>
    <row r="271">
      <c r="A271" s="158">
        <v>1.0</v>
      </c>
      <c r="B271" s="351" t="s">
        <v>35</v>
      </c>
      <c r="C271" s="44">
        <v>267.0</v>
      </c>
      <c r="D271" s="44">
        <v>1.0</v>
      </c>
      <c r="E271" s="268">
        <v>43504.0</v>
      </c>
      <c r="F271" s="162" t="str">
        <f>HYPERLINK("https://hot.detik.com/celeb/d-4649382/penyesalan-mendalam-aby-respati-pernah-jadi-waria ","sumber")</f>
        <v>sumber</v>
      </c>
      <c r="G271" s="44" t="s">
        <v>33</v>
      </c>
      <c r="H271" s="44">
        <v>192.0</v>
      </c>
      <c r="I271" s="44">
        <v>2.0</v>
      </c>
      <c r="J271" s="44">
        <v>3.0</v>
      </c>
      <c r="K271" s="228" t="s">
        <v>36</v>
      </c>
      <c r="L271" s="44">
        <v>0.0</v>
      </c>
      <c r="M271" s="44">
        <v>0.0</v>
      </c>
      <c r="N271" s="166">
        <v>0.0</v>
      </c>
      <c r="O271" s="166">
        <v>0.0</v>
      </c>
      <c r="P271" s="44">
        <v>0.0</v>
      </c>
      <c r="Q271" s="44">
        <v>0.0</v>
      </c>
      <c r="R271" s="44">
        <v>-1.0</v>
      </c>
      <c r="S271" s="175"/>
      <c r="T271" s="44">
        <v>0.0</v>
      </c>
      <c r="U271" s="44">
        <v>0.0</v>
      </c>
      <c r="V271" s="44">
        <v>0.0</v>
      </c>
      <c r="W271" s="45"/>
      <c r="X271" s="45"/>
      <c r="Y271" s="45"/>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row>
    <row r="272">
      <c r="A272" s="158">
        <v>1.0</v>
      </c>
      <c r="B272" s="351" t="s">
        <v>5270</v>
      </c>
      <c r="C272" s="44">
        <v>268.0</v>
      </c>
      <c r="D272" s="44">
        <v>6.0</v>
      </c>
      <c r="E272" s="268">
        <v>43746.0</v>
      </c>
      <c r="F272" s="162" t="str">
        <f>HYPERLINK("https://regional.kompas.com/read/2019/08/10/16012971/diikat-dan-direkam-seorang-siswa-disuruh-lakukan-seks-menyimpang-oleh-guru ","sumber")</f>
        <v>sumber</v>
      </c>
      <c r="G272" s="44" t="s">
        <v>33</v>
      </c>
      <c r="H272" s="44">
        <v>140.0</v>
      </c>
      <c r="I272" s="44">
        <v>1.0</v>
      </c>
      <c r="J272" s="44">
        <v>1.0</v>
      </c>
      <c r="K272" s="164" t="s">
        <v>5271</v>
      </c>
      <c r="L272" s="44">
        <v>0.0</v>
      </c>
      <c r="M272" s="44">
        <v>-1.0</v>
      </c>
      <c r="N272" s="166">
        <v>0.0</v>
      </c>
      <c r="O272" s="166">
        <v>0.0</v>
      </c>
      <c r="P272" s="44">
        <v>0.0</v>
      </c>
      <c r="Q272" s="44" t="s">
        <v>61</v>
      </c>
      <c r="R272" s="44" t="s">
        <v>685</v>
      </c>
      <c r="S272" s="175"/>
      <c r="T272" s="44">
        <v>0.0</v>
      </c>
      <c r="U272" s="44">
        <v>0.0</v>
      </c>
      <c r="V272" s="44">
        <v>0.0</v>
      </c>
      <c r="W272" s="45"/>
      <c r="X272" s="45"/>
      <c r="Y272" s="45"/>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row>
    <row r="273">
      <c r="A273" s="152">
        <v>2.0</v>
      </c>
      <c r="B273" s="365" t="s">
        <v>5272</v>
      </c>
      <c r="C273" s="47">
        <v>269.0</v>
      </c>
      <c r="D273" s="47">
        <v>7.0</v>
      </c>
      <c r="E273" s="280">
        <v>43746.0</v>
      </c>
      <c r="F273" s="156" t="str">
        <f>HYPERLINK("https://www.tribunnews.com/nasional/2019/08/10/made-urip-anggota-dpr-ri-asal-bali-kembali-jadi-pengurus-dpd-pdip-ketua-bidang-pertanian ","sumber")</f>
        <v>sumber</v>
      </c>
      <c r="G273" s="47" t="s">
        <v>33</v>
      </c>
      <c r="H273" s="48"/>
      <c r="I273" s="48"/>
      <c r="J273" s="48"/>
      <c r="K273" s="165"/>
      <c r="L273" s="48"/>
      <c r="M273" s="48"/>
      <c r="N273" s="48"/>
      <c r="O273" s="48"/>
      <c r="P273" s="48"/>
      <c r="Q273" s="48"/>
      <c r="R273" s="48"/>
      <c r="S273" s="165"/>
      <c r="T273" s="48"/>
      <c r="U273" s="48"/>
      <c r="V273" s="48"/>
      <c r="W273" s="48"/>
      <c r="X273" s="48"/>
      <c r="Y273" s="48"/>
      <c r="Z273" s="338"/>
      <c r="AA273" s="366"/>
      <c r="AB273" s="51"/>
      <c r="AC273" s="51"/>
      <c r="AD273" s="51"/>
      <c r="AE273" s="51"/>
      <c r="AF273" s="51"/>
      <c r="AG273" s="51"/>
      <c r="AH273" s="51"/>
      <c r="AI273" s="51"/>
      <c r="AJ273" s="51"/>
      <c r="AK273" s="51"/>
      <c r="AL273" s="51"/>
      <c r="AM273" s="51"/>
      <c r="AN273" s="51"/>
      <c r="AO273" s="51"/>
      <c r="AP273" s="51"/>
      <c r="AQ273" s="51"/>
      <c r="AR273" s="51"/>
      <c r="AS273" s="51"/>
      <c r="AT273" s="51"/>
      <c r="AU273" s="51"/>
      <c r="AV273" s="51"/>
      <c r="AW273" s="51"/>
      <c r="AX273" s="51"/>
      <c r="AY273" s="51"/>
      <c r="AZ273" s="51"/>
      <c r="BA273" s="51"/>
      <c r="BB273" s="51"/>
      <c r="BC273" s="51"/>
      <c r="BD273" s="51"/>
      <c r="BE273" s="51"/>
    </row>
    <row r="274">
      <c r="A274" s="158">
        <v>1.0</v>
      </c>
      <c r="B274" s="351" t="s">
        <v>5273</v>
      </c>
      <c r="C274" s="44">
        <v>270.0</v>
      </c>
      <c r="D274" s="44">
        <v>7.0</v>
      </c>
      <c r="E274" s="268">
        <v>43777.0</v>
      </c>
      <c r="F274" s="162" t="str">
        <f>HYPERLINK("https://www.tribunnews.com/regional/2019/08/11/aksi-bejat-guru-di-tanjungpinang-paksa-siswanya-lakukan-perbuatan-menyimpang-lalu-sebar-videonya ","sumber")</f>
        <v>sumber</v>
      </c>
      <c r="G274" s="44" t="s">
        <v>33</v>
      </c>
      <c r="H274" s="44">
        <v>215.0</v>
      </c>
      <c r="I274" s="44">
        <v>1.0</v>
      </c>
      <c r="J274" s="44">
        <v>3.0</v>
      </c>
      <c r="K274" s="164" t="s">
        <v>5271</v>
      </c>
      <c r="L274" s="44">
        <v>0.0</v>
      </c>
      <c r="M274" s="44">
        <v>-1.0</v>
      </c>
      <c r="N274" s="166">
        <v>0.0</v>
      </c>
      <c r="O274" s="166">
        <v>0.0</v>
      </c>
      <c r="P274" s="44">
        <v>0.0</v>
      </c>
      <c r="Q274" s="44" t="s">
        <v>61</v>
      </c>
      <c r="R274" s="44" t="s">
        <v>685</v>
      </c>
      <c r="S274" s="175"/>
      <c r="T274" s="44">
        <v>0.0</v>
      </c>
      <c r="U274" s="44">
        <v>0.0</v>
      </c>
      <c r="V274" s="44">
        <v>0.0</v>
      </c>
      <c r="W274" s="45"/>
      <c r="X274" s="45"/>
      <c r="Y274" s="45"/>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row>
    <row r="275">
      <c r="A275" s="158">
        <v>1.0</v>
      </c>
      <c r="B275" s="351" t="s">
        <v>5274</v>
      </c>
      <c r="C275" s="44">
        <v>271.0</v>
      </c>
      <c r="D275" s="44">
        <v>1.0</v>
      </c>
      <c r="E275" s="44" t="s">
        <v>41</v>
      </c>
      <c r="F275" s="162" t="str">
        <f>HYPERLINK("https://news.detik.com/berita/d-4679380/fpi-sebut-ruu-pks-berpotensi-legalkan-lgbt-komnas-perempuan-ndak-nyambung ","sumber")</f>
        <v>sumber</v>
      </c>
      <c r="G275" s="44" t="s">
        <v>33</v>
      </c>
      <c r="H275" s="44">
        <v>437.0</v>
      </c>
      <c r="I275" s="44">
        <v>1.0</v>
      </c>
      <c r="J275" s="44">
        <v>3.0</v>
      </c>
      <c r="K275" s="164" t="s">
        <v>5275</v>
      </c>
      <c r="L275" s="44">
        <v>0.0</v>
      </c>
      <c r="M275" s="44">
        <v>0.0</v>
      </c>
      <c r="N275" s="166">
        <v>0.0</v>
      </c>
      <c r="O275" s="166">
        <v>0.0</v>
      </c>
      <c r="P275" s="44">
        <v>0.0</v>
      </c>
      <c r="Q275" s="44" t="s">
        <v>100</v>
      </c>
      <c r="R275" s="44" t="s">
        <v>780</v>
      </c>
      <c r="S275" s="175"/>
      <c r="T275" s="44">
        <v>0.0</v>
      </c>
      <c r="U275" s="44">
        <v>0.0</v>
      </c>
      <c r="V275" s="44">
        <v>0.0</v>
      </c>
      <c r="W275" s="45"/>
      <c r="X275" s="45"/>
      <c r="Y275" s="45"/>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row>
    <row r="276">
      <c r="A276" s="152">
        <v>2.0</v>
      </c>
      <c r="B276" s="365" t="s">
        <v>5276</v>
      </c>
      <c r="C276" s="47">
        <v>272.0</v>
      </c>
      <c r="D276" s="48"/>
      <c r="E276" s="47" t="s">
        <v>306</v>
      </c>
      <c r="F276" s="156" t="str">
        <f>HYPERLINK("https://celebrity.okezone.com/read/2019/08/25/33/2096463/telepon-genggam-hilang-millendaru-menangis-sesenggukan ","sumber")</f>
        <v>sumber</v>
      </c>
      <c r="G276" s="47" t="s">
        <v>33</v>
      </c>
      <c r="H276" s="48"/>
      <c r="I276" s="48"/>
      <c r="J276" s="48"/>
      <c r="K276" s="165"/>
      <c r="L276" s="48"/>
      <c r="M276" s="48"/>
      <c r="N276" s="48"/>
      <c r="O276" s="48"/>
      <c r="P276" s="48"/>
      <c r="Q276" s="48"/>
      <c r="R276" s="48"/>
      <c r="S276" s="165"/>
      <c r="T276" s="48"/>
      <c r="U276" s="48"/>
      <c r="V276" s="48"/>
      <c r="W276" s="48"/>
      <c r="X276" s="48"/>
      <c r="Y276" s="48"/>
      <c r="Z276" s="338"/>
      <c r="AA276" s="366"/>
      <c r="AB276" s="51"/>
      <c r="AC276" s="51"/>
      <c r="AD276" s="51"/>
      <c r="AE276" s="51"/>
      <c r="AF276" s="51"/>
      <c r="AG276" s="51"/>
      <c r="AH276" s="51"/>
      <c r="AI276" s="51"/>
      <c r="AJ276" s="51"/>
      <c r="AK276" s="51"/>
      <c r="AL276" s="51"/>
      <c r="AM276" s="51"/>
      <c r="AN276" s="51"/>
      <c r="AO276" s="51"/>
      <c r="AP276" s="51"/>
      <c r="AQ276" s="51"/>
      <c r="AR276" s="51"/>
      <c r="AS276" s="51"/>
      <c r="AT276" s="51"/>
      <c r="AU276" s="51"/>
      <c r="AV276" s="51"/>
      <c r="AW276" s="51"/>
      <c r="AX276" s="51"/>
      <c r="AY276" s="51"/>
      <c r="AZ276" s="51"/>
      <c r="BA276" s="51"/>
      <c r="BB276" s="51"/>
      <c r="BC276" s="51"/>
      <c r="BD276" s="51"/>
      <c r="BE276" s="51"/>
    </row>
    <row r="277">
      <c r="A277" s="158">
        <v>1.0</v>
      </c>
      <c r="B277" s="351" t="s">
        <v>5277</v>
      </c>
      <c r="C277" s="44">
        <v>273.0</v>
      </c>
      <c r="D277" s="44">
        <v>4.0</v>
      </c>
      <c r="E277" s="44" t="s">
        <v>310</v>
      </c>
      <c r="F277" s="162" t="str">
        <f>HYPERLINK("https://www.liputan6.com/global/read/4047289/kisah-matematikawan-era-pd-ii-alan-turing-dikebiri-kimia-akibat-homosekual ","sumber")</f>
        <v>sumber</v>
      </c>
      <c r="G277" s="44" t="s">
        <v>33</v>
      </c>
      <c r="H277" s="44">
        <v>356.0</v>
      </c>
      <c r="I277" s="44">
        <v>2.0</v>
      </c>
      <c r="J277" s="44">
        <v>3.0</v>
      </c>
      <c r="K277" s="164" t="s">
        <v>5278</v>
      </c>
      <c r="L277" s="44">
        <v>0.0</v>
      </c>
      <c r="M277" s="44">
        <v>0.0</v>
      </c>
      <c r="N277" s="166">
        <v>0.0</v>
      </c>
      <c r="O277" s="166">
        <v>0.0</v>
      </c>
      <c r="P277" s="44">
        <v>0.0</v>
      </c>
      <c r="Q277" s="44">
        <v>0.0</v>
      </c>
      <c r="R277" s="44">
        <v>0.0</v>
      </c>
      <c r="S277" s="175"/>
      <c r="T277" s="44">
        <v>0.0</v>
      </c>
      <c r="U277" s="44">
        <v>0.0</v>
      </c>
      <c r="V277" s="44">
        <v>0.0</v>
      </c>
      <c r="W277" s="45"/>
      <c r="X277" s="45"/>
      <c r="Y277" s="45"/>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row>
    <row r="278">
      <c r="A278" s="152">
        <v>2.0</v>
      </c>
      <c r="B278" s="365" t="s">
        <v>5279</v>
      </c>
      <c r="C278" s="47">
        <v>274.0</v>
      </c>
      <c r="D278" s="48"/>
      <c r="E278" s="47" t="s">
        <v>310</v>
      </c>
      <c r="F278" s="156" t="str">
        <f>HYPERLINK("https://tirto.id/sinopsis-my-only-one-ep-75-76-drama-trans-tv-hong-sil-minta-maaf-eg2Z ","sumber")</f>
        <v>sumber</v>
      </c>
      <c r="G278" s="47" t="s">
        <v>33</v>
      </c>
      <c r="H278" s="48"/>
      <c r="I278" s="48"/>
      <c r="J278" s="48"/>
      <c r="K278" s="165"/>
      <c r="L278" s="48"/>
      <c r="M278" s="48"/>
      <c r="N278" s="48"/>
      <c r="O278" s="48"/>
      <c r="P278" s="48"/>
      <c r="Q278" s="48"/>
      <c r="R278" s="48"/>
      <c r="S278" s="165"/>
      <c r="T278" s="48"/>
      <c r="U278" s="48"/>
      <c r="V278" s="48"/>
      <c r="W278" s="48"/>
      <c r="X278" s="48"/>
      <c r="Y278" s="48"/>
      <c r="Z278" s="338"/>
      <c r="AA278" s="51"/>
      <c r="AB278" s="51"/>
      <c r="AC278" s="51"/>
      <c r="AD278" s="51"/>
      <c r="AE278" s="51"/>
      <c r="AF278" s="51"/>
      <c r="AG278" s="51"/>
      <c r="AH278" s="51"/>
      <c r="AI278" s="51"/>
      <c r="AJ278" s="51"/>
      <c r="AK278" s="51"/>
      <c r="AL278" s="51"/>
      <c r="AM278" s="51"/>
      <c r="AN278" s="51"/>
      <c r="AO278" s="51"/>
      <c r="AP278" s="51"/>
      <c r="AQ278" s="51"/>
      <c r="AR278" s="51"/>
      <c r="AS278" s="51"/>
      <c r="AT278" s="51"/>
      <c r="AU278" s="51"/>
      <c r="AV278" s="51"/>
      <c r="AW278" s="51"/>
      <c r="AX278" s="51"/>
      <c r="AY278" s="51"/>
      <c r="AZ278" s="51"/>
      <c r="BA278" s="51"/>
      <c r="BB278" s="51"/>
      <c r="BC278" s="51"/>
      <c r="BD278" s="51"/>
      <c r="BE278" s="51"/>
    </row>
    <row r="279">
      <c r="A279" s="158">
        <v>1.0</v>
      </c>
      <c r="B279" s="351" t="s">
        <v>5280</v>
      </c>
      <c r="C279" s="44">
        <v>275.0</v>
      </c>
      <c r="D279" s="44">
        <v>6.0</v>
      </c>
      <c r="E279" s="44" t="s">
        <v>2479</v>
      </c>
      <c r="F279" s="162" t="str">
        <f>HYPERLINK("https://regional.kompas.com/read/2019/08/28/17250171/tak-terima-dihujat-waria-ini-bunuh-pemilik-salon ","sumber")</f>
        <v>sumber</v>
      </c>
      <c r="G279" s="44" t="s">
        <v>33</v>
      </c>
      <c r="H279" s="44">
        <v>270.0</v>
      </c>
      <c r="I279" s="44">
        <v>1.0</v>
      </c>
      <c r="J279" s="44">
        <v>3.0</v>
      </c>
      <c r="K279" s="164" t="s">
        <v>5281</v>
      </c>
      <c r="L279" s="44">
        <v>0.0</v>
      </c>
      <c r="M279" s="44">
        <v>-1.0</v>
      </c>
      <c r="N279" s="166">
        <v>0.0</v>
      </c>
      <c r="O279" s="166">
        <v>0.0</v>
      </c>
      <c r="P279" s="44">
        <v>-1.0</v>
      </c>
      <c r="Q279" s="44">
        <v>0.0</v>
      </c>
      <c r="R279" s="44">
        <v>0.0</v>
      </c>
      <c r="S279" s="175"/>
      <c r="T279" s="44">
        <v>0.0</v>
      </c>
      <c r="U279" s="44">
        <v>0.0</v>
      </c>
      <c r="V279" s="44">
        <v>1.0</v>
      </c>
      <c r="W279" s="45"/>
      <c r="X279" s="45"/>
      <c r="Y279" s="45"/>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row>
    <row r="280">
      <c r="A280" s="152">
        <v>2.0</v>
      </c>
      <c r="B280" s="365" t="s">
        <v>5282</v>
      </c>
      <c r="C280" s="47">
        <v>276.0</v>
      </c>
      <c r="D280" s="48"/>
      <c r="E280" s="47" t="s">
        <v>318</v>
      </c>
      <c r="F280" s="156" t="str">
        <f>HYPERLINK("https://nasional.tempo.co/read/1241693/meski-banyak-kritik-fahri-hamzah-ingin-ruu-kuhp-segera-disahkan ","sumber")</f>
        <v>sumber</v>
      </c>
      <c r="G280" s="47" t="s">
        <v>33</v>
      </c>
      <c r="H280" s="48"/>
      <c r="I280" s="48"/>
      <c r="J280" s="48"/>
      <c r="K280" s="165"/>
      <c r="L280" s="48"/>
      <c r="M280" s="48"/>
      <c r="N280" s="48"/>
      <c r="O280" s="48"/>
      <c r="P280" s="48"/>
      <c r="Q280" s="48"/>
      <c r="R280" s="48"/>
      <c r="S280" s="165"/>
      <c r="T280" s="48"/>
      <c r="U280" s="48"/>
      <c r="V280" s="48"/>
      <c r="W280" s="48"/>
      <c r="X280" s="48"/>
      <c r="Y280" s="48"/>
      <c r="Z280" s="338"/>
      <c r="AA280" s="366"/>
      <c r="AB280" s="51"/>
      <c r="AC280" s="51"/>
      <c r="AD280" s="51"/>
      <c r="AE280" s="51"/>
      <c r="AF280" s="51"/>
      <c r="AG280" s="51"/>
      <c r="AH280" s="51"/>
      <c r="AI280" s="51"/>
      <c r="AJ280" s="51"/>
      <c r="AK280" s="51"/>
      <c r="AL280" s="51"/>
      <c r="AM280" s="51"/>
      <c r="AN280" s="51"/>
      <c r="AO280" s="51"/>
      <c r="AP280" s="51"/>
      <c r="AQ280" s="51"/>
      <c r="AR280" s="51"/>
      <c r="AS280" s="51"/>
      <c r="AT280" s="51"/>
      <c r="AU280" s="51"/>
      <c r="AV280" s="51"/>
      <c r="AW280" s="51"/>
      <c r="AX280" s="51"/>
      <c r="AY280" s="51"/>
      <c r="AZ280" s="51"/>
      <c r="BA280" s="51"/>
      <c r="BB280" s="51"/>
      <c r="BC280" s="51"/>
      <c r="BD280" s="51"/>
      <c r="BE280" s="51"/>
    </row>
    <row r="281">
      <c r="A281" s="158">
        <v>1.0</v>
      </c>
      <c r="B281" s="351" t="s">
        <v>4483</v>
      </c>
      <c r="C281" s="44">
        <v>277.0</v>
      </c>
      <c r="D281" s="44">
        <v>2.0</v>
      </c>
      <c r="E281" s="268">
        <v>43533.0</v>
      </c>
      <c r="F281" s="162" t="str">
        <f>HYPERLINK("https://www.cnnindonesia.com/gaya-hidup/20190902150712-284-426832/studi-bantah-ada-gen-penyebab-gay ","sumber")</f>
        <v>sumber</v>
      </c>
      <c r="G281" s="44" t="s">
        <v>33</v>
      </c>
      <c r="H281" s="44">
        <v>310.0</v>
      </c>
      <c r="I281" s="44">
        <v>5.0</v>
      </c>
      <c r="J281" s="44">
        <v>3.0</v>
      </c>
      <c r="K281" s="164" t="s">
        <v>5283</v>
      </c>
      <c r="L281" s="44">
        <v>0.0</v>
      </c>
      <c r="M281" s="44">
        <v>0.0</v>
      </c>
      <c r="N281" s="166">
        <v>0.0</v>
      </c>
      <c r="O281" s="166">
        <v>0.0</v>
      </c>
      <c r="P281" s="44">
        <v>0.0</v>
      </c>
      <c r="Q281" s="44" t="s">
        <v>53</v>
      </c>
      <c r="R281" s="44" t="s">
        <v>392</v>
      </c>
      <c r="S281" s="175"/>
      <c r="T281" s="44">
        <v>0.0</v>
      </c>
      <c r="U281" s="44">
        <v>0.0</v>
      </c>
      <c r="V281" s="44">
        <v>0.0</v>
      </c>
      <c r="W281" s="45"/>
      <c r="X281" s="45"/>
      <c r="Y281" s="45"/>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row>
    <row r="282">
      <c r="A282" s="152">
        <v>2.0</v>
      </c>
      <c r="B282" s="365" t="s">
        <v>5284</v>
      </c>
      <c r="C282" s="47">
        <v>278.0</v>
      </c>
      <c r="D282" s="48"/>
      <c r="E282" s="280">
        <v>43533.0</v>
      </c>
      <c r="F282" s="156" t="str">
        <f>HYPERLINK("https://index.okezone.com/read/2019/09/03/614/2100306/heboh-hubungan-seksual-di-luar-nikah-halal-ini-4-syaratnya ","sumber")</f>
        <v>sumber</v>
      </c>
      <c r="G282" s="47" t="s">
        <v>33</v>
      </c>
      <c r="H282" s="48"/>
      <c r="I282" s="48"/>
      <c r="J282" s="48"/>
      <c r="K282" s="165"/>
      <c r="L282" s="48"/>
      <c r="M282" s="48"/>
      <c r="N282" s="48"/>
      <c r="O282" s="48"/>
      <c r="P282" s="48"/>
      <c r="Q282" s="48"/>
      <c r="R282" s="48"/>
      <c r="S282" s="165"/>
      <c r="T282" s="48"/>
      <c r="U282" s="48"/>
      <c r="V282" s="48"/>
      <c r="W282" s="48"/>
      <c r="X282" s="48"/>
      <c r="Y282" s="48"/>
      <c r="Z282" s="338"/>
      <c r="AA282" s="366"/>
      <c r="AB282" s="51"/>
      <c r="AC282" s="51"/>
      <c r="AD282" s="51"/>
      <c r="AE282" s="51"/>
      <c r="AF282" s="51"/>
      <c r="AG282" s="51"/>
      <c r="AH282" s="51"/>
      <c r="AI282" s="51"/>
      <c r="AJ282" s="51"/>
      <c r="AK282" s="51"/>
      <c r="AL282" s="51"/>
      <c r="AM282" s="51"/>
      <c r="AN282" s="51"/>
      <c r="AO282" s="51"/>
      <c r="AP282" s="51"/>
      <c r="AQ282" s="51"/>
      <c r="AR282" s="51"/>
      <c r="AS282" s="51"/>
      <c r="AT282" s="51"/>
      <c r="AU282" s="51"/>
      <c r="AV282" s="51"/>
      <c r="AW282" s="51"/>
      <c r="AX282" s="51"/>
      <c r="AY282" s="51"/>
      <c r="AZ282" s="51"/>
      <c r="BA282" s="51"/>
      <c r="BB282" s="51"/>
      <c r="BC282" s="51"/>
      <c r="BD282" s="51"/>
      <c r="BE282" s="51"/>
    </row>
    <row r="283">
      <c r="A283" s="158">
        <v>1.0</v>
      </c>
      <c r="B283" s="351" t="s">
        <v>5285</v>
      </c>
      <c r="C283" s="44">
        <v>279.0</v>
      </c>
      <c r="D283" s="44">
        <v>8.0</v>
      </c>
      <c r="E283" s="268">
        <v>43564.0</v>
      </c>
      <c r="F283" s="162" t="str">
        <f>HYPERLINK("https://www.suara.com/news/2019/09/04/060000/dosen-gay-yang-digerebek-warga-ternyata-staf-pengajar-di-fkip-umsb ","sumber")</f>
        <v>sumber</v>
      </c>
      <c r="G283" s="44" t="s">
        <v>33</v>
      </c>
      <c r="H283" s="44">
        <v>269.0</v>
      </c>
      <c r="I283" s="44">
        <v>1.0</v>
      </c>
      <c r="J283" s="44">
        <v>3.0</v>
      </c>
      <c r="K283" s="164" t="s">
        <v>5286</v>
      </c>
      <c r="L283" s="44">
        <v>0.0</v>
      </c>
      <c r="M283" s="44">
        <v>0.0</v>
      </c>
      <c r="N283" s="166">
        <v>0.0</v>
      </c>
      <c r="O283" s="166">
        <v>0.0</v>
      </c>
      <c r="P283" s="44">
        <v>0.0</v>
      </c>
      <c r="Q283" s="44">
        <v>0.0</v>
      </c>
      <c r="R283" s="44">
        <v>-1.0</v>
      </c>
      <c r="S283" s="175"/>
      <c r="T283" s="44">
        <v>0.0</v>
      </c>
      <c r="U283" s="44">
        <v>0.0</v>
      </c>
      <c r="V283" s="44">
        <v>1.0</v>
      </c>
      <c r="W283" s="45"/>
      <c r="X283" s="45"/>
      <c r="Y283" s="45"/>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row>
    <row r="284">
      <c r="A284" s="158">
        <v>1.0</v>
      </c>
      <c r="B284" s="351" t="s">
        <v>5287</v>
      </c>
      <c r="C284" s="44">
        <v>280.0</v>
      </c>
      <c r="D284" s="44">
        <v>5.0</v>
      </c>
      <c r="E284" s="268">
        <v>43564.0</v>
      </c>
      <c r="F284" s="162" t="str">
        <f>HYPERLINK("https://tirto.id/salah-kaprah-ruqyah-menyembuhkan-lgbt-yang-nirfaedah-ehtE ","sumber")</f>
        <v>sumber</v>
      </c>
      <c r="G284" s="44" t="s">
        <v>33</v>
      </c>
      <c r="H284" s="44">
        <v>2284.0</v>
      </c>
      <c r="I284" s="44">
        <v>2.0</v>
      </c>
      <c r="J284" s="44">
        <v>3.0</v>
      </c>
      <c r="K284" s="164" t="s">
        <v>5288</v>
      </c>
      <c r="L284" s="44">
        <v>0.0</v>
      </c>
      <c r="M284" s="44">
        <v>0.0</v>
      </c>
      <c r="N284" s="166">
        <v>0.0</v>
      </c>
      <c r="O284" s="166">
        <v>0.0</v>
      </c>
      <c r="P284" s="44">
        <v>0.0</v>
      </c>
      <c r="Q284" s="44" t="s">
        <v>5289</v>
      </c>
      <c r="R284" s="44" t="s">
        <v>5290</v>
      </c>
      <c r="S284" s="175"/>
      <c r="T284" s="44">
        <v>0.0</v>
      </c>
      <c r="U284" s="44">
        <v>0.0</v>
      </c>
      <c r="V284" s="44">
        <v>0.0</v>
      </c>
      <c r="W284" s="45"/>
      <c r="X284" s="45"/>
      <c r="Y284" s="45"/>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row>
    <row r="285">
      <c r="A285" s="158">
        <v>1.0</v>
      </c>
      <c r="B285" s="351" t="s">
        <v>5291</v>
      </c>
      <c r="C285" s="44">
        <v>281.0</v>
      </c>
      <c r="D285" s="44">
        <v>8.0</v>
      </c>
      <c r="E285" s="44" t="s">
        <v>5292</v>
      </c>
      <c r="F285" s="162" t="str">
        <f>HYPERLINK("https://www.suara.com/news/2019/09/23/092221/pasangan-lgbt-ketangkap-basah-main-cabul-di-tengah-taman-pagaruyung ","sumber")</f>
        <v>sumber</v>
      </c>
      <c r="G285" s="44" t="s">
        <v>33</v>
      </c>
      <c r="H285" s="44">
        <v>301.0</v>
      </c>
      <c r="I285" s="44">
        <v>1.0</v>
      </c>
      <c r="J285" s="44">
        <v>3.0</v>
      </c>
      <c r="K285" s="164" t="s">
        <v>5293</v>
      </c>
      <c r="L285" s="44">
        <v>0.0</v>
      </c>
      <c r="M285" s="44">
        <v>0.0</v>
      </c>
      <c r="N285" s="166">
        <v>0.0</v>
      </c>
      <c r="O285" s="166">
        <v>0.0</v>
      </c>
      <c r="P285" s="44">
        <v>0.0</v>
      </c>
      <c r="Q285" s="44">
        <v>0.0</v>
      </c>
      <c r="R285" s="44">
        <v>1.0</v>
      </c>
      <c r="S285" s="175"/>
      <c r="T285" s="44">
        <v>0.0</v>
      </c>
      <c r="U285" s="44">
        <v>0.0</v>
      </c>
      <c r="V285" s="44">
        <v>1.0</v>
      </c>
      <c r="W285" s="45"/>
      <c r="X285" s="45"/>
      <c r="Y285" s="45"/>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row>
    <row r="286">
      <c r="A286" s="403">
        <v>1.0</v>
      </c>
      <c r="B286" s="404" t="s">
        <v>71</v>
      </c>
      <c r="C286" s="188">
        <v>282.0</v>
      </c>
      <c r="D286" s="188">
        <v>4.0</v>
      </c>
      <c r="E286" s="188" t="s">
        <v>681</v>
      </c>
      <c r="F286" s="393" t="str">
        <f>HYPERLINK("https://www.liputan6.com/showbiz/read/4073943/pengakuan-lucinta-luna-tentang-muhammad-fatah ","sumber")</f>
        <v>sumber</v>
      </c>
      <c r="G286" s="188" t="s">
        <v>33</v>
      </c>
      <c r="H286" s="188">
        <v>2.0</v>
      </c>
      <c r="I286" s="188">
        <v>2.0</v>
      </c>
      <c r="J286" s="188">
        <v>3.0</v>
      </c>
      <c r="K286" s="394" t="s">
        <v>5294</v>
      </c>
      <c r="L286" s="188">
        <v>0.0</v>
      </c>
      <c r="M286" s="188">
        <v>0.0</v>
      </c>
      <c r="N286" s="395">
        <v>0.0</v>
      </c>
      <c r="O286" s="395">
        <v>0.0</v>
      </c>
      <c r="P286" s="188">
        <v>0.0</v>
      </c>
      <c r="Q286" s="188" t="s">
        <v>277</v>
      </c>
      <c r="R286" s="188" t="s">
        <v>5295</v>
      </c>
      <c r="S286" s="396"/>
      <c r="T286" s="188">
        <v>0.0</v>
      </c>
      <c r="U286" s="188">
        <v>0.0</v>
      </c>
      <c r="V286" s="188">
        <v>0.0</v>
      </c>
      <c r="W286" s="397"/>
      <c r="X286" s="397"/>
      <c r="Y286" s="397"/>
      <c r="Z286" s="405"/>
      <c r="AA286" s="405"/>
      <c r="AB286" s="405"/>
      <c r="AC286" s="405"/>
      <c r="AD286" s="405"/>
      <c r="AE286" s="405"/>
      <c r="AF286" s="405"/>
      <c r="AG286" s="405"/>
      <c r="AH286" s="405"/>
      <c r="AI286" s="405"/>
      <c r="AJ286" s="405"/>
      <c r="AK286" s="405"/>
      <c r="AL286" s="405"/>
      <c r="AM286" s="405"/>
      <c r="AN286" s="405"/>
      <c r="AO286" s="405"/>
      <c r="AP286" s="405"/>
      <c r="AQ286" s="405"/>
      <c r="AR286" s="405"/>
      <c r="AS286" s="405"/>
      <c r="AT286" s="405"/>
      <c r="AU286" s="405"/>
      <c r="AV286" s="405"/>
      <c r="AW286" s="405"/>
      <c r="AX286" s="405"/>
      <c r="AY286" s="405"/>
      <c r="AZ286" s="405"/>
      <c r="BA286" s="405"/>
      <c r="BB286" s="405"/>
      <c r="BC286" s="405"/>
      <c r="BD286" s="405"/>
      <c r="BE286" s="405"/>
    </row>
    <row r="287">
      <c r="A287" s="152">
        <v>2.0</v>
      </c>
      <c r="B287" s="365" t="s">
        <v>1610</v>
      </c>
      <c r="C287" s="47">
        <v>283.0</v>
      </c>
      <c r="D287" s="48"/>
      <c r="E287" s="280">
        <v>43586.0</v>
      </c>
      <c r="F287" s="156" t="str">
        <f>HYPERLINK("https://regional.kompas.com/read/2019/01/05/19580821/polisi-sekali-kencan-dengan-artis-va-tarifnya-rp-80-juta ","sumber")</f>
        <v>sumber</v>
      </c>
      <c r="G287" s="47" t="s">
        <v>33</v>
      </c>
      <c r="H287" s="48"/>
      <c r="I287" s="48"/>
      <c r="J287" s="48"/>
      <c r="K287" s="165"/>
      <c r="L287" s="48"/>
      <c r="M287" s="48"/>
      <c r="N287" s="48"/>
      <c r="O287" s="48"/>
      <c r="P287" s="48"/>
      <c r="Q287" s="48"/>
      <c r="R287" s="48"/>
      <c r="S287" s="165"/>
      <c r="T287" s="48"/>
      <c r="U287" s="48"/>
      <c r="V287" s="48"/>
      <c r="W287" s="48"/>
      <c r="X287" s="48"/>
      <c r="Y287" s="48"/>
      <c r="Z287" s="338"/>
      <c r="AA287" s="366"/>
      <c r="AB287" s="51"/>
      <c r="AC287" s="51"/>
      <c r="AD287" s="51"/>
      <c r="AE287" s="51"/>
      <c r="AF287" s="51"/>
      <c r="AG287" s="51"/>
      <c r="AH287" s="51"/>
      <c r="AI287" s="51"/>
      <c r="AJ287" s="51"/>
      <c r="AK287" s="51"/>
      <c r="AL287" s="51"/>
      <c r="AM287" s="51"/>
      <c r="AN287" s="51"/>
      <c r="AO287" s="51"/>
      <c r="AP287" s="51"/>
      <c r="AQ287" s="51"/>
      <c r="AR287" s="51"/>
      <c r="AS287" s="51"/>
      <c r="AT287" s="51"/>
      <c r="AU287" s="51"/>
      <c r="AV287" s="51"/>
      <c r="AW287" s="51"/>
      <c r="AX287" s="51"/>
      <c r="AY287" s="51"/>
      <c r="AZ287" s="51"/>
      <c r="BA287" s="51"/>
      <c r="BB287" s="51"/>
      <c r="BC287" s="51"/>
      <c r="BD287" s="51"/>
      <c r="BE287" s="51"/>
    </row>
    <row r="288">
      <c r="A288" s="152">
        <v>2.0</v>
      </c>
      <c r="B288" s="365" t="s">
        <v>5296</v>
      </c>
      <c r="C288" s="47">
        <v>284.0</v>
      </c>
      <c r="D288" s="48"/>
      <c r="E288" s="280">
        <v>43617.0</v>
      </c>
      <c r="F288" s="156" t="str">
        <f>HYPERLINK("https://celebrity.okezone.com/read/2019/01/06/33/2000565/unggahan-didi-mahardika-disinyalir-sindir-penangkapan-vanessa-angel ","sumber")</f>
        <v>sumber</v>
      </c>
      <c r="G288" s="47" t="s">
        <v>33</v>
      </c>
      <c r="H288" s="48"/>
      <c r="I288" s="48"/>
      <c r="J288" s="48"/>
      <c r="K288" s="165"/>
      <c r="L288" s="48"/>
      <c r="M288" s="48"/>
      <c r="N288" s="48"/>
      <c r="O288" s="48"/>
      <c r="P288" s="48"/>
      <c r="Q288" s="48"/>
      <c r="R288" s="48"/>
      <c r="S288" s="165"/>
      <c r="T288" s="48"/>
      <c r="U288" s="48"/>
      <c r="V288" s="48"/>
      <c r="W288" s="48"/>
      <c r="X288" s="48"/>
      <c r="Y288" s="48"/>
      <c r="Z288" s="338"/>
      <c r="AA288" s="366"/>
      <c r="AB288" s="51"/>
      <c r="AC288" s="51"/>
      <c r="AD288" s="51"/>
      <c r="AE288" s="51"/>
      <c r="AF288" s="51"/>
      <c r="AG288" s="51"/>
      <c r="AH288" s="51"/>
      <c r="AI288" s="51"/>
      <c r="AJ288" s="51"/>
      <c r="AK288" s="51"/>
      <c r="AL288" s="51"/>
      <c r="AM288" s="51"/>
      <c r="AN288" s="51"/>
      <c r="AO288" s="51"/>
      <c r="AP288" s="51"/>
      <c r="AQ288" s="51"/>
      <c r="AR288" s="51"/>
      <c r="AS288" s="51"/>
      <c r="AT288" s="51"/>
      <c r="AU288" s="51"/>
      <c r="AV288" s="51"/>
      <c r="AW288" s="51"/>
      <c r="AX288" s="51"/>
      <c r="AY288" s="51"/>
      <c r="AZ288" s="51"/>
      <c r="BA288" s="51"/>
      <c r="BB288" s="51"/>
      <c r="BC288" s="51"/>
      <c r="BD288" s="51"/>
      <c r="BE288" s="51"/>
    </row>
    <row r="289">
      <c r="A289" s="152">
        <v>2.0</v>
      </c>
      <c r="B289" s="365" t="s">
        <v>5297</v>
      </c>
      <c r="C289" s="47">
        <v>285.0</v>
      </c>
      <c r="D289" s="48"/>
      <c r="E289" s="280">
        <v>43647.0</v>
      </c>
      <c r="F289" s="156" t="str">
        <f>HYPERLINK("https://www.suara.com/news/2019/01/07/132655/orang-asing-pesan-jasa-seks-artis-dan-model-mucikari-vanessa-angel ","sumber")</f>
        <v>sumber</v>
      </c>
      <c r="G289" s="47" t="s">
        <v>33</v>
      </c>
      <c r="H289" s="48"/>
      <c r="I289" s="48"/>
      <c r="J289" s="48"/>
      <c r="K289" s="165"/>
      <c r="L289" s="48"/>
      <c r="M289" s="48"/>
      <c r="N289" s="48"/>
      <c r="O289" s="48"/>
      <c r="P289" s="47" t="s">
        <v>5110</v>
      </c>
      <c r="Q289" s="48"/>
      <c r="R289" s="48"/>
      <c r="S289" s="165"/>
      <c r="T289" s="48"/>
      <c r="U289" s="48"/>
      <c r="V289" s="48"/>
      <c r="W289" s="48"/>
      <c r="X289" s="48"/>
      <c r="Y289" s="48"/>
      <c r="Z289" s="338"/>
      <c r="AA289" s="366"/>
      <c r="AB289" s="51"/>
      <c r="AC289" s="51"/>
      <c r="AD289" s="51"/>
      <c r="AE289" s="51"/>
      <c r="AF289" s="51"/>
      <c r="AG289" s="51"/>
      <c r="AH289" s="51"/>
      <c r="AI289" s="51"/>
      <c r="AJ289" s="51"/>
      <c r="AK289" s="51"/>
      <c r="AL289" s="51"/>
      <c r="AM289" s="51"/>
      <c r="AN289" s="51"/>
      <c r="AO289" s="51"/>
      <c r="AP289" s="51"/>
      <c r="AQ289" s="51"/>
      <c r="AR289" s="51"/>
      <c r="AS289" s="51"/>
      <c r="AT289" s="51"/>
      <c r="AU289" s="51"/>
      <c r="AV289" s="51"/>
      <c r="AW289" s="51"/>
      <c r="AX289" s="51"/>
      <c r="AY289" s="51"/>
      <c r="AZ289" s="51"/>
      <c r="BA289" s="51"/>
      <c r="BB289" s="51"/>
      <c r="BC289" s="51"/>
      <c r="BD289" s="51"/>
      <c r="BE289" s="51"/>
    </row>
    <row r="290">
      <c r="A290" s="158">
        <v>1.0</v>
      </c>
      <c r="B290" s="351" t="s">
        <v>5298</v>
      </c>
      <c r="C290" s="44">
        <v>286.0</v>
      </c>
      <c r="D290" s="44">
        <v>7.0</v>
      </c>
      <c r="E290" s="268">
        <v>43678.0</v>
      </c>
      <c r="F290" s="162" t="str">
        <f>HYPERLINK("http://www.tribunnews.com/nasional/2019/01/08/korban-dugaan-perkosaan-dewas-bpjs-ketenagakerjaan-saya-bertahan-dua-tahun-karena-takut ","sumber")</f>
        <v>sumber</v>
      </c>
      <c r="G290" s="44" t="s">
        <v>33</v>
      </c>
      <c r="H290" s="44">
        <v>315.0</v>
      </c>
      <c r="I290" s="44">
        <v>1.0</v>
      </c>
      <c r="J290" s="44">
        <v>1.0</v>
      </c>
      <c r="K290" s="164" t="s">
        <v>5299</v>
      </c>
      <c r="L290" s="44">
        <v>0.0</v>
      </c>
      <c r="M290" s="44">
        <v>1.0</v>
      </c>
      <c r="N290" s="166">
        <v>0.0</v>
      </c>
      <c r="O290" s="44">
        <v>0.0</v>
      </c>
      <c r="P290" s="44">
        <v>0.0</v>
      </c>
      <c r="Q290" s="44">
        <v>2.0</v>
      </c>
      <c r="R290" s="44">
        <v>1.0</v>
      </c>
      <c r="S290" s="175"/>
      <c r="T290" s="44">
        <v>0.0</v>
      </c>
      <c r="U290" s="44">
        <v>0.0</v>
      </c>
      <c r="V290" s="44">
        <v>1.0</v>
      </c>
      <c r="W290" s="45"/>
      <c r="X290" s="45"/>
      <c r="Y290" s="45"/>
      <c r="Z290" s="52"/>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row>
    <row r="291">
      <c r="A291" s="167">
        <v>1.0</v>
      </c>
      <c r="B291" s="341" t="s">
        <v>5300</v>
      </c>
      <c r="C291" s="55">
        <v>287.0</v>
      </c>
      <c r="D291" s="55">
        <v>7.0</v>
      </c>
      <c r="E291" s="344">
        <v>43739.0</v>
      </c>
      <c r="F291" s="171" t="str">
        <f>HYPERLINK("http://www.tribunnews.com/internasional/2019/01/10/pendiri-situs-porno-korsel-dipenjara-dan-denda-rp176-miliar ","sumber")</f>
        <v>sumber</v>
      </c>
      <c r="G291" s="55" t="s">
        <v>33</v>
      </c>
      <c r="H291" s="55">
        <v>2.0</v>
      </c>
      <c r="I291" s="55">
        <v>4.0</v>
      </c>
      <c r="J291" s="55">
        <v>1.0</v>
      </c>
      <c r="K291" s="172"/>
      <c r="L291" s="55">
        <v>0.0</v>
      </c>
      <c r="M291" s="55">
        <v>0.0</v>
      </c>
      <c r="N291" s="173">
        <v>0.0</v>
      </c>
      <c r="O291" s="173">
        <v>0.0</v>
      </c>
      <c r="P291" s="55">
        <v>0.0</v>
      </c>
      <c r="Q291" s="55"/>
      <c r="R291" s="55"/>
      <c r="S291" s="174"/>
      <c r="T291" s="55">
        <v>0.0</v>
      </c>
      <c r="U291" s="55">
        <v>0.0</v>
      </c>
      <c r="V291" s="55">
        <v>1.0</v>
      </c>
      <c r="W291" s="46"/>
      <c r="X291" s="46"/>
      <c r="Y291" s="46"/>
      <c r="Z291" s="302"/>
      <c r="AA291" s="367"/>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c r="BA291" s="31"/>
      <c r="BB291" s="31"/>
      <c r="BC291" s="31"/>
      <c r="BD291" s="31"/>
      <c r="BE291" s="31"/>
    </row>
    <row r="292">
      <c r="A292" s="152">
        <v>2.0</v>
      </c>
      <c r="B292" s="365" t="s">
        <v>1621</v>
      </c>
      <c r="C292" s="47">
        <v>288.0</v>
      </c>
      <c r="D292" s="48"/>
      <c r="E292" s="47" t="s">
        <v>689</v>
      </c>
      <c r="F292" s="156" t="str">
        <f>HYPERLINK("https://www.liputan6.com/showbiz/read/3870767/polda-jatim-kirim-surat-panggilan-kasus-dugaan-prostitusi-online-2-model-respons ","sumber")</f>
        <v>sumber</v>
      </c>
      <c r="G292" s="47" t="s">
        <v>33</v>
      </c>
      <c r="H292" s="48"/>
      <c r="I292" s="48"/>
      <c r="J292" s="48"/>
      <c r="K292" s="165"/>
      <c r="L292" s="48"/>
      <c r="M292" s="48"/>
      <c r="N292" s="48"/>
      <c r="O292" s="48"/>
      <c r="P292" s="48"/>
      <c r="Q292" s="48"/>
      <c r="R292" s="48"/>
      <c r="S292" s="165"/>
      <c r="T292" s="48"/>
      <c r="U292" s="48"/>
      <c r="V292" s="48"/>
      <c r="W292" s="48"/>
      <c r="X292" s="48"/>
      <c r="Y292" s="48"/>
      <c r="Z292" s="338"/>
      <c r="AA292" s="366"/>
      <c r="AB292" s="51"/>
      <c r="AC292" s="51"/>
      <c r="AD292" s="51"/>
      <c r="AE292" s="51"/>
      <c r="AF292" s="51"/>
      <c r="AG292" s="51"/>
      <c r="AH292" s="51"/>
      <c r="AI292" s="51"/>
      <c r="AJ292" s="51"/>
      <c r="AK292" s="51"/>
      <c r="AL292" s="51"/>
      <c r="AM292" s="51"/>
      <c r="AN292" s="51"/>
      <c r="AO292" s="51"/>
      <c r="AP292" s="51"/>
      <c r="AQ292" s="51"/>
      <c r="AR292" s="51"/>
      <c r="AS292" s="51"/>
      <c r="AT292" s="51"/>
      <c r="AU292" s="51"/>
      <c r="AV292" s="51"/>
      <c r="AW292" s="51"/>
      <c r="AX292" s="51"/>
      <c r="AY292" s="51"/>
      <c r="AZ292" s="51"/>
      <c r="BA292" s="51"/>
      <c r="BB292" s="51"/>
      <c r="BC292" s="51"/>
      <c r="BD292" s="51"/>
      <c r="BE292" s="51"/>
    </row>
    <row r="293">
      <c r="A293" s="403">
        <v>1.0</v>
      </c>
      <c r="B293" s="404" t="s">
        <v>5301</v>
      </c>
      <c r="C293" s="188">
        <v>289.0</v>
      </c>
      <c r="D293" s="188">
        <v>3.0</v>
      </c>
      <c r="E293" s="188" t="s">
        <v>5302</v>
      </c>
      <c r="F293" s="393" t="str">
        <f>HYPERLINK("https://lifestyle.okezone.com/read/2019/01/15/194/2004826/gebetan-baru-harry-styles-kiko-mizuhara-berbagi-kisah-kelam-dunia-modelling ","sumber")</f>
        <v>sumber</v>
      </c>
      <c r="G293" s="188" t="s">
        <v>33</v>
      </c>
      <c r="H293" s="188">
        <v>2.0</v>
      </c>
      <c r="I293" s="188">
        <v>2.0</v>
      </c>
      <c r="J293" s="188">
        <v>1.0</v>
      </c>
      <c r="K293" s="394" t="s">
        <v>5303</v>
      </c>
      <c r="L293" s="188">
        <v>0.0</v>
      </c>
      <c r="M293" s="188">
        <v>0.0</v>
      </c>
      <c r="N293" s="395">
        <v>0.0</v>
      </c>
      <c r="O293" s="395">
        <v>0.0</v>
      </c>
      <c r="P293" s="188">
        <v>0.0</v>
      </c>
      <c r="Q293" s="188">
        <v>2.0</v>
      </c>
      <c r="R293" s="188">
        <v>1.0</v>
      </c>
      <c r="S293" s="396"/>
      <c r="T293" s="188">
        <v>0.0</v>
      </c>
      <c r="U293" s="188">
        <v>0.0</v>
      </c>
      <c r="V293" s="188">
        <v>1.0</v>
      </c>
      <c r="W293" s="397"/>
      <c r="X293" s="397"/>
      <c r="Y293" s="397"/>
      <c r="Z293" s="405"/>
      <c r="AA293" s="405"/>
      <c r="AB293" s="405"/>
      <c r="AC293" s="405"/>
      <c r="AD293" s="405"/>
      <c r="AE293" s="405"/>
      <c r="AF293" s="405"/>
      <c r="AG293" s="405"/>
      <c r="AH293" s="405"/>
      <c r="AI293" s="405"/>
      <c r="AJ293" s="405"/>
      <c r="AK293" s="405"/>
      <c r="AL293" s="405"/>
      <c r="AM293" s="405"/>
      <c r="AN293" s="405"/>
      <c r="AO293" s="405"/>
      <c r="AP293" s="405"/>
      <c r="AQ293" s="405"/>
      <c r="AR293" s="405"/>
      <c r="AS293" s="405"/>
      <c r="AT293" s="405"/>
      <c r="AU293" s="405"/>
      <c r="AV293" s="405"/>
      <c r="AW293" s="405"/>
      <c r="AX293" s="405"/>
      <c r="AY293" s="405"/>
      <c r="AZ293" s="405"/>
      <c r="BA293" s="405"/>
      <c r="BB293" s="405"/>
      <c r="BC293" s="405"/>
      <c r="BD293" s="405"/>
      <c r="BE293" s="405"/>
    </row>
    <row r="294">
      <c r="A294" s="152">
        <v>2.0</v>
      </c>
      <c r="B294" s="365" t="s">
        <v>5304</v>
      </c>
      <c r="C294" s="47">
        <v>290.0</v>
      </c>
      <c r="D294" s="48"/>
      <c r="E294" s="47" t="s">
        <v>93</v>
      </c>
      <c r="F294" s="156" t="str">
        <f>HYPERLINK("https://cantik.tempo.co/read/1165271/kezia-warouw-ungkap-isi-grup-wa-soal-dugaan-prostitusi-online ","sumber")</f>
        <v>sumber</v>
      </c>
      <c r="G294" s="47" t="s">
        <v>33</v>
      </c>
      <c r="H294" s="48"/>
      <c r="I294" s="48"/>
      <c r="J294" s="48"/>
      <c r="K294" s="165"/>
      <c r="L294" s="48"/>
      <c r="M294" s="48"/>
      <c r="N294" s="48"/>
      <c r="O294" s="48"/>
      <c r="P294" s="48"/>
      <c r="Q294" s="48"/>
      <c r="R294" s="48"/>
      <c r="S294" s="165"/>
      <c r="T294" s="48"/>
      <c r="U294" s="48"/>
      <c r="V294" s="48"/>
      <c r="W294" s="48"/>
      <c r="X294" s="48"/>
      <c r="Y294" s="48"/>
      <c r="Z294" s="338"/>
      <c r="AA294" s="366"/>
      <c r="AB294" s="51"/>
      <c r="AC294" s="51"/>
      <c r="AD294" s="51"/>
      <c r="AE294" s="51"/>
      <c r="AF294" s="51"/>
      <c r="AG294" s="51"/>
      <c r="AH294" s="51"/>
      <c r="AI294" s="51"/>
      <c r="AJ294" s="51"/>
      <c r="AK294" s="51"/>
      <c r="AL294" s="51"/>
      <c r="AM294" s="51"/>
      <c r="AN294" s="51"/>
      <c r="AO294" s="51"/>
      <c r="AP294" s="51"/>
      <c r="AQ294" s="51"/>
      <c r="AR294" s="51"/>
      <c r="AS294" s="51"/>
      <c r="AT294" s="51"/>
      <c r="AU294" s="51"/>
      <c r="AV294" s="51"/>
      <c r="AW294" s="51"/>
      <c r="AX294" s="51"/>
      <c r="AY294" s="51"/>
      <c r="AZ294" s="51"/>
      <c r="BA294" s="51"/>
      <c r="BB294" s="51"/>
      <c r="BC294" s="51"/>
      <c r="BD294" s="51"/>
      <c r="BE294" s="51"/>
    </row>
    <row r="295">
      <c r="A295" s="152">
        <v>2.0</v>
      </c>
      <c r="B295" s="365" t="s">
        <v>3563</v>
      </c>
      <c r="C295" s="47">
        <v>291.0</v>
      </c>
      <c r="D295" s="48"/>
      <c r="E295" s="47" t="s">
        <v>457</v>
      </c>
      <c r="F295" s="156" t="str">
        <f>HYPERLINK("https://entertainment.kompas.com/read/2019/01/16/192858910/vanessa-angel-tanggapi-tuduhan-tawarkan-diri-gunakan-video-dan-foto ","sumber")</f>
        <v>sumber</v>
      </c>
      <c r="G295" s="47" t="s">
        <v>33</v>
      </c>
      <c r="H295" s="48"/>
      <c r="I295" s="48"/>
      <c r="J295" s="48"/>
      <c r="K295" s="165"/>
      <c r="L295" s="48"/>
      <c r="M295" s="48"/>
      <c r="N295" s="48"/>
      <c r="O295" s="48"/>
      <c r="P295" s="48"/>
      <c r="Q295" s="48"/>
      <c r="R295" s="48"/>
      <c r="S295" s="165"/>
      <c r="T295" s="48"/>
      <c r="U295" s="48"/>
      <c r="V295" s="48"/>
      <c r="W295" s="48"/>
      <c r="X295" s="48"/>
      <c r="Y295" s="48"/>
      <c r="Z295" s="338"/>
      <c r="AA295" s="366"/>
      <c r="AB295" s="51"/>
      <c r="AC295" s="51"/>
      <c r="AD295" s="51"/>
      <c r="AE295" s="51"/>
      <c r="AF295" s="51"/>
      <c r="AG295" s="51"/>
      <c r="AH295" s="51"/>
      <c r="AI295" s="51"/>
      <c r="AJ295" s="51"/>
      <c r="AK295" s="51"/>
      <c r="AL295" s="51"/>
      <c r="AM295" s="51"/>
      <c r="AN295" s="51"/>
      <c r="AO295" s="51"/>
      <c r="AP295" s="51"/>
      <c r="AQ295" s="51"/>
      <c r="AR295" s="51"/>
      <c r="AS295" s="51"/>
      <c r="AT295" s="51"/>
      <c r="AU295" s="51"/>
      <c r="AV295" s="51"/>
      <c r="AW295" s="51"/>
      <c r="AX295" s="51"/>
      <c r="AY295" s="51"/>
      <c r="AZ295" s="51"/>
      <c r="BA295" s="51"/>
      <c r="BB295" s="51"/>
      <c r="BC295" s="51"/>
      <c r="BD295" s="51"/>
      <c r="BE295" s="51"/>
    </row>
    <row r="296">
      <c r="A296" s="152">
        <v>2.0</v>
      </c>
      <c r="B296" s="365" t="s">
        <v>5305</v>
      </c>
      <c r="C296" s="47">
        <v>292.0</v>
      </c>
      <c r="D296" s="48"/>
      <c r="E296" s="47" t="s">
        <v>698</v>
      </c>
      <c r="F296" s="156" t="str">
        <f>HYPERLINK("https://www.cnnindonesia.com/internasional/20190118104608-134-361867/rusia-tahan-model-klaim-trump-curang-di-pilpres-as ","sumber")</f>
        <v>sumber</v>
      </c>
      <c r="G296" s="47" t="s">
        <v>33</v>
      </c>
      <c r="H296" s="48"/>
      <c r="I296" s="48"/>
      <c r="J296" s="48"/>
      <c r="K296" s="165"/>
      <c r="L296" s="48"/>
      <c r="M296" s="48"/>
      <c r="N296" s="48"/>
      <c r="O296" s="48"/>
      <c r="P296" s="48"/>
      <c r="Q296" s="48"/>
      <c r="R296" s="48"/>
      <c r="S296" s="165"/>
      <c r="T296" s="48"/>
      <c r="U296" s="48"/>
      <c r="V296" s="48"/>
      <c r="W296" s="48"/>
      <c r="X296" s="48"/>
      <c r="Y296" s="48"/>
      <c r="Z296" s="338"/>
      <c r="AA296" s="366"/>
      <c r="AB296" s="51"/>
      <c r="AC296" s="51"/>
      <c r="AD296" s="51"/>
      <c r="AE296" s="51"/>
      <c r="AF296" s="51"/>
      <c r="AG296" s="51"/>
      <c r="AH296" s="51"/>
      <c r="AI296" s="51"/>
      <c r="AJ296" s="51"/>
      <c r="AK296" s="51"/>
      <c r="AL296" s="51"/>
      <c r="AM296" s="51"/>
      <c r="AN296" s="51"/>
      <c r="AO296" s="51"/>
      <c r="AP296" s="51"/>
      <c r="AQ296" s="51"/>
      <c r="AR296" s="51"/>
      <c r="AS296" s="51"/>
      <c r="AT296" s="51"/>
      <c r="AU296" s="51"/>
      <c r="AV296" s="51"/>
      <c r="AW296" s="51"/>
      <c r="AX296" s="51"/>
      <c r="AY296" s="51"/>
      <c r="AZ296" s="51"/>
      <c r="BA296" s="51"/>
      <c r="BB296" s="51"/>
      <c r="BC296" s="51"/>
      <c r="BD296" s="51"/>
      <c r="BE296" s="51"/>
    </row>
    <row r="297">
      <c r="A297" s="167">
        <v>1.0</v>
      </c>
      <c r="B297" s="341" t="s">
        <v>5306</v>
      </c>
      <c r="C297" s="55">
        <v>293.0</v>
      </c>
      <c r="D297" s="55">
        <v>1.0</v>
      </c>
      <c r="E297" s="55" t="s">
        <v>346</v>
      </c>
      <c r="F297" s="171" t="str">
        <f>HYPERLINK("https://news.detik.com/berita/d-4380615/dewas-bpjs-tk-sab-akui-punya-hubungan-khusus-dengan-stafnya ","sumber")</f>
        <v>sumber</v>
      </c>
      <c r="G297" s="55" t="s">
        <v>33</v>
      </c>
      <c r="H297" s="55">
        <v>1.0</v>
      </c>
      <c r="I297" s="55">
        <v>1.0</v>
      </c>
      <c r="J297" s="55">
        <v>1.0</v>
      </c>
      <c r="K297" s="172" t="s">
        <v>5307</v>
      </c>
      <c r="L297" s="55">
        <v>0.0</v>
      </c>
      <c r="M297" s="55">
        <v>0.0</v>
      </c>
      <c r="N297" s="173">
        <v>0.0</v>
      </c>
      <c r="O297" s="173">
        <v>0.0</v>
      </c>
      <c r="P297" s="55">
        <v>0.0</v>
      </c>
      <c r="Q297" s="55" t="s">
        <v>5308</v>
      </c>
      <c r="R297" s="55" t="s">
        <v>685</v>
      </c>
      <c r="S297" s="174"/>
      <c r="T297" s="55">
        <v>0.0</v>
      </c>
      <c r="U297" s="55">
        <v>0.0</v>
      </c>
      <c r="V297" s="55">
        <v>0.0</v>
      </c>
      <c r="W297" s="46"/>
      <c r="X297" s="46"/>
      <c r="Y297" s="46"/>
      <c r="Z297" s="302"/>
      <c r="AA297" s="367"/>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c r="BA297" s="31"/>
      <c r="BB297" s="31"/>
      <c r="BC297" s="31"/>
      <c r="BD297" s="31"/>
      <c r="BE297" s="31"/>
    </row>
    <row r="298">
      <c r="A298" s="152">
        <v>2.0</v>
      </c>
      <c r="B298" s="365" t="s">
        <v>5309</v>
      </c>
      <c r="C298" s="47">
        <v>294.0</v>
      </c>
      <c r="D298" s="48"/>
      <c r="E298" s="47" t="s">
        <v>5143</v>
      </c>
      <c r="F298" s="156" t="str">
        <f>HYPERLINK("https://www.cnnindonesia.com/teknologi/20190128095551-185-364328/sepanjang-2018-7-bayi-telah-lahir-dalam-perjalanan-grab ","sumber")</f>
        <v>sumber</v>
      </c>
      <c r="G298" s="47" t="s">
        <v>33</v>
      </c>
      <c r="H298" s="48"/>
      <c r="I298" s="48"/>
      <c r="J298" s="48"/>
      <c r="K298" s="165"/>
      <c r="L298" s="48"/>
      <c r="M298" s="48"/>
      <c r="N298" s="48"/>
      <c r="O298" s="48"/>
      <c r="P298" s="48"/>
      <c r="Q298" s="48"/>
      <c r="R298" s="48"/>
      <c r="S298" s="165"/>
      <c r="T298" s="48"/>
      <c r="U298" s="48"/>
      <c r="V298" s="48"/>
      <c r="W298" s="48"/>
      <c r="X298" s="48"/>
      <c r="Y298" s="48"/>
      <c r="Z298" s="338"/>
      <c r="AA298" s="366"/>
      <c r="AB298" s="51"/>
      <c r="AC298" s="51"/>
      <c r="AD298" s="51"/>
      <c r="AE298" s="51"/>
      <c r="AF298" s="51"/>
      <c r="AG298" s="51"/>
      <c r="AH298" s="51"/>
      <c r="AI298" s="51"/>
      <c r="AJ298" s="51"/>
      <c r="AK298" s="51"/>
      <c r="AL298" s="51"/>
      <c r="AM298" s="51"/>
      <c r="AN298" s="51"/>
      <c r="AO298" s="51"/>
      <c r="AP298" s="51"/>
      <c r="AQ298" s="51"/>
      <c r="AR298" s="51"/>
      <c r="AS298" s="51"/>
      <c r="AT298" s="51"/>
      <c r="AU298" s="51"/>
      <c r="AV298" s="51"/>
      <c r="AW298" s="51"/>
      <c r="AX298" s="51"/>
      <c r="AY298" s="51"/>
      <c r="AZ298" s="51"/>
      <c r="BA298" s="51"/>
      <c r="BB298" s="51"/>
      <c r="BC298" s="51"/>
      <c r="BD298" s="51"/>
      <c r="BE298" s="51"/>
    </row>
    <row r="299">
      <c r="A299" s="152">
        <v>2.0</v>
      </c>
      <c r="B299" s="365" t="s">
        <v>5310</v>
      </c>
      <c r="C299" s="47">
        <v>295.0</v>
      </c>
      <c r="D299" s="48"/>
      <c r="E299" s="47" t="s">
        <v>466</v>
      </c>
      <c r="F299" s="156" t="str">
        <f>HYPERLINK("http://www.tribunnews.com/seleb/2019/01/30/vanessa-angel-resmi-ditahan-berikut-deretan-fakta-penahanannya-atas-kasus-prostitusi-online ","sumber")</f>
        <v>sumber</v>
      </c>
      <c r="G299" s="47" t="s">
        <v>33</v>
      </c>
      <c r="H299" s="48"/>
      <c r="I299" s="48"/>
      <c r="J299" s="48"/>
      <c r="K299" s="165"/>
      <c r="L299" s="48"/>
      <c r="M299" s="48"/>
      <c r="N299" s="48"/>
      <c r="O299" s="48"/>
      <c r="P299" s="48"/>
      <c r="Q299" s="48"/>
      <c r="R299" s="48"/>
      <c r="S299" s="165"/>
      <c r="T299" s="48"/>
      <c r="U299" s="48"/>
      <c r="V299" s="48"/>
      <c r="W299" s="48"/>
      <c r="X299" s="48"/>
      <c r="Y299" s="48"/>
      <c r="Z299" s="338"/>
      <c r="AA299" s="366"/>
      <c r="AB299" s="51"/>
      <c r="AC299" s="51"/>
      <c r="AD299" s="51"/>
      <c r="AE299" s="51"/>
      <c r="AF299" s="51"/>
      <c r="AG299" s="51"/>
      <c r="AH299" s="51"/>
      <c r="AI299" s="51"/>
      <c r="AJ299" s="51"/>
      <c r="AK299" s="51"/>
      <c r="AL299" s="51"/>
      <c r="AM299" s="51"/>
      <c r="AN299" s="51"/>
      <c r="AO299" s="51"/>
      <c r="AP299" s="51"/>
      <c r="AQ299" s="51"/>
      <c r="AR299" s="51"/>
      <c r="AS299" s="51"/>
      <c r="AT299" s="51"/>
      <c r="AU299" s="51"/>
      <c r="AV299" s="51"/>
      <c r="AW299" s="51"/>
      <c r="AX299" s="51"/>
      <c r="AY299" s="51"/>
      <c r="AZ299" s="51"/>
      <c r="BA299" s="51"/>
      <c r="BB299" s="51"/>
      <c r="BC299" s="51"/>
      <c r="BD299" s="51"/>
      <c r="BE299" s="51"/>
    </row>
    <row r="300">
      <c r="A300" s="152">
        <v>2.0</v>
      </c>
      <c r="B300" s="365" t="s">
        <v>5311</v>
      </c>
      <c r="C300" s="47">
        <v>296.0</v>
      </c>
      <c r="D300" s="48"/>
      <c r="E300" s="47" t="s">
        <v>98</v>
      </c>
      <c r="F300" s="156" t="str">
        <f>HYPERLINK("https://cantik.tempo.co/read/1170652/pilihan-fashion-jessie-amalia-suka-main-warna-dan-kasual ","sumber")</f>
        <v>sumber</v>
      </c>
      <c r="G300" s="47" t="s">
        <v>33</v>
      </c>
      <c r="H300" s="48"/>
      <c r="I300" s="48"/>
      <c r="J300" s="48"/>
      <c r="K300" s="165"/>
      <c r="L300" s="48"/>
      <c r="M300" s="48"/>
      <c r="N300" s="48"/>
      <c r="O300" s="48"/>
      <c r="P300" s="48"/>
      <c r="Q300" s="48"/>
      <c r="R300" s="48"/>
      <c r="S300" s="165"/>
      <c r="T300" s="48"/>
      <c r="U300" s="48"/>
      <c r="V300" s="48"/>
      <c r="W300" s="48"/>
      <c r="X300" s="48"/>
      <c r="Y300" s="48"/>
      <c r="Z300" s="338"/>
      <c r="AA300" s="366"/>
      <c r="AB300" s="51"/>
      <c r="AC300" s="51"/>
      <c r="AD300" s="51"/>
      <c r="AE300" s="51"/>
      <c r="AF300" s="51"/>
      <c r="AG300" s="51"/>
      <c r="AH300" s="51"/>
      <c r="AI300" s="51"/>
      <c r="AJ300" s="51"/>
      <c r="AK300" s="51"/>
      <c r="AL300" s="51"/>
      <c r="AM300" s="51"/>
      <c r="AN300" s="51"/>
      <c r="AO300" s="51"/>
      <c r="AP300" s="51"/>
      <c r="AQ300" s="51"/>
      <c r="AR300" s="51"/>
      <c r="AS300" s="51"/>
      <c r="AT300" s="51"/>
      <c r="AU300" s="51"/>
      <c r="AV300" s="51"/>
      <c r="AW300" s="51"/>
      <c r="AX300" s="51"/>
      <c r="AY300" s="51"/>
      <c r="AZ300" s="51"/>
      <c r="BA300" s="51"/>
      <c r="BB300" s="51"/>
      <c r="BC300" s="51"/>
      <c r="BD300" s="51"/>
      <c r="BE300" s="51"/>
    </row>
    <row r="301">
      <c r="A301" s="158">
        <v>1.0</v>
      </c>
      <c r="B301" s="351" t="s">
        <v>5312</v>
      </c>
      <c r="C301" s="44">
        <v>297.0</v>
      </c>
      <c r="D301" s="44">
        <v>1.0</v>
      </c>
      <c r="E301" s="268">
        <v>43498.0</v>
      </c>
      <c r="F301" s="162" t="str">
        <f>HYPERLINK("https://news.detik.com/internasional/d-4411516/bersalah-atas-kekerasan-seks-pastor-prancis-divonis-5-tahun-penjara ","sumber")</f>
        <v>sumber</v>
      </c>
      <c r="G301" s="44" t="s">
        <v>33</v>
      </c>
      <c r="H301" s="44">
        <v>413.0</v>
      </c>
      <c r="I301" s="44">
        <v>1.0</v>
      </c>
      <c r="J301" s="44">
        <v>1.0</v>
      </c>
      <c r="K301" s="164" t="s">
        <v>5313</v>
      </c>
      <c r="L301" s="44">
        <v>0.0</v>
      </c>
      <c r="M301" s="44">
        <v>-1.0</v>
      </c>
      <c r="N301" s="166">
        <v>0.0</v>
      </c>
      <c r="O301" s="44">
        <v>1.0</v>
      </c>
      <c r="P301" s="44">
        <v>0.0</v>
      </c>
      <c r="Q301" s="44" t="s">
        <v>61</v>
      </c>
      <c r="R301" s="44" t="s">
        <v>192</v>
      </c>
      <c r="S301" s="175"/>
      <c r="T301" s="44">
        <v>0.0</v>
      </c>
      <c r="U301" s="44">
        <v>0.0</v>
      </c>
      <c r="V301" s="44">
        <v>1.0</v>
      </c>
      <c r="W301" s="45"/>
      <c r="X301" s="45"/>
      <c r="Y301" s="45"/>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row>
    <row r="302">
      <c r="A302" s="167">
        <v>1.0</v>
      </c>
      <c r="B302" s="341" t="s">
        <v>5314</v>
      </c>
      <c r="C302" s="55">
        <v>298.0</v>
      </c>
      <c r="D302" s="55">
        <v>1.0</v>
      </c>
      <c r="E302" s="344">
        <v>43618.0</v>
      </c>
      <c r="F302" s="171" t="str">
        <f>HYPERLINK("https://sport.detik.com/sepakbola/liga-indonesia/d-4425918/olok-olok-suporter-newcastle-jets-untuk-simic ","sumber")</f>
        <v>sumber</v>
      </c>
      <c r="G302" s="55" t="s">
        <v>33</v>
      </c>
      <c r="H302" s="55">
        <v>1.0</v>
      </c>
      <c r="I302" s="55">
        <v>1.0</v>
      </c>
      <c r="J302" s="55">
        <v>1.0</v>
      </c>
      <c r="K302" s="172" t="s">
        <v>5315</v>
      </c>
      <c r="L302" s="55">
        <v>0.0</v>
      </c>
      <c r="M302" s="55">
        <v>0.0</v>
      </c>
      <c r="N302" s="173">
        <v>0.0</v>
      </c>
      <c r="O302" s="173">
        <v>0.0</v>
      </c>
      <c r="P302" s="55">
        <v>0.0</v>
      </c>
      <c r="Q302" s="55">
        <v>0.0</v>
      </c>
      <c r="R302" s="55">
        <v>0.0</v>
      </c>
      <c r="S302" s="174"/>
      <c r="T302" s="55">
        <v>0.0</v>
      </c>
      <c r="U302" s="55">
        <v>0.0</v>
      </c>
      <c r="V302" s="55">
        <v>0.0</v>
      </c>
      <c r="W302" s="46"/>
      <c r="X302" s="46"/>
      <c r="Y302" s="46"/>
      <c r="Z302" s="302"/>
      <c r="AA302" s="367"/>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c r="BA302" s="31"/>
      <c r="BB302" s="31"/>
      <c r="BC302" s="31"/>
      <c r="BD302" s="31"/>
      <c r="BE302" s="31"/>
    </row>
    <row r="303">
      <c r="A303" s="152">
        <v>2.0</v>
      </c>
      <c r="B303" s="365" t="s">
        <v>5316</v>
      </c>
      <c r="C303" s="47">
        <v>299.0</v>
      </c>
      <c r="D303" s="48"/>
      <c r="E303" s="280">
        <v>43618.0</v>
      </c>
      <c r="F303" s="156" t="str">
        <f>HYPERLINK("https://www.suara.com/entertainment/2019/02/06/113248/della-perez-bersyukur-didoakan-sebelum-diperiksa-kasus-prostitusi ","sumber")</f>
        <v>sumber</v>
      </c>
      <c r="G303" s="47" t="s">
        <v>33</v>
      </c>
      <c r="H303" s="48"/>
      <c r="I303" s="48"/>
      <c r="J303" s="48"/>
      <c r="K303" s="165"/>
      <c r="L303" s="48"/>
      <c r="M303" s="48"/>
      <c r="N303" s="48"/>
      <c r="O303" s="48"/>
      <c r="P303" s="48"/>
      <c r="Q303" s="48"/>
      <c r="R303" s="48"/>
      <c r="S303" s="165"/>
      <c r="T303" s="48"/>
      <c r="U303" s="48"/>
      <c r="V303" s="48"/>
      <c r="W303" s="48"/>
      <c r="X303" s="48"/>
      <c r="Y303" s="48"/>
      <c r="Z303" s="338"/>
      <c r="AA303" s="366"/>
      <c r="AB303" s="51"/>
      <c r="AC303" s="51"/>
      <c r="AD303" s="51"/>
      <c r="AE303" s="51"/>
      <c r="AF303" s="51"/>
      <c r="AG303" s="51"/>
      <c r="AH303" s="51"/>
      <c r="AI303" s="51"/>
      <c r="AJ303" s="51"/>
      <c r="AK303" s="51"/>
      <c r="AL303" s="51"/>
      <c r="AM303" s="51"/>
      <c r="AN303" s="51"/>
      <c r="AO303" s="51"/>
      <c r="AP303" s="51"/>
      <c r="AQ303" s="51"/>
      <c r="AR303" s="51"/>
      <c r="AS303" s="51"/>
      <c r="AT303" s="51"/>
      <c r="AU303" s="51"/>
      <c r="AV303" s="51"/>
      <c r="AW303" s="51"/>
      <c r="AX303" s="51"/>
      <c r="AY303" s="51"/>
      <c r="AZ303" s="51"/>
      <c r="BA303" s="51"/>
      <c r="BB303" s="51"/>
      <c r="BC303" s="51"/>
      <c r="BD303" s="51"/>
      <c r="BE303" s="51"/>
    </row>
    <row r="304">
      <c r="A304" s="158">
        <v>1.0</v>
      </c>
      <c r="B304" s="351" t="s">
        <v>5317</v>
      </c>
      <c r="C304" s="44">
        <v>300.0</v>
      </c>
      <c r="D304" s="44">
        <v>3.0</v>
      </c>
      <c r="E304" s="44" t="s">
        <v>108</v>
      </c>
      <c r="F304" s="162" t="str">
        <f>HYPERLINK("https://news.okezone.com/read/2019/02/13/18/2017453/dua-mahasiswi-indonesia-diserang-di-australia-diduga-karena-mengenakan-jilbab ","sumber")</f>
        <v>sumber</v>
      </c>
      <c r="G304" s="44" t="s">
        <v>33</v>
      </c>
      <c r="H304" s="44">
        <v>459.0</v>
      </c>
      <c r="I304" s="44">
        <v>1.0</v>
      </c>
      <c r="J304" s="44">
        <v>4.0</v>
      </c>
      <c r="K304" s="228" t="s">
        <v>5318</v>
      </c>
      <c r="L304" s="44">
        <v>0.0</v>
      </c>
      <c r="M304" s="44">
        <v>0.0</v>
      </c>
      <c r="N304" s="166">
        <v>0.0</v>
      </c>
      <c r="O304" s="166">
        <v>0.0</v>
      </c>
      <c r="P304" s="44">
        <v>0.0</v>
      </c>
      <c r="Q304" s="44" t="s">
        <v>89</v>
      </c>
      <c r="R304" s="44" t="s">
        <v>1058</v>
      </c>
      <c r="S304" s="175"/>
      <c r="T304" s="44">
        <v>0.0</v>
      </c>
      <c r="U304" s="44">
        <v>0.0</v>
      </c>
      <c r="V304" s="44">
        <v>1.0</v>
      </c>
      <c r="W304" s="45"/>
      <c r="X304" s="45"/>
      <c r="Y304" s="45"/>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row>
    <row r="305">
      <c r="A305" s="152">
        <v>2.0</v>
      </c>
      <c r="B305" s="365" t="s">
        <v>5319</v>
      </c>
      <c r="C305" s="47">
        <v>301.0</v>
      </c>
      <c r="D305" s="48"/>
      <c r="E305" s="47" t="s">
        <v>5320</v>
      </c>
      <c r="F305" s="156" t="str">
        <f>HYPERLINK("https://tirto.id/klub-burning-sun-akan-ditutup-usai-seungri-bigbang-hengkang-dhbo ","sumber")</f>
        <v>sumber</v>
      </c>
      <c r="G305" s="47" t="s">
        <v>33</v>
      </c>
      <c r="H305" s="48"/>
      <c r="I305" s="48"/>
      <c r="J305" s="48"/>
      <c r="K305" s="165"/>
      <c r="L305" s="48"/>
      <c r="M305" s="48"/>
      <c r="N305" s="48"/>
      <c r="O305" s="48"/>
      <c r="P305" s="48"/>
      <c r="Q305" s="48"/>
      <c r="R305" s="48"/>
      <c r="S305" s="165"/>
      <c r="T305" s="48"/>
      <c r="U305" s="48"/>
      <c r="V305" s="48"/>
      <c r="W305" s="48"/>
      <c r="X305" s="48"/>
      <c r="Y305" s="48"/>
      <c r="Z305" s="338"/>
      <c r="AA305" s="366"/>
      <c r="AB305" s="51"/>
      <c r="AC305" s="51"/>
      <c r="AD305" s="51"/>
      <c r="AE305" s="51"/>
      <c r="AF305" s="51"/>
      <c r="AG305" s="51"/>
      <c r="AH305" s="51"/>
      <c r="AI305" s="51"/>
      <c r="AJ305" s="51"/>
      <c r="AK305" s="51"/>
      <c r="AL305" s="51"/>
      <c r="AM305" s="51"/>
      <c r="AN305" s="51"/>
      <c r="AO305" s="51"/>
      <c r="AP305" s="51"/>
      <c r="AQ305" s="51"/>
      <c r="AR305" s="51"/>
      <c r="AS305" s="51"/>
      <c r="AT305" s="51"/>
      <c r="AU305" s="51"/>
      <c r="AV305" s="51"/>
      <c r="AW305" s="51"/>
      <c r="AX305" s="51"/>
      <c r="AY305" s="51"/>
      <c r="AZ305" s="51"/>
      <c r="BA305" s="51"/>
      <c r="BB305" s="51"/>
      <c r="BC305" s="51"/>
      <c r="BD305" s="51"/>
      <c r="BE305" s="51"/>
    </row>
    <row r="306">
      <c r="A306" s="158">
        <v>1.0</v>
      </c>
      <c r="B306" s="351" t="s">
        <v>5321</v>
      </c>
      <c r="C306" s="44">
        <v>302.0</v>
      </c>
      <c r="D306" s="44">
        <v>7.0</v>
      </c>
      <c r="E306" s="44" t="s">
        <v>5322</v>
      </c>
      <c r="F306" s="162" t="str">
        <f>HYPERLINK("http://www.tribunnews.com/internasional/2019/02/21/bagaimana-paus-fransiskus-tangani-skandal-seks-di-gereja-katolik ","sumber")</f>
        <v>sumber</v>
      </c>
      <c r="G306" s="44" t="s">
        <v>33</v>
      </c>
      <c r="H306" s="44">
        <v>1000.0</v>
      </c>
      <c r="I306" s="44">
        <v>2.0</v>
      </c>
      <c r="J306" s="44">
        <v>1.0</v>
      </c>
      <c r="K306" s="164" t="s">
        <v>5323</v>
      </c>
      <c r="L306" s="44">
        <v>0.0</v>
      </c>
      <c r="M306" s="44">
        <v>0.0</v>
      </c>
      <c r="N306" s="166">
        <v>0.0</v>
      </c>
      <c r="O306" s="44">
        <v>1.0</v>
      </c>
      <c r="P306" s="44">
        <v>0.0</v>
      </c>
      <c r="Q306" s="44" t="s">
        <v>144</v>
      </c>
      <c r="R306" s="44" t="s">
        <v>5324</v>
      </c>
      <c r="S306" s="164"/>
      <c r="T306" s="44">
        <v>0.0</v>
      </c>
      <c r="U306" s="44">
        <v>0.0</v>
      </c>
      <c r="V306" s="44">
        <v>1.0</v>
      </c>
      <c r="W306" s="45"/>
      <c r="X306" s="45"/>
      <c r="Y306" s="45"/>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row>
    <row r="307" ht="15.75" customHeight="1">
      <c r="A307" s="152">
        <v>2.0</v>
      </c>
      <c r="B307" s="365" t="s">
        <v>5325</v>
      </c>
      <c r="C307" s="47">
        <v>303.0</v>
      </c>
      <c r="D307" s="48"/>
      <c r="E307" s="47" t="s">
        <v>2152</v>
      </c>
      <c r="F307" s="156" t="str">
        <f>HYPERLINK("https://www.suara.com/bola/2019/02/23/231523/escobar-siap-gantikan-peran-marko-simic-di-lini-depan-persija-jakarta ","sumber")</f>
        <v>sumber</v>
      </c>
      <c r="G307" s="47" t="s">
        <v>33</v>
      </c>
      <c r="H307" s="48"/>
      <c r="I307" s="48"/>
      <c r="J307" s="48"/>
      <c r="K307" s="165"/>
      <c r="L307" s="48"/>
      <c r="M307" s="48"/>
      <c r="N307" s="48"/>
      <c r="O307" s="48"/>
      <c r="P307" s="48"/>
      <c r="Q307" s="48"/>
      <c r="R307" s="48"/>
      <c r="S307" s="165"/>
      <c r="T307" s="48"/>
      <c r="U307" s="48"/>
      <c r="V307" s="48"/>
      <c r="W307" s="48"/>
      <c r="X307" s="48"/>
      <c r="Y307" s="48"/>
      <c r="Z307" s="338"/>
      <c r="AA307" s="366"/>
      <c r="AB307" s="51"/>
      <c r="AC307" s="51"/>
      <c r="AD307" s="51"/>
      <c r="AE307" s="51"/>
      <c r="AF307" s="51"/>
      <c r="AG307" s="51"/>
      <c r="AH307" s="51"/>
      <c r="AI307" s="51"/>
      <c r="AJ307" s="51"/>
      <c r="AK307" s="51"/>
      <c r="AL307" s="51"/>
      <c r="AM307" s="51"/>
      <c r="AN307" s="51"/>
      <c r="AO307" s="51"/>
      <c r="AP307" s="51"/>
      <c r="AQ307" s="51"/>
      <c r="AR307" s="51"/>
      <c r="AS307" s="51"/>
      <c r="AT307" s="51"/>
      <c r="AU307" s="51"/>
      <c r="AV307" s="51"/>
      <c r="AW307" s="51"/>
      <c r="AX307" s="51"/>
      <c r="AY307" s="51"/>
      <c r="AZ307" s="51"/>
      <c r="BA307" s="51"/>
      <c r="BB307" s="51"/>
      <c r="BC307" s="51"/>
      <c r="BD307" s="51"/>
      <c r="BE307" s="51"/>
    </row>
    <row r="308">
      <c r="A308" s="158">
        <v>1.0</v>
      </c>
      <c r="B308" s="351" t="s">
        <v>5326</v>
      </c>
      <c r="C308" s="44">
        <v>304.0</v>
      </c>
      <c r="D308" s="44">
        <v>1.0</v>
      </c>
      <c r="E308" s="44" t="s">
        <v>469</v>
      </c>
      <c r="F308" s="162" t="str">
        <f>HYPERLINK("https://news.detik.com/berita/d-4441239/polisi-pastikan-pelaku-incest-anak-diadili-cepat","sumber")</f>
        <v>sumber</v>
      </c>
      <c r="G308" s="44" t="s">
        <v>33</v>
      </c>
      <c r="H308" s="44">
        <v>458.0</v>
      </c>
      <c r="I308" s="44">
        <v>1.0</v>
      </c>
      <c r="J308" s="44">
        <v>1.0</v>
      </c>
      <c r="K308" s="164" t="s">
        <v>5327</v>
      </c>
      <c r="L308" s="44">
        <v>0.0</v>
      </c>
      <c r="M308" s="44">
        <v>1.0</v>
      </c>
      <c r="N308" s="166">
        <v>0.0</v>
      </c>
      <c r="O308" s="44">
        <v>1.0</v>
      </c>
      <c r="P308" s="44">
        <v>0.0</v>
      </c>
      <c r="Q308" s="44" t="s">
        <v>61</v>
      </c>
      <c r="R308" s="44" t="s">
        <v>192</v>
      </c>
      <c r="S308" s="175"/>
      <c r="T308" s="44">
        <v>0.0</v>
      </c>
      <c r="U308" s="44">
        <v>0.0</v>
      </c>
      <c r="V308" s="44">
        <v>0.0</v>
      </c>
      <c r="W308" s="45"/>
      <c r="X308" s="45"/>
      <c r="Y308" s="45"/>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row>
    <row r="309">
      <c r="A309" s="158">
        <v>1.0</v>
      </c>
      <c r="B309" s="351" t="s">
        <v>5328</v>
      </c>
      <c r="C309" s="44">
        <v>305.0</v>
      </c>
      <c r="D309" s="44">
        <v>5.0</v>
      </c>
      <c r="E309" s="44" t="s">
        <v>357</v>
      </c>
      <c r="F309" s="162" t="str">
        <f>HYPERLINK("https://tirto.id/r-kelly-dibebaskan-usai-bayar--100-ribu-di-kasus-pelecehan-seksual-dhMG ","sumber")</f>
        <v>sumber</v>
      </c>
      <c r="G309" s="44" t="s">
        <v>33</v>
      </c>
      <c r="H309" s="44">
        <v>627.0</v>
      </c>
      <c r="I309" s="44">
        <v>1.0</v>
      </c>
      <c r="J309" s="44">
        <v>1.0</v>
      </c>
      <c r="K309" s="164" t="s">
        <v>5329</v>
      </c>
      <c r="L309" s="44">
        <v>0.0</v>
      </c>
      <c r="M309" s="44">
        <v>1.0</v>
      </c>
      <c r="N309" s="166">
        <v>0.0</v>
      </c>
      <c r="O309" s="44">
        <v>1.0</v>
      </c>
      <c r="P309" s="44">
        <v>0.0</v>
      </c>
      <c r="Q309" s="44" t="s">
        <v>53</v>
      </c>
      <c r="R309" s="44" t="s">
        <v>341</v>
      </c>
      <c r="S309" s="175"/>
      <c r="T309" s="44">
        <v>0.0</v>
      </c>
      <c r="U309" s="44">
        <v>0.0</v>
      </c>
      <c r="V309" s="44">
        <v>1.0</v>
      </c>
      <c r="W309" s="45"/>
      <c r="X309" s="45"/>
      <c r="Y309" s="45"/>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row>
    <row r="310">
      <c r="A310" s="158">
        <v>1.0</v>
      </c>
      <c r="B310" s="351" t="s">
        <v>3614</v>
      </c>
      <c r="C310" s="44">
        <v>306.0</v>
      </c>
      <c r="D310" s="44">
        <v>4.0</v>
      </c>
      <c r="E310" s="44" t="s">
        <v>2339</v>
      </c>
      <c r="F310" s="162" t="str">
        <f>HYPERLINK("https://www.liputan6.com/regional/read/3905192/rayuan-miras-dan-hilangnya-keperawanan-gadis-smp-di-jember ","sumber")</f>
        <v>sumber</v>
      </c>
      <c r="G310" s="44" t="s">
        <v>33</v>
      </c>
      <c r="H310" s="44">
        <v>530.0</v>
      </c>
      <c r="I310" s="44">
        <v>1.0</v>
      </c>
      <c r="J310" s="44">
        <v>1.0</v>
      </c>
      <c r="K310" s="164" t="s">
        <v>5330</v>
      </c>
      <c r="L310" s="44">
        <v>0.0</v>
      </c>
      <c r="M310" s="44">
        <v>-1.0</v>
      </c>
      <c r="N310" s="166">
        <v>0.0</v>
      </c>
      <c r="O310" s="44">
        <v>-1.0</v>
      </c>
      <c r="P310" s="44">
        <v>-1.0</v>
      </c>
      <c r="Q310" s="44">
        <v>0.0</v>
      </c>
      <c r="R310" s="44">
        <v>-1.0</v>
      </c>
      <c r="S310" s="175"/>
      <c r="T310" s="44">
        <v>0.0</v>
      </c>
      <c r="U310" s="44">
        <v>0.0</v>
      </c>
      <c r="V310" s="44">
        <v>0.0</v>
      </c>
      <c r="W310" s="45"/>
      <c r="X310" s="45"/>
      <c r="Y310" s="45"/>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row>
    <row r="311">
      <c r="A311" s="152">
        <v>2.0</v>
      </c>
      <c r="B311" s="365" t="s">
        <v>5331</v>
      </c>
      <c r="C311" s="47">
        <v>307.0</v>
      </c>
      <c r="D311" s="48"/>
      <c r="E311" s="47" t="s">
        <v>2339</v>
      </c>
      <c r="F311" s="156" t="str">
        <f>HYPERLINK("https://nasional.tempo.co/read/1180379/munas-alim-ulama-nu-sekjen-tidak-akan-ada-deklarasi-politik ","sumber")</f>
        <v>sumber</v>
      </c>
      <c r="G311" s="47" t="s">
        <v>33</v>
      </c>
      <c r="H311" s="48"/>
      <c r="I311" s="48"/>
      <c r="J311" s="48"/>
      <c r="K311" s="165"/>
      <c r="L311" s="48"/>
      <c r="M311" s="48"/>
      <c r="N311" s="48"/>
      <c r="O311" s="48"/>
      <c r="P311" s="48"/>
      <c r="Q311" s="48"/>
      <c r="R311" s="48"/>
      <c r="S311" s="165"/>
      <c r="T311" s="48"/>
      <c r="U311" s="48"/>
      <c r="V311" s="48"/>
      <c r="W311" s="48"/>
      <c r="X311" s="48"/>
      <c r="Y311" s="48"/>
      <c r="Z311" s="338"/>
      <c r="AA311" s="366"/>
      <c r="AB311" s="51"/>
      <c r="AC311" s="51"/>
      <c r="AD311" s="51"/>
      <c r="AE311" s="51"/>
      <c r="AF311" s="51"/>
      <c r="AG311" s="51"/>
      <c r="AH311" s="51"/>
      <c r="AI311" s="51"/>
      <c r="AJ311" s="51"/>
      <c r="AK311" s="51"/>
      <c r="AL311" s="51"/>
      <c r="AM311" s="51"/>
      <c r="AN311" s="51"/>
      <c r="AO311" s="51"/>
      <c r="AP311" s="51"/>
      <c r="AQ311" s="51"/>
      <c r="AR311" s="51"/>
      <c r="AS311" s="51"/>
      <c r="AT311" s="51"/>
      <c r="AU311" s="51"/>
      <c r="AV311" s="51"/>
      <c r="AW311" s="51"/>
      <c r="AX311" s="51"/>
      <c r="AY311" s="51"/>
      <c r="AZ311" s="51"/>
      <c r="BA311" s="51"/>
      <c r="BB311" s="51"/>
      <c r="BC311" s="51"/>
      <c r="BD311" s="51"/>
      <c r="BE311" s="51"/>
    </row>
    <row r="312">
      <c r="A312" s="158">
        <v>1.0</v>
      </c>
      <c r="B312" s="351" t="s">
        <v>5332</v>
      </c>
      <c r="C312" s="44">
        <v>308.0</v>
      </c>
      <c r="D312" s="44">
        <v>5.0</v>
      </c>
      <c r="E312" s="268">
        <v>43499.0</v>
      </c>
      <c r="F312" s="162" t="str">
        <f>HYPERLINK("https://tirto.id/masalah-kekerasan-seksual-adalah-problem-kita-semua-dieG ","sumber")</f>
        <v>sumber</v>
      </c>
      <c r="G312" s="44" t="s">
        <v>33</v>
      </c>
      <c r="H312" s="44">
        <v>771.0</v>
      </c>
      <c r="I312" s="44">
        <v>3.0</v>
      </c>
      <c r="J312" s="44">
        <v>1.0</v>
      </c>
      <c r="K312" s="164" t="s">
        <v>5333</v>
      </c>
      <c r="L312" s="44">
        <v>0.0</v>
      </c>
      <c r="M312" s="44">
        <v>0.0</v>
      </c>
      <c r="N312" s="166">
        <v>0.0</v>
      </c>
      <c r="O312" s="166">
        <v>0.0</v>
      </c>
      <c r="P312" s="44">
        <v>0.0</v>
      </c>
      <c r="Q312" s="44" t="s">
        <v>53</v>
      </c>
      <c r="R312" s="44" t="s">
        <v>1586</v>
      </c>
      <c r="S312" s="175"/>
      <c r="T312" s="44">
        <v>0.0</v>
      </c>
      <c r="U312" s="44">
        <v>0.0</v>
      </c>
      <c r="V312" s="44">
        <v>1.0</v>
      </c>
      <c r="W312" s="45"/>
      <c r="X312" s="45"/>
      <c r="Y312" s="45"/>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row>
    <row r="313">
      <c r="A313" s="158">
        <v>1.0</v>
      </c>
      <c r="B313" s="351" t="s">
        <v>5334</v>
      </c>
      <c r="C313" s="44">
        <v>309.0</v>
      </c>
      <c r="D313" s="44">
        <v>9.0</v>
      </c>
      <c r="E313" s="268">
        <v>43588.0</v>
      </c>
      <c r="F313" s="162" t="str">
        <f>HYPERLINK("https://internasional.republika.co.id/berita/internasional/asia/pnw83n377/pemerkosa-tki-di-hong-kong-divonis-11-tahun-penjara ","sumber")</f>
        <v>sumber</v>
      </c>
      <c r="G313" s="44" t="s">
        <v>33</v>
      </c>
      <c r="H313" s="44">
        <v>411.0</v>
      </c>
      <c r="I313" s="44">
        <v>1.0</v>
      </c>
      <c r="J313" s="44">
        <v>1.0</v>
      </c>
      <c r="K313" s="228" t="s">
        <v>5335</v>
      </c>
      <c r="L313" s="44">
        <v>0.0</v>
      </c>
      <c r="M313" s="44">
        <v>1.0</v>
      </c>
      <c r="N313" s="166">
        <v>0.0</v>
      </c>
      <c r="O313" s="44">
        <v>1.0</v>
      </c>
      <c r="P313" s="44">
        <v>0.0</v>
      </c>
      <c r="Q313" s="44" t="s">
        <v>61</v>
      </c>
      <c r="R313" s="44" t="s">
        <v>192</v>
      </c>
      <c r="S313" s="175"/>
      <c r="T313" s="44">
        <v>0.0</v>
      </c>
      <c r="U313" s="44">
        <v>0.0</v>
      </c>
      <c r="V313" s="44">
        <v>1.0</v>
      </c>
      <c r="W313" s="45"/>
      <c r="X313" s="45"/>
      <c r="Y313" s="45"/>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row>
    <row r="314">
      <c r="A314" s="158">
        <v>1.0</v>
      </c>
      <c r="B314" s="351" t="s">
        <v>136</v>
      </c>
      <c r="C314" s="44">
        <v>310.0</v>
      </c>
      <c r="D314" s="44">
        <v>10.0</v>
      </c>
      <c r="E314" s="268">
        <v>43802.0</v>
      </c>
      <c r="F314" s="162" t="str">
        <f>HYPERLINK("https://tekno.tempo.co/read/1184473/google-bayar-rp-15-t-dua-eksekutif-yang-terlibat-pelecehan ","sumber")</f>
        <v>sumber</v>
      </c>
      <c r="G314" s="44" t="s">
        <v>33</v>
      </c>
      <c r="H314" s="44">
        <v>405.0</v>
      </c>
      <c r="I314" s="44">
        <v>1.0</v>
      </c>
      <c r="J314" s="44">
        <v>1.0</v>
      </c>
      <c r="K314" s="164" t="s">
        <v>5336</v>
      </c>
      <c r="L314" s="44">
        <v>0.0</v>
      </c>
      <c r="M314" s="44">
        <v>0.0</v>
      </c>
      <c r="N314" s="166">
        <v>0.0</v>
      </c>
      <c r="O314" s="166">
        <v>0.0</v>
      </c>
      <c r="P314" s="44">
        <v>0.0</v>
      </c>
      <c r="Q314" s="44" t="s">
        <v>61</v>
      </c>
      <c r="R314" s="44" t="s">
        <v>192</v>
      </c>
      <c r="S314" s="175"/>
      <c r="T314" s="44">
        <v>0.0</v>
      </c>
      <c r="U314" s="44">
        <v>0.0</v>
      </c>
      <c r="V314" s="44">
        <v>1.0</v>
      </c>
      <c r="W314" s="45"/>
      <c r="X314" s="45"/>
      <c r="Y314" s="45"/>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row>
    <row r="315">
      <c r="A315" s="152">
        <v>2.0</v>
      </c>
      <c r="B315" s="365" t="s">
        <v>5337</v>
      </c>
      <c r="C315" s="47">
        <v>311.0</v>
      </c>
      <c r="D315" s="48"/>
      <c r="E315" s="47" t="s">
        <v>123</v>
      </c>
      <c r="F315" s="156" t="str">
        <f>HYPERLINK("https://tekno.tempo.co/read/1185611/gojek-sediakan-tombol-darurat-apa-bedanya-dengan-tombol-sos-grab ","sumber")</f>
        <v>sumber</v>
      </c>
      <c r="G315" s="47" t="s">
        <v>33</v>
      </c>
      <c r="H315" s="48"/>
      <c r="I315" s="48"/>
      <c r="J315" s="48"/>
      <c r="K315" s="165"/>
      <c r="L315" s="48"/>
      <c r="M315" s="48"/>
      <c r="N315" s="48"/>
      <c r="O315" s="48"/>
      <c r="P315" s="48"/>
      <c r="Q315" s="48"/>
      <c r="R315" s="48"/>
      <c r="S315" s="165"/>
      <c r="T315" s="47">
        <v>0.0</v>
      </c>
      <c r="U315" s="48"/>
      <c r="V315" s="48"/>
      <c r="W315" s="48"/>
      <c r="X315" s="48"/>
      <c r="Y315" s="48"/>
      <c r="Z315" s="338"/>
      <c r="AA315" s="366"/>
      <c r="AB315" s="51"/>
      <c r="AC315" s="51"/>
      <c r="AD315" s="51"/>
      <c r="AE315" s="51"/>
      <c r="AF315" s="51"/>
      <c r="AG315" s="51"/>
      <c r="AH315" s="51"/>
      <c r="AI315" s="51"/>
      <c r="AJ315" s="51"/>
      <c r="AK315" s="51"/>
      <c r="AL315" s="51"/>
      <c r="AM315" s="51"/>
      <c r="AN315" s="51"/>
      <c r="AO315" s="51"/>
      <c r="AP315" s="51"/>
      <c r="AQ315" s="51"/>
      <c r="AR315" s="51"/>
      <c r="AS315" s="51"/>
      <c r="AT315" s="51"/>
      <c r="AU315" s="51"/>
      <c r="AV315" s="51"/>
      <c r="AW315" s="51"/>
      <c r="AX315" s="51"/>
      <c r="AY315" s="51"/>
      <c r="AZ315" s="51"/>
      <c r="BA315" s="51"/>
      <c r="BB315" s="51"/>
      <c r="BC315" s="51"/>
      <c r="BD315" s="51"/>
      <c r="BE315" s="51"/>
    </row>
    <row r="316">
      <c r="A316" s="158">
        <v>1.0</v>
      </c>
      <c r="B316" s="351" t="s">
        <v>146</v>
      </c>
      <c r="C316" s="44">
        <v>312.0</v>
      </c>
      <c r="D316" s="44">
        <v>9.0</v>
      </c>
      <c r="E316" s="44" t="s">
        <v>147</v>
      </c>
      <c r="F316" s="162" t="str">
        <f>HYPERLINK("https://nasional.republika.co.id/berita/nasional/daerah/pog61o320/pencabulan-dominasi-kasus-kekerasaan-anak-di-pekanbaru","sumber")</f>
        <v>sumber</v>
      </c>
      <c r="G316" s="44" t="s">
        <v>33</v>
      </c>
      <c r="H316" s="44">
        <v>370.0</v>
      </c>
      <c r="I316" s="44">
        <v>1.0</v>
      </c>
      <c r="J316" s="44">
        <v>1.0</v>
      </c>
      <c r="K316" s="228" t="s">
        <v>5338</v>
      </c>
      <c r="L316" s="44">
        <v>0.0</v>
      </c>
      <c r="M316" s="44">
        <v>0.0</v>
      </c>
      <c r="N316" s="166">
        <v>0.0</v>
      </c>
      <c r="O316" s="166">
        <v>0.0</v>
      </c>
      <c r="P316" s="44">
        <v>0.0</v>
      </c>
      <c r="Q316" s="44">
        <v>0.0</v>
      </c>
      <c r="R316" s="44">
        <v>1.0</v>
      </c>
      <c r="S316" s="175"/>
      <c r="T316" s="44">
        <v>0.0</v>
      </c>
      <c r="U316" s="44">
        <v>0.0</v>
      </c>
      <c r="V316" s="44">
        <v>1.0</v>
      </c>
      <c r="W316" s="45"/>
      <c r="X316" s="45"/>
      <c r="Y316" s="45"/>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row>
    <row r="317">
      <c r="A317" s="158">
        <v>1.0</v>
      </c>
      <c r="B317" s="351" t="s">
        <v>5339</v>
      </c>
      <c r="C317" s="44">
        <v>313.0</v>
      </c>
      <c r="D317" s="44">
        <v>5.0</v>
      </c>
      <c r="E317" s="44" t="s">
        <v>150</v>
      </c>
      <c r="F317" s="162" t="str">
        <f>HYPERLINK("https://tirto.id/megaskandal-seungri-dan-molka-sisi-kelam-gemerlap-k-pop-djEW ","sumber")</f>
        <v>sumber</v>
      </c>
      <c r="G317" s="44" t="s">
        <v>33</v>
      </c>
      <c r="H317" s="44">
        <v>1227.0</v>
      </c>
      <c r="I317" s="44">
        <v>1.0</v>
      </c>
      <c r="J317" s="44">
        <v>1.0</v>
      </c>
      <c r="K317" s="164" t="s">
        <v>5340</v>
      </c>
      <c r="L317" s="44">
        <v>0.0</v>
      </c>
      <c r="M317" s="44">
        <v>0.0</v>
      </c>
      <c r="N317" s="166">
        <v>0.0</v>
      </c>
      <c r="O317" s="166">
        <v>0.0</v>
      </c>
      <c r="P317" s="44">
        <v>0.0</v>
      </c>
      <c r="Q317" s="44" t="s">
        <v>5341</v>
      </c>
      <c r="R317" s="44" t="s">
        <v>1058</v>
      </c>
      <c r="S317" s="175"/>
      <c r="T317" s="44">
        <v>0.0</v>
      </c>
      <c r="U317" s="44">
        <v>0.0</v>
      </c>
      <c r="V317" s="44">
        <v>1.0</v>
      </c>
      <c r="W317" s="45"/>
      <c r="X317" s="45"/>
      <c r="Y317" s="45"/>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row>
    <row r="318">
      <c r="A318" s="152">
        <v>2.0</v>
      </c>
      <c r="B318" s="365" t="s">
        <v>5342</v>
      </c>
      <c r="C318" s="47">
        <v>314.0</v>
      </c>
      <c r="D318" s="48"/>
      <c r="E318" s="47" t="s">
        <v>523</v>
      </c>
      <c r="F318" s="156" t="str">
        <f>HYPERLINK("https://www.cnnindonesia.com/hiburan/20190319092729-220-378580/disney-bantah-pernah-cari-pengganti-james-gunn ","sumber")</f>
        <v>sumber</v>
      </c>
      <c r="G318" s="47" t="s">
        <v>33</v>
      </c>
      <c r="H318" s="48"/>
      <c r="I318" s="48"/>
      <c r="J318" s="48"/>
      <c r="K318" s="165"/>
      <c r="L318" s="48"/>
      <c r="M318" s="48"/>
      <c r="N318" s="48"/>
      <c r="O318" s="48"/>
      <c r="P318" s="48"/>
      <c r="Q318" s="48"/>
      <c r="R318" s="48"/>
      <c r="S318" s="165"/>
      <c r="T318" s="48"/>
      <c r="U318" s="48"/>
      <c r="V318" s="48"/>
      <c r="W318" s="48"/>
      <c r="X318" s="48"/>
      <c r="Y318" s="48"/>
      <c r="Z318" s="338"/>
      <c r="AA318" s="366"/>
      <c r="AB318" s="51"/>
      <c r="AC318" s="51"/>
      <c r="AD318" s="51"/>
      <c r="AE318" s="51"/>
      <c r="AF318" s="51"/>
      <c r="AG318" s="51"/>
      <c r="AH318" s="51"/>
      <c r="AI318" s="51"/>
      <c r="AJ318" s="51"/>
      <c r="AK318" s="51"/>
      <c r="AL318" s="51"/>
      <c r="AM318" s="51"/>
      <c r="AN318" s="51"/>
      <c r="AO318" s="51"/>
      <c r="AP318" s="51"/>
      <c r="AQ318" s="51"/>
      <c r="AR318" s="51"/>
      <c r="AS318" s="51"/>
      <c r="AT318" s="51"/>
      <c r="AU318" s="51"/>
      <c r="AV318" s="51"/>
      <c r="AW318" s="51"/>
      <c r="AX318" s="51"/>
      <c r="AY318" s="51"/>
      <c r="AZ318" s="51"/>
      <c r="BA318" s="51"/>
      <c r="BB318" s="51"/>
      <c r="BC318" s="51"/>
      <c r="BD318" s="51"/>
      <c r="BE318" s="51"/>
    </row>
    <row r="319">
      <c r="A319" s="158">
        <v>1.0</v>
      </c>
      <c r="B319" s="351" t="s">
        <v>5343</v>
      </c>
      <c r="C319" s="44">
        <v>315.0</v>
      </c>
      <c r="D319" s="44">
        <v>10.0</v>
      </c>
      <c r="E319" s="44" t="s">
        <v>156</v>
      </c>
      <c r="F319" s="162" t="str">
        <f>HYPERLINK("https://sport.tempo.co/read/1187881/takut-ditangkap-cristiano-ronaldo-tak-mau-bermain-bola-di-as ","sumber")</f>
        <v>sumber</v>
      </c>
      <c r="G319" s="44" t="s">
        <v>33</v>
      </c>
      <c r="H319" s="44">
        <v>228.0</v>
      </c>
      <c r="I319" s="44">
        <v>1.0</v>
      </c>
      <c r="J319" s="44">
        <v>1.0</v>
      </c>
      <c r="K319" s="164" t="s">
        <v>5344</v>
      </c>
      <c r="L319" s="44">
        <v>0.0</v>
      </c>
      <c r="M319" s="44">
        <v>0.0</v>
      </c>
      <c r="N319" s="166">
        <v>0.0</v>
      </c>
      <c r="O319" s="166">
        <v>0.0</v>
      </c>
      <c r="P319" s="44">
        <v>0.0</v>
      </c>
      <c r="Q319" s="44">
        <v>0.0</v>
      </c>
      <c r="R319" s="44">
        <v>1.0</v>
      </c>
      <c r="S319" s="175"/>
      <c r="T319" s="44">
        <v>0.0</v>
      </c>
      <c r="U319" s="44">
        <v>0.0</v>
      </c>
      <c r="V319" s="44">
        <v>1.0</v>
      </c>
      <c r="W319" s="45"/>
      <c r="X319" s="45"/>
      <c r="Y319" s="45"/>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row>
    <row r="320">
      <c r="A320" s="167">
        <v>1.0</v>
      </c>
      <c r="B320" s="341" t="s">
        <v>5345</v>
      </c>
      <c r="C320" s="55">
        <v>316.0</v>
      </c>
      <c r="D320" s="55">
        <v>1.0</v>
      </c>
      <c r="E320" s="55" t="s">
        <v>4087</v>
      </c>
      <c r="F320" s="171" t="str">
        <f>HYPERLINK("https://news.detik.com/berita/d-4470178/ruu-p-ks-disebut-legalkan-zina-bamsoet-itu-ngawur-dan-omong-kosong ","sumber")</f>
        <v>sumber</v>
      </c>
      <c r="G320" s="55" t="s">
        <v>33</v>
      </c>
      <c r="H320" s="55">
        <v>1.0</v>
      </c>
      <c r="I320" s="55">
        <v>4.0</v>
      </c>
      <c r="J320" s="55">
        <v>3.0</v>
      </c>
      <c r="K320" s="172" t="s">
        <v>5346</v>
      </c>
      <c r="L320" s="55">
        <v>0.0</v>
      </c>
      <c r="M320" s="55">
        <v>0.0</v>
      </c>
      <c r="N320" s="173">
        <v>0.0</v>
      </c>
      <c r="O320" s="173">
        <v>0.0</v>
      </c>
      <c r="P320" s="55">
        <v>0.0</v>
      </c>
      <c r="Q320" s="55">
        <v>0.0</v>
      </c>
      <c r="R320" s="55">
        <v>0.0</v>
      </c>
      <c r="S320" s="174"/>
      <c r="T320" s="55">
        <v>0.0</v>
      </c>
      <c r="U320" s="55">
        <v>0.0</v>
      </c>
      <c r="V320" s="55">
        <v>1.0</v>
      </c>
      <c r="W320" s="46"/>
      <c r="X320" s="46"/>
      <c r="Y320" s="46"/>
      <c r="Z320" s="302"/>
      <c r="AA320" s="367"/>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c r="BA320" s="31"/>
      <c r="BB320" s="31"/>
      <c r="BC320" s="31"/>
      <c r="BD320" s="31"/>
      <c r="BE320" s="31"/>
    </row>
    <row r="321">
      <c r="A321" s="152">
        <v>2.0</v>
      </c>
      <c r="B321" s="365" t="s">
        <v>5347</v>
      </c>
      <c r="C321" s="47">
        <v>317.0</v>
      </c>
      <c r="D321" s="48"/>
      <c r="E321" s="47" t="s">
        <v>159</v>
      </c>
      <c r="F321" s="156" t="str">
        <f>HYPERLINK("https://www.suara.com/tekno/2019/03/26/143254/bareng-apple-tv-plus-oprah-winfrey-rilis-dua-film-dokumenter-sekaligus ","sumber")</f>
        <v>sumber</v>
      </c>
      <c r="G321" s="47" t="s">
        <v>33</v>
      </c>
      <c r="H321" s="48"/>
      <c r="I321" s="48"/>
      <c r="J321" s="48"/>
      <c r="K321" s="165"/>
      <c r="L321" s="48"/>
      <c r="M321" s="48"/>
      <c r="N321" s="48"/>
      <c r="O321" s="48"/>
      <c r="P321" s="48"/>
      <c r="Q321" s="48"/>
      <c r="R321" s="48"/>
      <c r="S321" s="165"/>
      <c r="T321" s="48"/>
      <c r="U321" s="48"/>
      <c r="V321" s="48"/>
      <c r="W321" s="48"/>
      <c r="X321" s="48"/>
      <c r="Y321" s="48"/>
      <c r="Z321" s="338"/>
      <c r="AA321" s="366"/>
      <c r="AB321" s="51"/>
      <c r="AC321" s="51"/>
      <c r="AD321" s="51"/>
      <c r="AE321" s="51"/>
      <c r="AF321" s="51"/>
      <c r="AG321" s="51"/>
      <c r="AH321" s="51"/>
      <c r="AI321" s="51"/>
      <c r="AJ321" s="51"/>
      <c r="AK321" s="51"/>
      <c r="AL321" s="51"/>
      <c r="AM321" s="51"/>
      <c r="AN321" s="51"/>
      <c r="AO321" s="51"/>
      <c r="AP321" s="51"/>
      <c r="AQ321" s="51"/>
      <c r="AR321" s="51"/>
      <c r="AS321" s="51"/>
      <c r="AT321" s="51"/>
      <c r="AU321" s="51"/>
      <c r="AV321" s="51"/>
      <c r="AW321" s="51"/>
      <c r="AX321" s="51"/>
      <c r="AY321" s="51"/>
      <c r="AZ321" s="51"/>
      <c r="BA321" s="51"/>
      <c r="BB321" s="51"/>
      <c r="BC321" s="51"/>
      <c r="BD321" s="51"/>
      <c r="BE321" s="51"/>
    </row>
    <row r="322">
      <c r="A322" s="152">
        <v>2.0</v>
      </c>
      <c r="B322" s="365" t="s">
        <v>3659</v>
      </c>
      <c r="C322" s="47">
        <v>318.0</v>
      </c>
      <c r="D322" s="48"/>
      <c r="E322" s="47" t="s">
        <v>534</v>
      </c>
      <c r="F322" s="156" t="str">
        <f>HYPERLINK("https://internasional.republika.co.id/berita/internasional/timur-tengah/pp2usp320/aktivis-ungkap-penyiksaan-selama-ditahan-saudi ","sumber")</f>
        <v>sumber</v>
      </c>
      <c r="G322" s="47" t="s">
        <v>33</v>
      </c>
      <c r="H322" s="48"/>
      <c r="I322" s="48"/>
      <c r="J322" s="48"/>
      <c r="K322" s="165"/>
      <c r="L322" s="48"/>
      <c r="M322" s="48"/>
      <c r="N322" s="48"/>
      <c r="O322" s="48"/>
      <c r="P322" s="48"/>
      <c r="Q322" s="48"/>
      <c r="R322" s="48"/>
      <c r="S322" s="165"/>
      <c r="T322" s="48"/>
      <c r="U322" s="48"/>
      <c r="V322" s="48"/>
      <c r="W322" s="48"/>
      <c r="X322" s="48"/>
      <c r="Y322" s="48"/>
      <c r="Z322" s="338"/>
      <c r="AA322" s="366"/>
      <c r="AB322" s="51"/>
      <c r="AC322" s="51"/>
      <c r="AD322" s="51"/>
      <c r="AE322" s="51"/>
      <c r="AF322" s="51"/>
      <c r="AG322" s="51"/>
      <c r="AH322" s="51"/>
      <c r="AI322" s="51"/>
      <c r="AJ322" s="51"/>
      <c r="AK322" s="51"/>
      <c r="AL322" s="51"/>
      <c r="AM322" s="51"/>
      <c r="AN322" s="51"/>
      <c r="AO322" s="51"/>
      <c r="AP322" s="51"/>
      <c r="AQ322" s="51"/>
      <c r="AR322" s="51"/>
      <c r="AS322" s="51"/>
      <c r="AT322" s="51"/>
      <c r="AU322" s="51"/>
      <c r="AV322" s="51"/>
      <c r="AW322" s="51"/>
      <c r="AX322" s="51"/>
      <c r="AY322" s="51"/>
      <c r="AZ322" s="51"/>
      <c r="BA322" s="51"/>
      <c r="BB322" s="51"/>
      <c r="BC322" s="51"/>
      <c r="BD322" s="51"/>
      <c r="BE322" s="51"/>
    </row>
    <row r="323" ht="15.75" customHeight="1">
      <c r="A323" s="152">
        <v>2.0</v>
      </c>
      <c r="B323" s="365" t="s">
        <v>5348</v>
      </c>
      <c r="C323" s="47">
        <v>319.0</v>
      </c>
      <c r="D323" s="48"/>
      <c r="E323" s="47" t="s">
        <v>2691</v>
      </c>
      <c r="F323" s="156" t="str">
        <f>HYPERLINK("https://www.suara.com/tekno/2019/03/29/222528/kominfo-prostitusi-online-paling-banyak-di-twitter ","sumber")</f>
        <v>sumber</v>
      </c>
      <c r="G323" s="47" t="s">
        <v>33</v>
      </c>
      <c r="H323" s="48"/>
      <c r="I323" s="48"/>
      <c r="J323" s="48"/>
      <c r="K323" s="165"/>
      <c r="L323" s="48"/>
      <c r="M323" s="48"/>
      <c r="N323" s="48"/>
      <c r="O323" s="48"/>
      <c r="P323" s="48"/>
      <c r="Q323" s="48"/>
      <c r="R323" s="48"/>
      <c r="S323" s="165"/>
      <c r="T323" s="48"/>
      <c r="U323" s="48"/>
      <c r="V323" s="48"/>
      <c r="W323" s="48"/>
      <c r="X323" s="48"/>
      <c r="Y323" s="48"/>
      <c r="Z323" s="338"/>
      <c r="AA323" s="366"/>
      <c r="AB323" s="51"/>
      <c r="AC323" s="51"/>
      <c r="AD323" s="51"/>
      <c r="AE323" s="51"/>
      <c r="AF323" s="51"/>
      <c r="AG323" s="51"/>
      <c r="AH323" s="51"/>
      <c r="AI323" s="51"/>
      <c r="AJ323" s="51"/>
      <c r="AK323" s="51"/>
      <c r="AL323" s="51"/>
      <c r="AM323" s="51"/>
      <c r="AN323" s="51"/>
      <c r="AO323" s="51"/>
      <c r="AP323" s="51"/>
      <c r="AQ323" s="51"/>
      <c r="AR323" s="51"/>
      <c r="AS323" s="51"/>
      <c r="AT323" s="51"/>
      <c r="AU323" s="51"/>
      <c r="AV323" s="51"/>
      <c r="AW323" s="51"/>
      <c r="AX323" s="51"/>
      <c r="AY323" s="51"/>
      <c r="AZ323" s="51"/>
      <c r="BA323" s="51"/>
      <c r="BB323" s="51"/>
      <c r="BC323" s="51"/>
      <c r="BD323" s="51"/>
      <c r="BE323" s="51"/>
    </row>
    <row r="324">
      <c r="A324" s="167">
        <v>1.0</v>
      </c>
      <c r="B324" s="341" t="s">
        <v>168</v>
      </c>
      <c r="C324" s="55">
        <v>320.0</v>
      </c>
      <c r="D324" s="55">
        <v>7.0</v>
      </c>
      <c r="E324" s="55" t="s">
        <v>164</v>
      </c>
      <c r="F324" s="171" t="str">
        <f>HYPERLINK("http://www.tribunnews.com/nasional/2019/03/09/sambil-memangku-cucunya-seorang-ibu-menangis-di-ruang-rapat-komisi-viii-dpr-ri ","sumber")</f>
        <v>sumber</v>
      </c>
      <c r="G324" s="55" t="s">
        <v>33</v>
      </c>
      <c r="H324" s="55">
        <v>2.0</v>
      </c>
      <c r="I324" s="55">
        <v>3.0</v>
      </c>
      <c r="J324" s="55">
        <v>2.0</v>
      </c>
      <c r="K324" s="172" t="s">
        <v>5349</v>
      </c>
      <c r="L324" s="55">
        <v>0.0</v>
      </c>
      <c r="M324" s="55">
        <v>0.0</v>
      </c>
      <c r="N324" s="173">
        <v>0.0</v>
      </c>
      <c r="O324" s="173">
        <v>0.0</v>
      </c>
      <c r="P324" s="55">
        <v>0.0</v>
      </c>
      <c r="Q324" s="55" t="s">
        <v>100</v>
      </c>
      <c r="R324" s="55" t="s">
        <v>192</v>
      </c>
      <c r="S324" s="174"/>
      <c r="T324" s="55">
        <v>0.0</v>
      </c>
      <c r="U324" s="55">
        <v>0.0</v>
      </c>
      <c r="V324" s="55">
        <v>1.0</v>
      </c>
      <c r="W324" s="46"/>
      <c r="X324" s="46"/>
      <c r="Y324" s="46"/>
      <c r="Z324" s="302"/>
      <c r="AA324" s="367"/>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row>
    <row r="325">
      <c r="A325" s="158">
        <v>1.0</v>
      </c>
      <c r="B325" s="351" t="s">
        <v>5350</v>
      </c>
      <c r="C325" s="44">
        <v>321.0</v>
      </c>
      <c r="D325" s="44">
        <v>1.0</v>
      </c>
      <c r="E325" s="268">
        <v>43620.0</v>
      </c>
      <c r="F325" s="162" t="str">
        <f>HYPERLINK("https://news.detik.com/abc-australia/d-4498999/medsos-hotel-hotel-sultan-brunei-nonaktif-setelah-protes-hukuman-mati ","sumber")</f>
        <v>sumber</v>
      </c>
      <c r="G325" s="44" t="s">
        <v>33</v>
      </c>
      <c r="H325" s="44">
        <v>507.0</v>
      </c>
      <c r="I325" s="44">
        <v>1.0</v>
      </c>
      <c r="J325" s="44">
        <v>3.0</v>
      </c>
      <c r="K325" s="164" t="s">
        <v>5351</v>
      </c>
      <c r="L325" s="44">
        <v>0.0</v>
      </c>
      <c r="M325" s="44">
        <v>0.0</v>
      </c>
      <c r="N325" s="166">
        <v>0.0</v>
      </c>
      <c r="O325" s="166">
        <v>0.0</v>
      </c>
      <c r="P325" s="44">
        <v>0.0</v>
      </c>
      <c r="Q325" s="406" t="s">
        <v>53</v>
      </c>
      <c r="R325" s="44" t="s">
        <v>392</v>
      </c>
      <c r="S325" s="175"/>
      <c r="T325" s="44">
        <v>0.0</v>
      </c>
      <c r="U325" s="44">
        <v>0.0</v>
      </c>
      <c r="V325" s="44">
        <v>1.0</v>
      </c>
      <c r="W325" s="45"/>
      <c r="X325" s="45"/>
      <c r="Y325" s="45"/>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row>
    <row r="326">
      <c r="A326" s="167">
        <v>1.0</v>
      </c>
      <c r="B326" s="341" t="s">
        <v>5352</v>
      </c>
      <c r="C326" s="55">
        <v>322.0</v>
      </c>
      <c r="D326" s="55">
        <v>9.0</v>
      </c>
      <c r="E326" s="344">
        <v>43620.0</v>
      </c>
      <c r="F326" s="171" t="str">
        <f>HYPERLINK("https://nasional.republika.co.id/berita/nasional/daerah/pq9pwu349/tersangka-pembunuh-istri-di-maluku-terancam-15-tahun-penjara ","sumber")</f>
        <v>sumber</v>
      </c>
      <c r="G326" s="55" t="s">
        <v>33</v>
      </c>
      <c r="H326" s="55">
        <v>1.0</v>
      </c>
      <c r="I326" s="55">
        <v>1.0</v>
      </c>
      <c r="J326" s="55">
        <v>1.0</v>
      </c>
      <c r="K326" s="172" t="s">
        <v>5353</v>
      </c>
      <c r="L326" s="55">
        <v>0.0</v>
      </c>
      <c r="M326" s="55">
        <v>-1.0</v>
      </c>
      <c r="N326" s="173">
        <v>0.0</v>
      </c>
      <c r="O326" s="173">
        <v>0.0</v>
      </c>
      <c r="P326" s="55">
        <v>0.0</v>
      </c>
      <c r="Q326" s="55">
        <v>0.0</v>
      </c>
      <c r="R326" s="55">
        <v>0.0</v>
      </c>
      <c r="S326" s="174"/>
      <c r="T326" s="55">
        <v>0.0</v>
      </c>
      <c r="U326" s="55">
        <v>0.0</v>
      </c>
      <c r="V326" s="55">
        <v>0.0</v>
      </c>
      <c r="W326" s="46"/>
      <c r="X326" s="46"/>
      <c r="Y326" s="46"/>
      <c r="Z326" s="302"/>
      <c r="AA326" s="367"/>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c r="BA326" s="31"/>
      <c r="BB326" s="31"/>
      <c r="BC326" s="31"/>
      <c r="BD326" s="31"/>
      <c r="BE326" s="31"/>
    </row>
    <row r="327">
      <c r="A327" s="152">
        <v>2.0</v>
      </c>
      <c r="B327" s="365" t="s">
        <v>5354</v>
      </c>
      <c r="C327" s="47">
        <v>323.0</v>
      </c>
      <c r="D327" s="48"/>
      <c r="E327" s="280">
        <v>43650.0</v>
      </c>
      <c r="F327" s="156" t="str">
        <f>HYPERLINK("https://regional.kompas.com/read/2019/04/07/11212721/kronologi-polisi-bekuk-mucikari-prostitusi-online-di-makassar ","sumber")</f>
        <v>sumber</v>
      </c>
      <c r="G327" s="47" t="s">
        <v>33</v>
      </c>
      <c r="H327" s="48"/>
      <c r="I327" s="48"/>
      <c r="J327" s="48"/>
      <c r="K327" s="165"/>
      <c r="L327" s="48"/>
      <c r="M327" s="48"/>
      <c r="N327" s="47"/>
      <c r="O327" s="48"/>
      <c r="P327" s="48"/>
      <c r="Q327" s="48"/>
      <c r="R327" s="48"/>
      <c r="S327" s="165"/>
      <c r="T327" s="48"/>
      <c r="U327" s="48"/>
      <c r="V327" s="48"/>
      <c r="W327" s="48"/>
      <c r="X327" s="48"/>
      <c r="Y327" s="48"/>
      <c r="Z327" s="338"/>
      <c r="AA327" s="366"/>
      <c r="AB327" s="51"/>
      <c r="AC327" s="51"/>
      <c r="AD327" s="51"/>
      <c r="AE327" s="51"/>
      <c r="AF327" s="51"/>
      <c r="AG327" s="51"/>
      <c r="AH327" s="51"/>
      <c r="AI327" s="51"/>
      <c r="AJ327" s="51"/>
      <c r="AK327" s="51"/>
      <c r="AL327" s="51"/>
      <c r="AM327" s="51"/>
      <c r="AN327" s="51"/>
      <c r="AO327" s="51"/>
      <c r="AP327" s="51"/>
      <c r="AQ327" s="51"/>
      <c r="AR327" s="51"/>
      <c r="AS327" s="51"/>
      <c r="AT327" s="51"/>
      <c r="AU327" s="51"/>
      <c r="AV327" s="51"/>
      <c r="AW327" s="51"/>
      <c r="AX327" s="51"/>
      <c r="AY327" s="51"/>
      <c r="AZ327" s="51"/>
      <c r="BA327" s="51"/>
      <c r="BB327" s="51"/>
      <c r="BC327" s="51"/>
      <c r="BD327" s="51"/>
      <c r="BE327" s="51"/>
    </row>
    <row r="328">
      <c r="A328" s="167">
        <v>1.0</v>
      </c>
      <c r="B328" s="341" t="s">
        <v>5355</v>
      </c>
      <c r="C328" s="55">
        <v>324.0</v>
      </c>
      <c r="D328" s="55">
        <v>1.0</v>
      </c>
      <c r="E328" s="344">
        <v>43712.0</v>
      </c>
      <c r="F328" s="171" t="str">
        <f>HYPERLINK("https://news.detik.com/bbc-world/d-4493537/kerap-lakukan-kdrt-kakek-di-inggris-dipukuli-istrinya-hingga-tewas ","sumber")</f>
        <v>sumber</v>
      </c>
      <c r="G328" s="55" t="s">
        <v>33</v>
      </c>
      <c r="H328" s="55">
        <v>1.0</v>
      </c>
      <c r="I328" s="55">
        <v>2.0</v>
      </c>
      <c r="J328" s="55">
        <v>1.0</v>
      </c>
      <c r="K328" s="172" t="s">
        <v>5356</v>
      </c>
      <c r="L328" s="55">
        <v>0.0</v>
      </c>
      <c r="M328" s="55">
        <v>0.0</v>
      </c>
      <c r="N328" s="173">
        <v>0.0</v>
      </c>
      <c r="O328" s="173">
        <v>0.0</v>
      </c>
      <c r="P328" s="55">
        <v>0.0</v>
      </c>
      <c r="Q328" s="55">
        <v>0.0</v>
      </c>
      <c r="R328" s="55">
        <v>1.0</v>
      </c>
      <c r="S328" s="174"/>
      <c r="T328" s="55">
        <v>0.0</v>
      </c>
      <c r="U328" s="55">
        <v>0.0</v>
      </c>
      <c r="V328" s="55">
        <v>1.0</v>
      </c>
      <c r="W328" s="46"/>
      <c r="X328" s="46"/>
      <c r="Y328" s="46"/>
      <c r="Z328" s="302"/>
      <c r="AA328" s="367"/>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c r="BB328" s="31"/>
      <c r="BC328" s="31"/>
      <c r="BD328" s="31"/>
      <c r="BE328" s="31"/>
    </row>
    <row r="329">
      <c r="A329" s="152">
        <v>2.0</v>
      </c>
      <c r="B329" s="365" t="s">
        <v>1670</v>
      </c>
      <c r="C329" s="47">
        <v>325.0</v>
      </c>
      <c r="D329" s="48"/>
      <c r="E329" s="280">
        <v>43773.0</v>
      </c>
      <c r="F329" s="156" t="str">
        <f>HYPERLINK("https://news.okezone.com/read/2019/04/11/337/2042049/kementerian-pppa-3-tersangka-penganiaya-au-depresi-berat ","sumber")</f>
        <v>sumber</v>
      </c>
      <c r="G329" s="47" t="s">
        <v>33</v>
      </c>
      <c r="H329" s="48"/>
      <c r="I329" s="48"/>
      <c r="J329" s="48"/>
      <c r="K329" s="165"/>
      <c r="L329" s="48"/>
      <c r="M329" s="48"/>
      <c r="N329" s="48"/>
      <c r="O329" s="48"/>
      <c r="P329" s="48"/>
      <c r="Q329" s="48"/>
      <c r="R329" s="48"/>
      <c r="S329" s="165"/>
      <c r="T329" s="48"/>
      <c r="U329" s="48"/>
      <c r="V329" s="48"/>
      <c r="W329" s="48"/>
      <c r="X329" s="48"/>
      <c r="Y329" s="48"/>
      <c r="Z329" s="338"/>
      <c r="AA329" s="366"/>
      <c r="AB329" s="51"/>
      <c r="AC329" s="51"/>
      <c r="AD329" s="51"/>
      <c r="AE329" s="51"/>
      <c r="AF329" s="51"/>
      <c r="AG329" s="51"/>
      <c r="AH329" s="51"/>
      <c r="AI329" s="51"/>
      <c r="AJ329" s="51"/>
      <c r="AK329" s="51"/>
      <c r="AL329" s="51"/>
      <c r="AM329" s="51"/>
      <c r="AN329" s="51"/>
      <c r="AO329" s="51"/>
      <c r="AP329" s="51"/>
      <c r="AQ329" s="51"/>
      <c r="AR329" s="51"/>
      <c r="AS329" s="51"/>
      <c r="AT329" s="51"/>
      <c r="AU329" s="51"/>
      <c r="AV329" s="51"/>
      <c r="AW329" s="51"/>
      <c r="AX329" s="51"/>
      <c r="AY329" s="51"/>
      <c r="AZ329" s="51"/>
      <c r="BA329" s="51"/>
      <c r="BB329" s="51"/>
      <c r="BC329" s="51"/>
      <c r="BD329" s="51"/>
      <c r="BE329" s="51"/>
    </row>
    <row r="330">
      <c r="A330" s="152">
        <v>2.0</v>
      </c>
      <c r="B330" s="365" t="s">
        <v>5357</v>
      </c>
      <c r="C330" s="47">
        <v>326.0</v>
      </c>
      <c r="D330" s="48"/>
      <c r="E330" s="280">
        <v>43803.0</v>
      </c>
      <c r="F330" s="156" t="str">
        <f>HYPERLINK("https://tirto.id/kasus-kekerasan-anak-kemenpppa-usulkan-ada-uu-pengasuhan-keluarga-dlXk?__cf_chl_captcha_tk__=a4f5fd8de4235b9bd95c005f5dd5d1e451e3dbb5-1581411805-0-AUuXS-EPWx6IEMt8_9JFRAPa1eXmu20CwQ45OA_XHVgat2IRFGGFS2FMxQj0SInbIqp_3Ex3Y50ADuZfXlQM3c6BIEG"&amp;"NKH98kbhkaYHchCwvlUhoMUT6iC0F91toizryc_-_6tMFvzyutVCA6yb8_4UPPVzoN7bS_2Kn8y1AEUESH6L4Voho0R7uW2uwMy0dzk82SsNFjXY_2dowTnZSDOCeU09m2L3a5EWD8SyCRUy1Se-FpRz_1H64E07Mej1DCg7eMCUf6NBrHDTDcHE2il50-J5REBGocmPCYRhj-dihtpDlnWmldKjCMVIbKwXvgcu8WA4nxmjOAJ38iGfYzFZFym"&amp;"f7oQtPoPs0NqgCXktNdQs8uN2VHhQ1XwAFHWl7tClM2t8m_qiM5tIeLmhv4M_CX4wtA_wvK7piVeY-TclfWIIkB8ooAAu8XvwgmdFzHA","sumber")</f>
        <v>sumber</v>
      </c>
      <c r="G330" s="47" t="s">
        <v>33</v>
      </c>
      <c r="H330" s="48"/>
      <c r="I330" s="48"/>
      <c r="J330" s="48"/>
      <c r="K330" s="165"/>
      <c r="L330" s="48"/>
      <c r="M330" s="48"/>
      <c r="N330" s="48"/>
      <c r="O330" s="48"/>
      <c r="P330" s="48"/>
      <c r="Q330" s="48"/>
      <c r="R330" s="48"/>
      <c r="S330" s="165"/>
      <c r="T330" s="48"/>
      <c r="U330" s="48"/>
      <c r="V330" s="48"/>
      <c r="W330" s="48"/>
      <c r="X330" s="48"/>
      <c r="Y330" s="48"/>
      <c r="Z330" s="338"/>
      <c r="AA330" s="366"/>
      <c r="AB330" s="51"/>
      <c r="AC330" s="51"/>
      <c r="AD330" s="51"/>
      <c r="AE330" s="51"/>
      <c r="AF330" s="51"/>
      <c r="AG330" s="51"/>
      <c r="AH330" s="51"/>
      <c r="AI330" s="51"/>
      <c r="AJ330" s="51"/>
      <c r="AK330" s="51"/>
      <c r="AL330" s="51"/>
      <c r="AM330" s="51"/>
      <c r="AN330" s="51"/>
      <c r="AO330" s="51"/>
      <c r="AP330" s="51"/>
      <c r="AQ330" s="51"/>
      <c r="AR330" s="51"/>
      <c r="AS330" s="51"/>
      <c r="AT330" s="51"/>
      <c r="AU330" s="51"/>
      <c r="AV330" s="51"/>
      <c r="AW330" s="51"/>
      <c r="AX330" s="51"/>
      <c r="AY330" s="51"/>
      <c r="AZ330" s="51"/>
      <c r="BA330" s="51"/>
      <c r="BB330" s="51"/>
      <c r="BC330" s="51"/>
      <c r="BD330" s="51"/>
      <c r="BE330" s="51"/>
    </row>
    <row r="331">
      <c r="A331" s="152">
        <v>2.0</v>
      </c>
      <c r="B331" s="365" t="s">
        <v>5358</v>
      </c>
      <c r="C331" s="47">
        <v>327.0</v>
      </c>
      <c r="D331" s="48"/>
      <c r="E331" s="47" t="s">
        <v>766</v>
      </c>
      <c r="F331" s="156" t="str">
        <f>HYPERLINK("https://hot.liputan6.com/read/3940695/selain-isu-pangeran-william-dan-rose-hanbury-ini-7-skandal-keluarga-kerajaan-inggris ","sumber")</f>
        <v>sumber</v>
      </c>
      <c r="G331" s="47" t="s">
        <v>33</v>
      </c>
      <c r="H331" s="48"/>
      <c r="I331" s="48"/>
      <c r="J331" s="48"/>
      <c r="K331" s="165"/>
      <c r="L331" s="48"/>
      <c r="M331" s="48"/>
      <c r="N331" s="48"/>
      <c r="O331" s="48"/>
      <c r="P331" s="48"/>
      <c r="Q331" s="48"/>
      <c r="R331" s="48"/>
      <c r="S331" s="165"/>
      <c r="T331" s="48"/>
      <c r="U331" s="48"/>
      <c r="V331" s="48"/>
      <c r="W331" s="48"/>
      <c r="X331" s="48"/>
      <c r="Y331" s="48"/>
      <c r="Z331" s="338"/>
      <c r="AA331" s="366"/>
      <c r="AB331" s="51"/>
      <c r="AC331" s="51"/>
      <c r="AD331" s="51"/>
      <c r="AE331" s="51"/>
      <c r="AF331" s="51"/>
      <c r="AG331" s="51"/>
      <c r="AH331" s="51"/>
      <c r="AI331" s="51"/>
      <c r="AJ331" s="51"/>
      <c r="AK331" s="51"/>
      <c r="AL331" s="51"/>
      <c r="AM331" s="51"/>
      <c r="AN331" s="51"/>
      <c r="AO331" s="51"/>
      <c r="AP331" s="51"/>
      <c r="AQ331" s="51"/>
      <c r="AR331" s="51"/>
      <c r="AS331" s="51"/>
      <c r="AT331" s="51"/>
      <c r="AU331" s="51"/>
      <c r="AV331" s="51"/>
      <c r="AW331" s="51"/>
      <c r="AX331" s="51"/>
      <c r="AY331" s="51"/>
      <c r="AZ331" s="51"/>
      <c r="BA331" s="51"/>
      <c r="BB331" s="51"/>
      <c r="BC331" s="51"/>
      <c r="BD331" s="51"/>
      <c r="BE331" s="51"/>
    </row>
    <row r="332">
      <c r="A332" s="152">
        <v>2.0</v>
      </c>
      <c r="B332" s="365" t="s">
        <v>5359</v>
      </c>
      <c r="C332" s="47">
        <v>328.0</v>
      </c>
      <c r="D332" s="47"/>
      <c r="E332" s="47" t="s">
        <v>5360</v>
      </c>
      <c r="F332" s="156" t="str">
        <f>HYPERLINK("https://www.liputan6.com/global/read/3941718/ayah-bos-wikileaks-minta-bantuan-australia-pulangkan-sang-putra ","sumber")</f>
        <v>sumber</v>
      </c>
      <c r="G332" s="47" t="s">
        <v>33</v>
      </c>
      <c r="H332" s="47"/>
      <c r="I332" s="47"/>
      <c r="J332" s="47"/>
      <c r="K332" s="165"/>
      <c r="L332" s="48"/>
      <c r="M332" s="48"/>
      <c r="N332" s="48"/>
      <c r="O332" s="48"/>
      <c r="P332" s="48"/>
      <c r="Q332" s="48"/>
      <c r="R332" s="48"/>
      <c r="S332" s="165"/>
      <c r="T332" s="48"/>
      <c r="U332" s="48"/>
      <c r="V332" s="48"/>
      <c r="W332" s="48"/>
      <c r="X332" s="48"/>
      <c r="Y332" s="48"/>
      <c r="Z332" s="338"/>
      <c r="AA332" s="366"/>
      <c r="AB332" s="51"/>
      <c r="AC332" s="51"/>
      <c r="AD332" s="51"/>
      <c r="AE332" s="51"/>
      <c r="AF332" s="51"/>
      <c r="AG332" s="51"/>
      <c r="AH332" s="51"/>
      <c r="AI332" s="51"/>
      <c r="AJ332" s="51"/>
      <c r="AK332" s="51"/>
      <c r="AL332" s="51"/>
      <c r="AM332" s="51"/>
      <c r="AN332" s="51"/>
      <c r="AO332" s="51"/>
      <c r="AP332" s="51"/>
      <c r="AQ332" s="51"/>
      <c r="AR332" s="51"/>
      <c r="AS332" s="51"/>
      <c r="AT332" s="51"/>
      <c r="AU332" s="51"/>
      <c r="AV332" s="51"/>
      <c r="AW332" s="51"/>
      <c r="AX332" s="51"/>
      <c r="AY332" s="51"/>
      <c r="AZ332" s="51"/>
      <c r="BA332" s="51"/>
      <c r="BB332" s="51"/>
      <c r="BC332" s="51"/>
      <c r="BD332" s="51"/>
      <c r="BE332" s="51"/>
    </row>
    <row r="333">
      <c r="A333" s="152">
        <v>2.0</v>
      </c>
      <c r="B333" s="365" t="s">
        <v>5361</v>
      </c>
      <c r="C333" s="47">
        <v>329.0</v>
      </c>
      <c r="D333" s="48"/>
      <c r="E333" s="47" t="s">
        <v>2573</v>
      </c>
      <c r="F333" s="156" t="str">
        <f>HYPERLINK("https://www.cnnindonesia.com/hiburan/20190415170632-234-386570/seungri-terbukti-bayar-pramuria-di-pesta-yang-dihadiri-raline ","sumber")</f>
        <v>sumber</v>
      </c>
      <c r="G333" s="47" t="s">
        <v>33</v>
      </c>
      <c r="H333" s="48"/>
      <c r="I333" s="48"/>
      <c r="J333" s="48"/>
      <c r="K333" s="165"/>
      <c r="L333" s="48"/>
      <c r="M333" s="48"/>
      <c r="N333" s="48"/>
      <c r="O333" s="48"/>
      <c r="P333" s="48"/>
      <c r="Q333" s="48"/>
      <c r="R333" s="48"/>
      <c r="S333" s="165"/>
      <c r="T333" s="48"/>
      <c r="U333" s="48"/>
      <c r="V333" s="48"/>
      <c r="W333" s="48"/>
      <c r="X333" s="48"/>
      <c r="Y333" s="48"/>
      <c r="Z333" s="338"/>
      <c r="AA333" s="366"/>
      <c r="AB333" s="51"/>
      <c r="AC333" s="51"/>
      <c r="AD333" s="51"/>
      <c r="AE333" s="51"/>
      <c r="AF333" s="51"/>
      <c r="AG333" s="51"/>
      <c r="AH333" s="51"/>
      <c r="AI333" s="51"/>
      <c r="AJ333" s="51"/>
      <c r="AK333" s="51"/>
      <c r="AL333" s="51"/>
      <c r="AM333" s="51"/>
      <c r="AN333" s="51"/>
      <c r="AO333" s="51"/>
      <c r="AP333" s="51"/>
      <c r="AQ333" s="51"/>
      <c r="AR333" s="51"/>
      <c r="AS333" s="51"/>
      <c r="AT333" s="51"/>
      <c r="AU333" s="51"/>
      <c r="AV333" s="51"/>
      <c r="AW333" s="51"/>
      <c r="AX333" s="51"/>
      <c r="AY333" s="51"/>
      <c r="AZ333" s="51"/>
      <c r="BA333" s="51"/>
      <c r="BB333" s="51"/>
      <c r="BC333" s="51"/>
      <c r="BD333" s="51"/>
      <c r="BE333" s="51"/>
    </row>
    <row r="334">
      <c r="A334" s="158">
        <v>1.0</v>
      </c>
      <c r="B334" s="351" t="s">
        <v>5362</v>
      </c>
      <c r="C334" s="44">
        <v>330.0</v>
      </c>
      <c r="D334" s="44">
        <v>6.0</v>
      </c>
      <c r="E334" s="44" t="s">
        <v>557</v>
      </c>
      <c r="F334" s="162" t="str">
        <f>HYPERLINK("https://bola.kompas.com/read/2019/04/19/13000098/lawan-pelecehan-rasial-pemain-liga-inggris-boikot-media-sosial ","sumber")</f>
        <v>sumber</v>
      </c>
      <c r="G334" s="44" t="s">
        <v>33</v>
      </c>
      <c r="H334" s="44">
        <v>400.0</v>
      </c>
      <c r="I334" s="44">
        <v>2.0</v>
      </c>
      <c r="J334" s="44">
        <v>0.0</v>
      </c>
      <c r="K334" s="164" t="s">
        <v>5363</v>
      </c>
      <c r="L334" s="44">
        <v>0.0</v>
      </c>
      <c r="M334" s="44">
        <v>0.0</v>
      </c>
      <c r="N334" s="166">
        <v>0.0</v>
      </c>
      <c r="O334" s="166">
        <v>0.0</v>
      </c>
      <c r="P334" s="44">
        <v>0.0</v>
      </c>
      <c r="Q334" s="44" t="s">
        <v>119</v>
      </c>
      <c r="R334" s="44" t="s">
        <v>192</v>
      </c>
      <c r="S334" s="175"/>
      <c r="T334" s="44">
        <v>0.0</v>
      </c>
      <c r="U334" s="44">
        <v>0.0</v>
      </c>
      <c r="V334" s="44">
        <v>1.0</v>
      </c>
      <c r="W334" s="45"/>
      <c r="X334" s="45"/>
      <c r="Y334" s="45"/>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row>
    <row r="335">
      <c r="A335" s="152">
        <v>2.0</v>
      </c>
      <c r="B335" s="365" t="s">
        <v>5364</v>
      </c>
      <c r="C335" s="47">
        <v>331.0</v>
      </c>
      <c r="D335" s="48"/>
      <c r="E335" s="47" t="s">
        <v>194</v>
      </c>
      <c r="F335" s="156" t="str">
        <f>HYPERLINK("https://sport.tempo.co/read/1198310/petarung-mma-rodrigo-de-lima-tewas-ditabrak-taksi-online ","sumber")</f>
        <v>sumber</v>
      </c>
      <c r="G335" s="47" t="s">
        <v>33</v>
      </c>
      <c r="H335" s="48"/>
      <c r="I335" s="48"/>
      <c r="J335" s="48"/>
      <c r="K335" s="165"/>
      <c r="L335" s="48"/>
      <c r="M335" s="48"/>
      <c r="N335" s="47"/>
      <c r="O335" s="48"/>
      <c r="P335" s="48"/>
      <c r="Q335" s="48"/>
      <c r="R335" s="48"/>
      <c r="S335" s="165"/>
      <c r="T335" s="48"/>
      <c r="U335" s="48"/>
      <c r="V335" s="48"/>
      <c r="W335" s="48"/>
      <c r="X335" s="48"/>
      <c r="Y335" s="48"/>
      <c r="Z335" s="338"/>
      <c r="AA335" s="366"/>
      <c r="AB335" s="51"/>
      <c r="AC335" s="51"/>
      <c r="AD335" s="51"/>
      <c r="AE335" s="51"/>
      <c r="AF335" s="51"/>
      <c r="AG335" s="51"/>
      <c r="AH335" s="51"/>
      <c r="AI335" s="51"/>
      <c r="AJ335" s="51"/>
      <c r="AK335" s="51"/>
      <c r="AL335" s="51"/>
      <c r="AM335" s="51"/>
      <c r="AN335" s="51"/>
      <c r="AO335" s="51"/>
      <c r="AP335" s="51"/>
      <c r="AQ335" s="51"/>
      <c r="AR335" s="51"/>
      <c r="AS335" s="51"/>
      <c r="AT335" s="51"/>
      <c r="AU335" s="51"/>
      <c r="AV335" s="51"/>
      <c r="AW335" s="51"/>
      <c r="AX335" s="51"/>
      <c r="AY335" s="51"/>
      <c r="AZ335" s="51"/>
      <c r="BA335" s="51"/>
      <c r="BB335" s="51"/>
      <c r="BC335" s="51"/>
      <c r="BD335" s="51"/>
      <c r="BE335" s="51"/>
    </row>
    <row r="336">
      <c r="A336" s="152">
        <v>2.0</v>
      </c>
      <c r="B336" s="365" t="s">
        <v>5365</v>
      </c>
      <c r="C336" s="47">
        <v>332.0</v>
      </c>
      <c r="D336" s="48"/>
      <c r="E336" s="47" t="s">
        <v>553</v>
      </c>
      <c r="F336" s="156" t="str">
        <f>HYPERLINK("https://www.liputan6.com/showbiz/read/3949730/penyewa-jasa-booking-out-vanessa-angel-jadi-dpo-polda-jatim ","sumber")</f>
        <v>sumber</v>
      </c>
      <c r="G336" s="47" t="s">
        <v>33</v>
      </c>
      <c r="H336" s="48"/>
      <c r="I336" s="48"/>
      <c r="J336" s="48"/>
      <c r="K336" s="165"/>
      <c r="L336" s="48"/>
      <c r="M336" s="48"/>
      <c r="N336" s="48"/>
      <c r="O336" s="48"/>
      <c r="P336" s="48"/>
      <c r="Q336" s="48"/>
      <c r="R336" s="48"/>
      <c r="S336" s="165"/>
      <c r="T336" s="48"/>
      <c r="U336" s="48"/>
      <c r="V336" s="48"/>
      <c r="W336" s="48"/>
      <c r="X336" s="48"/>
      <c r="Y336" s="48"/>
      <c r="Z336" s="338"/>
      <c r="AA336" s="366"/>
      <c r="AB336" s="51"/>
      <c r="AC336" s="51"/>
      <c r="AD336" s="51"/>
      <c r="AE336" s="51"/>
      <c r="AF336" s="51"/>
      <c r="AG336" s="51"/>
      <c r="AH336" s="51"/>
      <c r="AI336" s="51"/>
      <c r="AJ336" s="51"/>
      <c r="AK336" s="51"/>
      <c r="AL336" s="51"/>
      <c r="AM336" s="51"/>
      <c r="AN336" s="51"/>
      <c r="AO336" s="51"/>
      <c r="AP336" s="51"/>
      <c r="AQ336" s="51"/>
      <c r="AR336" s="51"/>
      <c r="AS336" s="51"/>
      <c r="AT336" s="51"/>
      <c r="AU336" s="51"/>
      <c r="AV336" s="51"/>
      <c r="AW336" s="51"/>
      <c r="AX336" s="51"/>
      <c r="AY336" s="51"/>
      <c r="AZ336" s="51"/>
      <c r="BA336" s="51"/>
      <c r="BB336" s="51"/>
      <c r="BC336" s="51"/>
      <c r="BD336" s="51"/>
      <c r="BE336" s="51"/>
    </row>
    <row r="337">
      <c r="A337" s="158">
        <v>1.0</v>
      </c>
      <c r="B337" s="351" t="s">
        <v>1685</v>
      </c>
      <c r="C337" s="44">
        <v>333.0</v>
      </c>
      <c r="D337" s="45"/>
      <c r="E337" s="268">
        <v>43590.0</v>
      </c>
      <c r="F337" s="162" t="str">
        <f>HYPERLINK("http://www.tribunnews.com/regional/2019/05/05/mati-lampu-resbi-malah-cari-kesempatan-untuk-memperkosa-tetangga ","sumber")</f>
        <v>sumber</v>
      </c>
      <c r="G337" s="44" t="s">
        <v>33</v>
      </c>
      <c r="H337" s="45"/>
      <c r="I337" s="44">
        <v>1.0</v>
      </c>
      <c r="J337" s="44">
        <v>1.0</v>
      </c>
      <c r="K337" s="164" t="s">
        <v>5366</v>
      </c>
      <c r="L337" s="44">
        <v>0.0</v>
      </c>
      <c r="M337" s="44">
        <v>0.0</v>
      </c>
      <c r="N337" s="166">
        <v>0.0</v>
      </c>
      <c r="O337" s="44">
        <v>-1.0</v>
      </c>
      <c r="P337" s="44">
        <v>-1.0</v>
      </c>
      <c r="Q337" s="44" t="s">
        <v>61</v>
      </c>
      <c r="R337" s="44" t="s">
        <v>192</v>
      </c>
      <c r="S337" s="175"/>
      <c r="T337" s="44">
        <v>0.0</v>
      </c>
      <c r="U337" s="44">
        <v>0.0</v>
      </c>
      <c r="V337" s="44">
        <v>1.0</v>
      </c>
      <c r="W337" s="45"/>
      <c r="X337" s="45"/>
      <c r="Y337" s="45"/>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row>
    <row r="338">
      <c r="A338" s="152">
        <v>2.0</v>
      </c>
      <c r="B338" s="365" t="s">
        <v>5367</v>
      </c>
      <c r="C338" s="47">
        <v>334.0</v>
      </c>
      <c r="D338" s="48"/>
      <c r="E338" s="280">
        <v>43713.0</v>
      </c>
      <c r="F338" s="156" t="str">
        <f>HYPERLINK("https://www.suara.com/entertainment/2019/05/09/154025/cari-sosok-rian-mantan-vanessa-angel-bikin-sayembara-senilai-rp-60-juta ","sumber")</f>
        <v>sumber</v>
      </c>
      <c r="G338" s="47" t="s">
        <v>33</v>
      </c>
      <c r="H338" s="48"/>
      <c r="I338" s="48"/>
      <c r="J338" s="48"/>
      <c r="K338" s="165"/>
      <c r="L338" s="48"/>
      <c r="M338" s="48"/>
      <c r="N338" s="48"/>
      <c r="O338" s="48"/>
      <c r="P338" s="48"/>
      <c r="Q338" s="48"/>
      <c r="R338" s="48"/>
      <c r="S338" s="165"/>
      <c r="T338" s="48"/>
      <c r="U338" s="48"/>
      <c r="V338" s="48"/>
      <c r="W338" s="48"/>
      <c r="X338" s="48"/>
      <c r="Y338" s="48"/>
      <c r="Z338" s="338"/>
      <c r="AA338" s="366"/>
      <c r="AB338" s="51"/>
      <c r="AC338" s="51"/>
      <c r="AD338" s="51"/>
      <c r="AE338" s="51"/>
      <c r="AF338" s="51"/>
      <c r="AG338" s="51"/>
      <c r="AH338" s="51"/>
      <c r="AI338" s="51"/>
      <c r="AJ338" s="51"/>
      <c r="AK338" s="51"/>
      <c r="AL338" s="51"/>
      <c r="AM338" s="51"/>
      <c r="AN338" s="51"/>
      <c r="AO338" s="51"/>
      <c r="AP338" s="51"/>
      <c r="AQ338" s="51"/>
      <c r="AR338" s="51"/>
      <c r="AS338" s="51"/>
      <c r="AT338" s="51"/>
      <c r="AU338" s="51"/>
      <c r="AV338" s="51"/>
      <c r="AW338" s="51"/>
      <c r="AX338" s="51"/>
      <c r="AY338" s="51"/>
      <c r="AZ338" s="51"/>
      <c r="BA338" s="51"/>
      <c r="BB338" s="51"/>
      <c r="BC338" s="51"/>
      <c r="BD338" s="51"/>
      <c r="BE338" s="51"/>
    </row>
    <row r="339">
      <c r="A339" s="152">
        <v>2.0</v>
      </c>
      <c r="B339" s="365" t="s">
        <v>5368</v>
      </c>
      <c r="C339" s="47">
        <v>335.0</v>
      </c>
      <c r="D339" s="48"/>
      <c r="E339" s="280">
        <v>43743.0</v>
      </c>
      <c r="F339" s="156" t="str">
        <f>HYPERLINK("https://sport.tempo.co/read/1204157/marko-simic-datang-persija-pinjamkan-silvio-escobar ","sumber")</f>
        <v>sumber</v>
      </c>
      <c r="G339" s="47" t="s">
        <v>33</v>
      </c>
      <c r="H339" s="48"/>
      <c r="I339" s="48"/>
      <c r="J339" s="48"/>
      <c r="K339" s="165"/>
      <c r="L339" s="48"/>
      <c r="M339" s="48"/>
      <c r="N339" s="48"/>
      <c r="O339" s="48"/>
      <c r="P339" s="48"/>
      <c r="Q339" s="48"/>
      <c r="R339" s="48"/>
      <c r="S339" s="165"/>
      <c r="T339" s="48"/>
      <c r="U339" s="48"/>
      <c r="V339" s="48"/>
      <c r="W339" s="48"/>
      <c r="X339" s="48"/>
      <c r="Y339" s="48"/>
      <c r="Z339" s="338"/>
      <c r="AA339" s="366"/>
      <c r="AB339" s="51"/>
      <c r="AC339" s="51"/>
      <c r="AD339" s="51"/>
      <c r="AE339" s="51"/>
      <c r="AF339" s="51"/>
      <c r="AG339" s="51"/>
      <c r="AH339" s="51"/>
      <c r="AI339" s="51"/>
      <c r="AJ339" s="51"/>
      <c r="AK339" s="51"/>
      <c r="AL339" s="51"/>
      <c r="AM339" s="51"/>
      <c r="AN339" s="51"/>
      <c r="AO339" s="51"/>
      <c r="AP339" s="51"/>
      <c r="AQ339" s="51"/>
      <c r="AR339" s="51"/>
      <c r="AS339" s="51"/>
      <c r="AT339" s="51"/>
      <c r="AU339" s="51"/>
      <c r="AV339" s="51"/>
      <c r="AW339" s="51"/>
      <c r="AX339" s="51"/>
      <c r="AY339" s="51"/>
      <c r="AZ339" s="51"/>
      <c r="BA339" s="51"/>
      <c r="BB339" s="51"/>
      <c r="BC339" s="51"/>
      <c r="BD339" s="51"/>
      <c r="BE339" s="51"/>
    </row>
    <row r="340">
      <c r="A340" s="152">
        <v>2.0</v>
      </c>
      <c r="B340" s="365" t="s">
        <v>5369</v>
      </c>
      <c r="C340" s="47">
        <v>336.0</v>
      </c>
      <c r="D340" s="48"/>
      <c r="E340" s="280">
        <v>43804.0</v>
      </c>
      <c r="F340" s="156" t="str">
        <f>HYPERLINK("https://www.suara.com/lifestyle/2019/05/12/132000/lelah-jadi-gelandangan-lelaki-ini-diam-diam-tinggal-di-loteng-mantan-pacar ","sumber")</f>
        <v>sumber</v>
      </c>
      <c r="G340" s="47" t="s">
        <v>33</v>
      </c>
      <c r="H340" s="48"/>
      <c r="I340" s="48"/>
      <c r="J340" s="48"/>
      <c r="K340" s="165"/>
      <c r="L340" s="48"/>
      <c r="M340" s="48"/>
      <c r="N340" s="48"/>
      <c r="O340" s="48"/>
      <c r="P340" s="48"/>
      <c r="Q340" s="48"/>
      <c r="R340" s="48"/>
      <c r="S340" s="165"/>
      <c r="T340" s="48"/>
      <c r="U340" s="48"/>
      <c r="V340" s="48"/>
      <c r="W340" s="48"/>
      <c r="X340" s="48"/>
      <c r="Y340" s="48"/>
      <c r="Z340" s="338"/>
      <c r="AA340" s="366"/>
      <c r="AB340" s="51"/>
      <c r="AC340" s="51"/>
      <c r="AD340" s="51"/>
      <c r="AE340" s="51"/>
      <c r="AF340" s="51"/>
      <c r="AG340" s="51"/>
      <c r="AH340" s="51"/>
      <c r="AI340" s="51"/>
      <c r="AJ340" s="51"/>
      <c r="AK340" s="51"/>
      <c r="AL340" s="51"/>
      <c r="AM340" s="51"/>
      <c r="AN340" s="51"/>
      <c r="AO340" s="51"/>
      <c r="AP340" s="51"/>
      <c r="AQ340" s="51"/>
      <c r="AR340" s="51"/>
      <c r="AS340" s="51"/>
      <c r="AT340" s="51"/>
      <c r="AU340" s="51"/>
      <c r="AV340" s="51"/>
      <c r="AW340" s="51"/>
      <c r="AX340" s="51"/>
      <c r="AY340" s="51"/>
      <c r="AZ340" s="51"/>
      <c r="BA340" s="51"/>
      <c r="BB340" s="51"/>
      <c r="BC340" s="51"/>
      <c r="BD340" s="51"/>
      <c r="BE340" s="51"/>
    </row>
    <row r="341">
      <c r="A341" s="158">
        <v>1.0</v>
      </c>
      <c r="B341" s="351" t="s">
        <v>5370</v>
      </c>
      <c r="C341" s="44">
        <v>337.0</v>
      </c>
      <c r="D341" s="44">
        <v>2.0</v>
      </c>
      <c r="E341" s="44" t="s">
        <v>390</v>
      </c>
      <c r="F341" s="162" t="str">
        <f>HYPERLINK("https://www.cnnindonesia.com/nasional/20190519125913-12-396165/amnesty-internasional-pemecatan-polisi-gay-langgar-aturan ","sumber")</f>
        <v>sumber</v>
      </c>
      <c r="G341" s="44" t="s">
        <v>33</v>
      </c>
      <c r="H341" s="44">
        <v>804.0</v>
      </c>
      <c r="I341" s="44">
        <v>1.0</v>
      </c>
      <c r="J341" s="44">
        <v>3.0</v>
      </c>
      <c r="K341" s="164" t="s">
        <v>5371</v>
      </c>
      <c r="L341" s="44">
        <v>0.0</v>
      </c>
      <c r="M341" s="44">
        <v>0.0</v>
      </c>
      <c r="N341" s="166">
        <v>0.0</v>
      </c>
      <c r="O341" s="166">
        <v>0.0</v>
      </c>
      <c r="P341" s="44">
        <v>0.0</v>
      </c>
      <c r="Q341" s="44" t="s">
        <v>53</v>
      </c>
      <c r="R341" s="44" t="s">
        <v>1450</v>
      </c>
      <c r="S341" s="175"/>
      <c r="T341" s="44">
        <v>0.0</v>
      </c>
      <c r="U341" s="44">
        <v>0.0</v>
      </c>
      <c r="V341" s="44">
        <v>1.0</v>
      </c>
      <c r="W341" s="45"/>
      <c r="X341" s="45"/>
      <c r="Y341" s="45"/>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row>
    <row r="342">
      <c r="A342" s="158">
        <v>1.0</v>
      </c>
      <c r="B342" s="351" t="s">
        <v>5372</v>
      </c>
      <c r="C342" s="44">
        <v>338.0</v>
      </c>
      <c r="D342" s="44">
        <v>1.0</v>
      </c>
      <c r="E342" s="44" t="s">
        <v>588</v>
      </c>
      <c r="F342" s="162" t="str">
        <f>HYPERLINK("https://news.detik.com/berita/d-4560739/kenalan-di-facebook-guide-di-bali-perkosa-pegawai-garmen ","sumber")</f>
        <v>sumber</v>
      </c>
      <c r="G342" s="44" t="s">
        <v>33</v>
      </c>
      <c r="H342" s="44">
        <v>249.0</v>
      </c>
      <c r="I342" s="44">
        <v>1.0</v>
      </c>
      <c r="J342" s="44">
        <v>1.0</v>
      </c>
      <c r="K342" s="164" t="s">
        <v>5373</v>
      </c>
      <c r="L342" s="44">
        <v>0.0</v>
      </c>
      <c r="M342" s="44">
        <v>1.0</v>
      </c>
      <c r="N342" s="166">
        <v>0.0</v>
      </c>
      <c r="O342" s="44">
        <v>1.0</v>
      </c>
      <c r="P342" s="44">
        <v>0.0</v>
      </c>
      <c r="Q342" s="44">
        <v>0.0</v>
      </c>
      <c r="R342" s="44">
        <v>1.0</v>
      </c>
      <c r="S342" s="175"/>
      <c r="T342" s="44">
        <v>0.0</v>
      </c>
      <c r="U342" s="44">
        <v>0.0</v>
      </c>
      <c r="V342" s="44">
        <v>1.0</v>
      </c>
      <c r="W342" s="45"/>
      <c r="X342" s="45"/>
      <c r="Y342" s="45"/>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row>
    <row r="343">
      <c r="A343" s="152">
        <v>2.0</v>
      </c>
      <c r="B343" s="365" t="s">
        <v>5374</v>
      </c>
      <c r="C343" s="47">
        <v>339.0</v>
      </c>
      <c r="D343" s="48"/>
      <c r="E343" s="47" t="s">
        <v>2212</v>
      </c>
      <c r="F343" s="156" t="str">
        <f>HYPERLINK("https://www.cnnindonesia.com/hiburan/20190527134849-234-398728/kondisi-goo-hara-mulai-stabil-usai-coba-bunuh-diri ","sumber")</f>
        <v>sumber</v>
      </c>
      <c r="G343" s="47" t="s">
        <v>33</v>
      </c>
      <c r="H343" s="48"/>
      <c r="I343" s="48"/>
      <c r="J343" s="48"/>
      <c r="K343" s="165"/>
      <c r="L343" s="48"/>
      <c r="M343" s="48"/>
      <c r="N343" s="48"/>
      <c r="O343" s="48"/>
      <c r="P343" s="48"/>
      <c r="Q343" s="48"/>
      <c r="R343" s="48"/>
      <c r="S343" s="165"/>
      <c r="T343" s="48"/>
      <c r="U343" s="48"/>
      <c r="V343" s="48"/>
      <c r="W343" s="48"/>
      <c r="X343" s="48"/>
      <c r="Y343" s="48"/>
      <c r="Z343" s="338"/>
      <c r="AA343" s="366"/>
      <c r="AB343" s="51"/>
      <c r="AC343" s="51"/>
      <c r="AD343" s="51"/>
      <c r="AE343" s="51"/>
      <c r="AF343" s="51"/>
      <c r="AG343" s="51"/>
      <c r="AH343" s="51"/>
      <c r="AI343" s="51"/>
      <c r="AJ343" s="51"/>
      <c r="AK343" s="51"/>
      <c r="AL343" s="51"/>
      <c r="AM343" s="51"/>
      <c r="AN343" s="51"/>
      <c r="AO343" s="51"/>
      <c r="AP343" s="51"/>
      <c r="AQ343" s="51"/>
      <c r="AR343" s="51"/>
      <c r="AS343" s="51"/>
      <c r="AT343" s="51"/>
      <c r="AU343" s="51"/>
      <c r="AV343" s="51"/>
      <c r="AW343" s="51"/>
      <c r="AX343" s="51"/>
      <c r="AY343" s="51"/>
      <c r="AZ343" s="51"/>
      <c r="BA343" s="51"/>
      <c r="BB343" s="51"/>
      <c r="BC343" s="51"/>
      <c r="BD343" s="51"/>
      <c r="BE343" s="51"/>
    </row>
    <row r="344">
      <c r="A344" s="158">
        <v>1.0</v>
      </c>
      <c r="B344" s="351" t="s">
        <v>5375</v>
      </c>
      <c r="C344" s="44">
        <v>340.0</v>
      </c>
      <c r="D344" s="44">
        <v>4.0</v>
      </c>
      <c r="E344" s="44" t="s">
        <v>212</v>
      </c>
      <c r="F344" s="162" t="str">
        <f>HYPERLINK("https://www.liputan6.com/tekno/read/3980846/kepala-tim-bodyguard-mark-zuckerberg-diduga-lakukan-kekerasan-seksual ","sumber")</f>
        <v>sumber</v>
      </c>
      <c r="G344" s="44" t="s">
        <v>33</v>
      </c>
      <c r="H344" s="44">
        <v>356.0</v>
      </c>
      <c r="I344" s="44">
        <v>1.0</v>
      </c>
      <c r="J344" s="44">
        <v>1.0</v>
      </c>
      <c r="K344" s="164" t="s">
        <v>5376</v>
      </c>
      <c r="L344" s="44">
        <v>0.0</v>
      </c>
      <c r="M344" s="44">
        <v>0.0</v>
      </c>
      <c r="N344" s="166">
        <v>0.0</v>
      </c>
      <c r="O344" s="166">
        <v>0.0</v>
      </c>
      <c r="P344" s="44">
        <v>0.0</v>
      </c>
      <c r="Q344" s="44">
        <v>0.0</v>
      </c>
      <c r="R344" s="44">
        <v>1.0</v>
      </c>
      <c r="S344" s="175"/>
      <c r="T344" s="44">
        <v>0.0</v>
      </c>
      <c r="U344" s="44">
        <v>0.0</v>
      </c>
      <c r="V344" s="44">
        <v>1.0</v>
      </c>
      <c r="W344" s="45"/>
      <c r="X344" s="45"/>
      <c r="Y344" s="45"/>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row>
    <row r="345">
      <c r="A345" s="158">
        <v>1.0</v>
      </c>
      <c r="B345" s="351" t="s">
        <v>5377</v>
      </c>
      <c r="C345" s="44">
        <v>341.0</v>
      </c>
      <c r="D345" s="44">
        <v>10.0</v>
      </c>
      <c r="E345" s="268">
        <v>43502.0</v>
      </c>
      <c r="F345" s="162" t="str">
        <f>HYPERLINK("https://bola.tempo.co/read/1211774/neymar-tanggapi-tuduhan-perkosaan-bilang-sedang-diperas ","sumber")</f>
        <v>sumber</v>
      </c>
      <c r="G345" s="44" t="s">
        <v>33</v>
      </c>
      <c r="H345" s="44">
        <v>1.0</v>
      </c>
      <c r="I345" s="44">
        <v>1.0</v>
      </c>
      <c r="J345" s="44">
        <v>1.0</v>
      </c>
      <c r="K345" s="164" t="s">
        <v>5378</v>
      </c>
      <c r="L345" s="44">
        <v>0.0</v>
      </c>
      <c r="M345" s="44">
        <v>0.0</v>
      </c>
      <c r="N345" s="166">
        <v>0.0</v>
      </c>
      <c r="O345" s="166">
        <v>0.0</v>
      </c>
      <c r="P345" s="44">
        <v>0.0</v>
      </c>
      <c r="Q345" s="44">
        <v>0.0</v>
      </c>
      <c r="R345" s="44">
        <v>0.0</v>
      </c>
      <c r="S345" s="175"/>
      <c r="T345" s="44">
        <v>0.0</v>
      </c>
      <c r="U345" s="44">
        <v>0.0</v>
      </c>
      <c r="V345" s="44">
        <v>0.0</v>
      </c>
      <c r="W345" s="45"/>
      <c r="X345" s="45"/>
      <c r="Y345" s="45"/>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row>
    <row r="346">
      <c r="A346" s="167">
        <v>1.0</v>
      </c>
      <c r="B346" s="341" t="s">
        <v>5379</v>
      </c>
      <c r="C346" s="55">
        <v>342.0</v>
      </c>
      <c r="D346" s="55">
        <v>4.0</v>
      </c>
      <c r="E346" s="344">
        <v>43591.0</v>
      </c>
      <c r="F346" s="171" t="str">
        <f>HYPERLINK("https://www.liputan6.com/bola/read/3984006/gugatan-tuduhan-pemerkosaan-cristiano-ronaldo-dicabut ","sumber")</f>
        <v>sumber</v>
      </c>
      <c r="G346" s="55" t="s">
        <v>33</v>
      </c>
      <c r="H346" s="55">
        <v>1.0</v>
      </c>
      <c r="I346" s="55">
        <v>4.0</v>
      </c>
      <c r="J346" s="55">
        <v>1.0</v>
      </c>
      <c r="K346" s="172"/>
      <c r="L346" s="55">
        <v>0.0</v>
      </c>
      <c r="M346" s="55">
        <v>0.0</v>
      </c>
      <c r="N346" s="173">
        <v>0.0</v>
      </c>
      <c r="O346" s="173">
        <v>0.0</v>
      </c>
      <c r="P346" s="55">
        <v>0.0</v>
      </c>
      <c r="Q346" s="55"/>
      <c r="R346" s="55"/>
      <c r="S346" s="174"/>
      <c r="T346" s="55">
        <v>0.0</v>
      </c>
      <c r="U346" s="55">
        <v>0.0</v>
      </c>
      <c r="V346" s="55">
        <v>0.0</v>
      </c>
      <c r="W346" s="46"/>
      <c r="X346" s="46"/>
      <c r="Y346" s="46"/>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c r="BA346" s="31"/>
      <c r="BB346" s="31"/>
      <c r="BC346" s="31"/>
      <c r="BD346" s="31"/>
      <c r="BE346" s="31"/>
    </row>
    <row r="347">
      <c r="A347" s="152">
        <v>2.0</v>
      </c>
      <c r="B347" s="365" t="s">
        <v>5380</v>
      </c>
      <c r="C347" s="47">
        <v>343.0</v>
      </c>
      <c r="D347" s="48"/>
      <c r="E347" s="48"/>
      <c r="F347" s="156" t="str">
        <f>HYPERLINK("https://seleb.tempo.co/read/1213955/vanessa-angel-ingin-ke-rumah-tak-tahan-kamar-mandi-penjara ","sumber")</f>
        <v>sumber</v>
      </c>
      <c r="G347" s="47" t="s">
        <v>33</v>
      </c>
      <c r="H347" s="48"/>
      <c r="I347" s="48"/>
      <c r="J347" s="48"/>
      <c r="K347" s="165"/>
      <c r="L347" s="48"/>
      <c r="M347" s="48"/>
      <c r="N347" s="47"/>
      <c r="O347" s="48"/>
      <c r="P347" s="47"/>
      <c r="Q347" s="48"/>
      <c r="R347" s="48"/>
      <c r="S347" s="165"/>
      <c r="T347" s="48"/>
      <c r="U347" s="48"/>
      <c r="V347" s="48"/>
      <c r="W347" s="48"/>
      <c r="X347" s="48"/>
      <c r="Y347" s="48"/>
      <c r="Z347" s="338"/>
      <c r="AA347" s="51"/>
      <c r="AB347" s="51"/>
      <c r="AC347" s="51"/>
      <c r="AD347" s="51"/>
      <c r="AE347" s="51"/>
      <c r="AF347" s="51"/>
      <c r="AG347" s="51"/>
      <c r="AH347" s="51"/>
      <c r="AI347" s="51"/>
      <c r="AJ347" s="51"/>
      <c r="AK347" s="51"/>
      <c r="AL347" s="51"/>
      <c r="AM347" s="51"/>
      <c r="AN347" s="51"/>
      <c r="AO347" s="51"/>
      <c r="AP347" s="51"/>
      <c r="AQ347" s="51"/>
      <c r="AR347" s="51"/>
      <c r="AS347" s="51"/>
      <c r="AT347" s="51"/>
      <c r="AU347" s="51"/>
      <c r="AV347" s="51"/>
      <c r="AW347" s="51"/>
      <c r="AX347" s="51"/>
      <c r="AY347" s="51"/>
      <c r="AZ347" s="51"/>
      <c r="BA347" s="51"/>
      <c r="BB347" s="51"/>
      <c r="BC347" s="51"/>
      <c r="BD347" s="51"/>
      <c r="BE347" s="51"/>
    </row>
    <row r="348">
      <c r="A348" s="152">
        <v>2.0</v>
      </c>
      <c r="B348" s="365" t="s">
        <v>5381</v>
      </c>
      <c r="C348" s="47">
        <v>344.0</v>
      </c>
      <c r="D348" s="48"/>
      <c r="E348" s="48"/>
      <c r="F348" s="156" t="str">
        <f>HYPERLINK("https://www.suara.com/entertainment/2019/06/13/131100/vanessa-angel-dan-siska-saling-menguatkan-di-penjara ","sumber")</f>
        <v>sumber</v>
      </c>
      <c r="G348" s="47" t="s">
        <v>33</v>
      </c>
      <c r="H348" s="48"/>
      <c r="I348" s="48"/>
      <c r="J348" s="48"/>
      <c r="K348" s="165"/>
      <c r="L348" s="48"/>
      <c r="M348" s="48"/>
      <c r="N348" s="48"/>
      <c r="O348" s="48"/>
      <c r="P348" s="48"/>
      <c r="Q348" s="48"/>
      <c r="R348" s="48"/>
      <c r="S348" s="165"/>
      <c r="T348" s="48"/>
      <c r="U348" s="48"/>
      <c r="V348" s="48"/>
      <c r="W348" s="48"/>
      <c r="X348" s="48"/>
      <c r="Y348" s="48"/>
      <c r="Z348" s="338"/>
      <c r="AA348" s="51"/>
      <c r="AB348" s="51"/>
      <c r="AC348" s="51"/>
      <c r="AD348" s="51"/>
      <c r="AE348" s="51"/>
      <c r="AF348" s="51"/>
      <c r="AG348" s="51"/>
      <c r="AH348" s="51"/>
      <c r="AI348" s="51"/>
      <c r="AJ348" s="51"/>
      <c r="AK348" s="51"/>
      <c r="AL348" s="51"/>
      <c r="AM348" s="51"/>
      <c r="AN348" s="51"/>
      <c r="AO348" s="51"/>
      <c r="AP348" s="51"/>
      <c r="AQ348" s="51"/>
      <c r="AR348" s="51"/>
      <c r="AS348" s="51"/>
      <c r="AT348" s="51"/>
      <c r="AU348" s="51"/>
      <c r="AV348" s="51"/>
      <c r="AW348" s="51"/>
      <c r="AX348" s="51"/>
      <c r="AY348" s="51"/>
      <c r="AZ348" s="51"/>
      <c r="BA348" s="51"/>
      <c r="BB348" s="51"/>
      <c r="BC348" s="51"/>
      <c r="BD348" s="51"/>
      <c r="BE348" s="51"/>
    </row>
    <row r="349">
      <c r="A349" s="152">
        <v>2.0</v>
      </c>
      <c r="B349" s="365" t="s">
        <v>5382</v>
      </c>
      <c r="C349" s="47">
        <v>345.0</v>
      </c>
      <c r="D349" s="48"/>
      <c r="E349" s="48"/>
      <c r="F349" s="156" t="str">
        <f>HYPERLINK("https://www.cnnindonesia.com/internasional/20190617061616-134-403773/meksiko-tahan-791-imigran-368-anak-di-bawah-8-tahun ","sumber")</f>
        <v>sumber</v>
      </c>
      <c r="G349" s="47" t="s">
        <v>33</v>
      </c>
      <c r="H349" s="48"/>
      <c r="I349" s="48"/>
      <c r="J349" s="48"/>
      <c r="K349" s="165"/>
      <c r="L349" s="48"/>
      <c r="M349" s="48"/>
      <c r="N349" s="48"/>
      <c r="O349" s="48"/>
      <c r="P349" s="48"/>
      <c r="Q349" s="48"/>
      <c r="R349" s="48"/>
      <c r="S349" s="165"/>
      <c r="T349" s="48"/>
      <c r="U349" s="48"/>
      <c r="V349" s="48"/>
      <c r="W349" s="48"/>
      <c r="X349" s="48"/>
      <c r="Y349" s="48"/>
      <c r="Z349" s="338"/>
      <c r="AA349" s="51"/>
      <c r="AB349" s="51"/>
      <c r="AC349" s="51"/>
      <c r="AD349" s="51"/>
      <c r="AE349" s="51"/>
      <c r="AF349" s="51"/>
      <c r="AG349" s="51"/>
      <c r="AH349" s="51"/>
      <c r="AI349" s="51"/>
      <c r="AJ349" s="51"/>
      <c r="AK349" s="51"/>
      <c r="AL349" s="51"/>
      <c r="AM349" s="51"/>
      <c r="AN349" s="51"/>
      <c r="AO349" s="51"/>
      <c r="AP349" s="51"/>
      <c r="AQ349" s="51"/>
      <c r="AR349" s="51"/>
      <c r="AS349" s="51"/>
      <c r="AT349" s="51"/>
      <c r="AU349" s="51"/>
      <c r="AV349" s="51"/>
      <c r="AW349" s="51"/>
      <c r="AX349" s="51"/>
      <c r="AY349" s="51"/>
      <c r="AZ349" s="51"/>
      <c r="BA349" s="51"/>
      <c r="BB349" s="51"/>
      <c r="BC349" s="51"/>
      <c r="BD349" s="51"/>
      <c r="BE349" s="51"/>
    </row>
    <row r="350">
      <c r="A350" s="167">
        <v>1.0</v>
      </c>
      <c r="B350" s="341" t="s">
        <v>1707</v>
      </c>
      <c r="C350" s="55">
        <v>346.0</v>
      </c>
      <c r="D350" s="55">
        <v>1.0</v>
      </c>
      <c r="E350" s="55" t="s">
        <v>2070</v>
      </c>
      <c r="F350" s="171" t="str">
        <f>HYPERLINK("https://news.detik.com/berita/d-4597688/gadis-di-pinrang-yang-diperkosa-5-orang-hamil-dan-masih-trauma ","sumber")</f>
        <v>sumber</v>
      </c>
      <c r="G350" s="55" t="s">
        <v>33</v>
      </c>
      <c r="H350" s="55">
        <v>1.0</v>
      </c>
      <c r="I350" s="55">
        <v>1.0</v>
      </c>
      <c r="J350" s="55">
        <v>1.0</v>
      </c>
      <c r="K350" s="172" t="s">
        <v>5383</v>
      </c>
      <c r="L350" s="55">
        <v>0.0</v>
      </c>
      <c r="M350" s="55">
        <v>1.0</v>
      </c>
      <c r="N350" s="173">
        <v>0.0</v>
      </c>
      <c r="O350" s="55">
        <v>1.0</v>
      </c>
      <c r="P350" s="55">
        <v>0.0</v>
      </c>
      <c r="Q350" s="55" t="s">
        <v>61</v>
      </c>
      <c r="R350" s="55" t="s">
        <v>5384</v>
      </c>
      <c r="S350" s="174"/>
      <c r="T350" s="55">
        <v>0.0</v>
      </c>
      <c r="U350" s="55">
        <v>0.0</v>
      </c>
      <c r="V350" s="55">
        <v>1.0</v>
      </c>
      <c r="W350" s="46"/>
      <c r="X350" s="46"/>
      <c r="Y350" s="46"/>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c r="BA350" s="31"/>
      <c r="BB350" s="31"/>
      <c r="BC350" s="31"/>
      <c r="BD350" s="31"/>
      <c r="BE350" s="31"/>
    </row>
    <row r="351">
      <c r="A351" s="152">
        <v>2.0</v>
      </c>
      <c r="B351" s="365" t="s">
        <v>1709</v>
      </c>
      <c r="C351" s="47">
        <v>347.0</v>
      </c>
      <c r="D351" s="48"/>
      <c r="E351" s="48"/>
      <c r="F351" s="156" t="str">
        <f>HYPERLINK("https://bola.tempo.co/read/1215304/psg-siap-lepas-neymar-pantaskah-ia-balik-ke-barcelona ","sumber")</f>
        <v>sumber</v>
      </c>
      <c r="G351" s="47" t="s">
        <v>33</v>
      </c>
      <c r="H351" s="48"/>
      <c r="I351" s="48"/>
      <c r="J351" s="48"/>
      <c r="K351" s="165"/>
      <c r="L351" s="48"/>
      <c r="M351" s="48"/>
      <c r="N351" s="48"/>
      <c r="O351" s="48"/>
      <c r="P351" s="48"/>
      <c r="Q351" s="48"/>
      <c r="R351" s="48"/>
      <c r="S351" s="165"/>
      <c r="T351" s="48"/>
      <c r="U351" s="48"/>
      <c r="V351" s="48"/>
      <c r="W351" s="48"/>
      <c r="X351" s="48"/>
      <c r="Y351" s="48"/>
      <c r="Z351" s="338"/>
      <c r="AA351" s="51"/>
      <c r="AB351" s="51"/>
      <c r="AC351" s="51"/>
      <c r="AD351" s="51"/>
      <c r="AE351" s="51"/>
      <c r="AF351" s="51"/>
      <c r="AG351" s="51"/>
      <c r="AH351" s="51"/>
      <c r="AI351" s="51"/>
      <c r="AJ351" s="51"/>
      <c r="AK351" s="51"/>
      <c r="AL351" s="51"/>
      <c r="AM351" s="51"/>
      <c r="AN351" s="51"/>
      <c r="AO351" s="51"/>
      <c r="AP351" s="51"/>
      <c r="AQ351" s="51"/>
      <c r="AR351" s="51"/>
      <c r="AS351" s="51"/>
      <c r="AT351" s="51"/>
      <c r="AU351" s="51"/>
      <c r="AV351" s="51"/>
      <c r="AW351" s="51"/>
      <c r="AX351" s="51"/>
      <c r="AY351" s="51"/>
      <c r="AZ351" s="51"/>
      <c r="BA351" s="51"/>
      <c r="BB351" s="51"/>
      <c r="BC351" s="51"/>
      <c r="BD351" s="51"/>
      <c r="BE351" s="51"/>
    </row>
    <row r="352">
      <c r="A352" s="158">
        <v>1.0</v>
      </c>
      <c r="B352" s="351" t="s">
        <v>5385</v>
      </c>
      <c r="C352" s="44">
        <v>348.0</v>
      </c>
      <c r="D352" s="44">
        <v>3.0</v>
      </c>
      <c r="E352" s="44" t="s">
        <v>831</v>
      </c>
      <c r="F352" s="162" t="str">
        <f>HYPERLINK("https://news.okezone.com/read/2019/06/20/340/2068772/lbh-laporkan-oknum-polisi-berpangkat-akbp-atas-dugaan-pemerkosaan-anak ","sumber")</f>
        <v>sumber</v>
      </c>
      <c r="G352" s="44" t="s">
        <v>33</v>
      </c>
      <c r="H352" s="44">
        <v>3.0</v>
      </c>
      <c r="I352" s="44">
        <v>1.0</v>
      </c>
      <c r="J352" s="44">
        <v>1.0</v>
      </c>
      <c r="K352" s="164" t="s">
        <v>5386</v>
      </c>
      <c r="L352" s="44">
        <v>0.0</v>
      </c>
      <c r="M352" s="44">
        <v>1.0</v>
      </c>
      <c r="N352" s="166">
        <v>0.0</v>
      </c>
      <c r="O352" s="166">
        <v>0.0</v>
      </c>
      <c r="P352" s="44">
        <v>0.0</v>
      </c>
      <c r="Q352" s="44" t="s">
        <v>61</v>
      </c>
      <c r="R352" s="44" t="s">
        <v>780</v>
      </c>
      <c r="S352" s="175"/>
      <c r="T352" s="44">
        <v>0.0</v>
      </c>
      <c r="U352" s="44">
        <v>0.0</v>
      </c>
      <c r="V352" s="44">
        <v>1.0</v>
      </c>
      <c r="W352" s="45"/>
      <c r="X352" s="45"/>
      <c r="Y352" s="45"/>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row>
    <row r="353">
      <c r="A353" s="152">
        <v>2.0</v>
      </c>
      <c r="B353" s="365" t="s">
        <v>263</v>
      </c>
      <c r="C353" s="47">
        <v>349.0</v>
      </c>
      <c r="D353" s="48"/>
      <c r="E353" s="48"/>
      <c r="F353" s="156" t="str">
        <f>HYPERLINK("https://www.liputan6.com/news/read/3994460/pimpin-delegasi-indonesia-pada-sidang-ilc-di-swiss-menaker-sampaikan-4-hal-ini ","sumber")</f>
        <v>sumber</v>
      </c>
      <c r="G353" s="47" t="s">
        <v>33</v>
      </c>
      <c r="H353" s="48"/>
      <c r="I353" s="48"/>
      <c r="J353" s="48"/>
      <c r="K353" s="165"/>
      <c r="L353" s="48"/>
      <c r="M353" s="48"/>
      <c r="N353" s="48"/>
      <c r="O353" s="48"/>
      <c r="P353" s="48"/>
      <c r="Q353" s="48"/>
      <c r="R353" s="48"/>
      <c r="S353" s="165"/>
      <c r="T353" s="48"/>
      <c r="U353" s="48"/>
      <c r="V353" s="48"/>
      <c r="W353" s="48"/>
      <c r="X353" s="48"/>
      <c r="Y353" s="48"/>
      <c r="Z353" s="338"/>
      <c r="AA353" s="51"/>
      <c r="AB353" s="51"/>
      <c r="AC353" s="51"/>
      <c r="AD353" s="51"/>
      <c r="AE353" s="51"/>
      <c r="AF353" s="51"/>
      <c r="AG353" s="51"/>
      <c r="AH353" s="51"/>
      <c r="AI353" s="51"/>
      <c r="AJ353" s="51"/>
      <c r="AK353" s="51"/>
      <c r="AL353" s="51"/>
      <c r="AM353" s="51"/>
      <c r="AN353" s="51"/>
      <c r="AO353" s="51"/>
      <c r="AP353" s="51"/>
      <c r="AQ353" s="51"/>
      <c r="AR353" s="51"/>
      <c r="AS353" s="51"/>
      <c r="AT353" s="51"/>
      <c r="AU353" s="51"/>
      <c r="AV353" s="51"/>
      <c r="AW353" s="51"/>
      <c r="AX353" s="51"/>
      <c r="AY353" s="51"/>
      <c r="AZ353" s="51"/>
      <c r="BA353" s="51"/>
      <c r="BB353" s="51"/>
      <c r="BC353" s="51"/>
      <c r="BD353" s="51"/>
      <c r="BE353" s="51"/>
    </row>
    <row r="354">
      <c r="A354" s="152">
        <v>2.0</v>
      </c>
      <c r="B354" s="365" t="s">
        <v>5387</v>
      </c>
      <c r="C354" s="47">
        <v>350.0</v>
      </c>
      <c r="D354" s="48"/>
      <c r="E354" s="48"/>
      <c r="F354" s="156" t="str">
        <f>HYPERLINK("https://megapolitan.kompas.com/read/2019/06/23/07250711/ada-luka-benda-tumpul-pada-jenazah-remaja-dengan-kaki-dan-tangan-terikat ","sumber")</f>
        <v>sumber</v>
      </c>
      <c r="G354" s="47" t="s">
        <v>33</v>
      </c>
      <c r="H354" s="48"/>
      <c r="I354" s="48"/>
      <c r="J354" s="48"/>
      <c r="K354" s="165"/>
      <c r="L354" s="48"/>
      <c r="M354" s="48"/>
      <c r="N354" s="48"/>
      <c r="O354" s="48"/>
      <c r="P354" s="48"/>
      <c r="Q354" s="48"/>
      <c r="R354" s="48"/>
      <c r="S354" s="165"/>
      <c r="T354" s="48"/>
      <c r="U354" s="48"/>
      <c r="V354" s="48"/>
      <c r="W354" s="48"/>
      <c r="X354" s="48"/>
      <c r="Y354" s="48"/>
      <c r="Z354" s="338"/>
      <c r="AA354" s="51"/>
      <c r="AB354" s="51"/>
      <c r="AC354" s="51"/>
      <c r="AD354" s="51"/>
      <c r="AE354" s="51"/>
      <c r="AF354" s="51"/>
      <c r="AG354" s="51"/>
      <c r="AH354" s="51"/>
      <c r="AI354" s="51"/>
      <c r="AJ354" s="51"/>
      <c r="AK354" s="51"/>
      <c r="AL354" s="51"/>
      <c r="AM354" s="51"/>
      <c r="AN354" s="51"/>
      <c r="AO354" s="51"/>
      <c r="AP354" s="51"/>
      <c r="AQ354" s="51"/>
      <c r="AR354" s="51"/>
      <c r="AS354" s="51"/>
      <c r="AT354" s="51"/>
      <c r="AU354" s="51"/>
      <c r="AV354" s="51"/>
      <c r="AW354" s="51"/>
      <c r="AX354" s="51"/>
      <c r="AY354" s="51"/>
      <c r="AZ354" s="51"/>
      <c r="BA354" s="51"/>
      <c r="BB354" s="51"/>
      <c r="BC354" s="51"/>
      <c r="BD354" s="51"/>
      <c r="BE354" s="51"/>
    </row>
    <row r="355">
      <c r="A355" s="167">
        <v>1.0</v>
      </c>
      <c r="B355" s="341" t="s">
        <v>5388</v>
      </c>
      <c r="C355" s="55">
        <v>351.0</v>
      </c>
      <c r="D355" s="55">
        <v>7.0</v>
      </c>
      <c r="E355" s="55" t="s">
        <v>420</v>
      </c>
      <c r="F355" s="171" t="str">
        <f>HYPERLINK("http://www.tribunnews.com/australia-plus/2019/06/17/pengakuan-backpacker-di-australia-ditiduri-atau-diperkosa ","sumber")</f>
        <v>sumber</v>
      </c>
      <c r="G355" s="55" t="s">
        <v>33</v>
      </c>
      <c r="H355" s="55">
        <v>3.0</v>
      </c>
      <c r="I355" s="55">
        <v>2.0</v>
      </c>
      <c r="J355" s="55">
        <v>1.0</v>
      </c>
      <c r="K355" s="172" t="s">
        <v>5389</v>
      </c>
      <c r="L355" s="55">
        <v>0.0</v>
      </c>
      <c r="M355" s="55">
        <v>0.0</v>
      </c>
      <c r="N355" s="173">
        <v>0.0</v>
      </c>
      <c r="O355" s="173">
        <v>0.0</v>
      </c>
      <c r="P355" s="55">
        <v>0.0</v>
      </c>
      <c r="Q355" s="55" t="s">
        <v>5390</v>
      </c>
      <c r="R355" s="55" t="s">
        <v>696</v>
      </c>
      <c r="S355" s="174"/>
      <c r="T355" s="55">
        <v>0.0</v>
      </c>
      <c r="U355" s="55">
        <v>0.0</v>
      </c>
      <c r="V355" s="55">
        <v>1.0</v>
      </c>
      <c r="W355" s="46"/>
      <c r="X355" s="46"/>
      <c r="Y355" s="46"/>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c r="BA355" s="31"/>
      <c r="BB355" s="31"/>
      <c r="BC355" s="31"/>
      <c r="BD355" s="31"/>
      <c r="BE355" s="31"/>
    </row>
    <row r="356">
      <c r="A356" s="158">
        <v>1.0</v>
      </c>
      <c r="B356" s="351" t="s">
        <v>5391</v>
      </c>
      <c r="C356" s="44">
        <v>352.0</v>
      </c>
      <c r="D356" s="44">
        <v>1.0</v>
      </c>
      <c r="E356" s="44" t="s">
        <v>270</v>
      </c>
      <c r="F356" s="162" t="str">
        <f>HYPERLINK("https://news.detik.com/internasional/d-4599771/dituduh-memperkosa-kolumnis-majalah-mode-trump-dia-bukan-tipe-saya ","sumber")</f>
        <v>sumber</v>
      </c>
      <c r="G356" s="44" t="s">
        <v>33</v>
      </c>
      <c r="H356" s="44">
        <v>1.0</v>
      </c>
      <c r="I356" s="44">
        <v>1.0</v>
      </c>
      <c r="J356" s="44">
        <v>1.0</v>
      </c>
      <c r="K356" s="164" t="s">
        <v>5392</v>
      </c>
      <c r="L356" s="44">
        <v>0.0</v>
      </c>
      <c r="M356" s="44">
        <v>1.0</v>
      </c>
      <c r="N356" s="166">
        <v>0.0</v>
      </c>
      <c r="O356" s="166">
        <v>0.0</v>
      </c>
      <c r="P356" s="44">
        <v>0.0</v>
      </c>
      <c r="Q356" s="44">
        <v>0.0</v>
      </c>
      <c r="R356" s="44">
        <v>0.0</v>
      </c>
      <c r="S356" s="175"/>
      <c r="T356" s="44">
        <v>0.0</v>
      </c>
      <c r="U356" s="44">
        <v>0.0</v>
      </c>
      <c r="V356" s="44">
        <v>1.0</v>
      </c>
      <c r="W356" s="45"/>
      <c r="X356" s="45"/>
      <c r="Y356" s="45"/>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row>
    <row r="357">
      <c r="A357" s="152">
        <v>2.0</v>
      </c>
      <c r="B357" s="365" t="s">
        <v>5393</v>
      </c>
      <c r="C357" s="47">
        <v>353.0</v>
      </c>
      <c r="D357" s="48"/>
      <c r="E357" s="48"/>
      <c r="F357" s="156" t="str">
        <f>HYPERLINK("https://news.okezone.com/read/2019/06/25/18/2070820/berisik-di-kelas-2-murid-tk-dipaksa-tidur-di-halaman-sekolah-saat-siang-hari ","sumber")</f>
        <v>sumber</v>
      </c>
      <c r="G357" s="47" t="s">
        <v>33</v>
      </c>
      <c r="H357" s="48"/>
      <c r="I357" s="48"/>
      <c r="J357" s="48"/>
      <c r="K357" s="165"/>
      <c r="L357" s="48"/>
      <c r="M357" s="48"/>
      <c r="N357" s="48"/>
      <c r="O357" s="48"/>
      <c r="P357" s="48"/>
      <c r="Q357" s="48"/>
      <c r="R357" s="48"/>
      <c r="S357" s="165"/>
      <c r="T357" s="47"/>
      <c r="U357" s="48"/>
      <c r="V357" s="48"/>
      <c r="W357" s="48"/>
      <c r="X357" s="48"/>
      <c r="Y357" s="48"/>
      <c r="Z357" s="338"/>
      <c r="AA357" s="51"/>
      <c r="AB357" s="51"/>
      <c r="AC357" s="51"/>
      <c r="AD357" s="51"/>
      <c r="AE357" s="51"/>
      <c r="AF357" s="51"/>
      <c r="AG357" s="51"/>
      <c r="AH357" s="51"/>
      <c r="AI357" s="51"/>
      <c r="AJ357" s="51"/>
      <c r="AK357" s="51"/>
      <c r="AL357" s="51"/>
      <c r="AM357" s="51"/>
      <c r="AN357" s="51"/>
      <c r="AO357" s="51"/>
      <c r="AP357" s="51"/>
      <c r="AQ357" s="51"/>
      <c r="AR357" s="51"/>
      <c r="AS357" s="51"/>
      <c r="AT357" s="51"/>
      <c r="AU357" s="51"/>
      <c r="AV357" s="51"/>
      <c r="AW357" s="51"/>
      <c r="AX357" s="51"/>
      <c r="AY357" s="51"/>
      <c r="AZ357" s="51"/>
      <c r="BA357" s="51"/>
      <c r="BB357" s="51"/>
      <c r="BC357" s="51"/>
      <c r="BD357" s="51"/>
      <c r="BE357" s="51"/>
    </row>
    <row r="358">
      <c r="A358" s="167">
        <v>1.0</v>
      </c>
      <c r="B358" s="341" t="s">
        <v>5394</v>
      </c>
      <c r="C358" s="55">
        <v>354.0</v>
      </c>
      <c r="D358" s="55">
        <v>1.0</v>
      </c>
      <c r="E358" s="357">
        <v>43805.0</v>
      </c>
      <c r="F358" s="171" t="str">
        <f>HYPERLINK("https://news.detik.com/berita-jawa-timur/d-4583722/begal-pantat-di-sidoarjo-dimassa-setelah-tertangkap-usai-beraksi ","sumber")</f>
        <v>sumber</v>
      </c>
      <c r="G358" s="55" t="s">
        <v>33</v>
      </c>
      <c r="H358" s="55">
        <v>1.0</v>
      </c>
      <c r="I358" s="55">
        <v>1.0</v>
      </c>
      <c r="J358" s="55">
        <v>1.0</v>
      </c>
      <c r="K358" s="172" t="s">
        <v>5395</v>
      </c>
      <c r="L358" s="55">
        <v>0.0</v>
      </c>
      <c r="M358" s="55">
        <v>0.0</v>
      </c>
      <c r="N358" s="173">
        <v>0.0</v>
      </c>
      <c r="O358" s="173">
        <v>0.0</v>
      </c>
      <c r="P358" s="55">
        <v>0.0</v>
      </c>
      <c r="Q358" s="55">
        <v>0.0</v>
      </c>
      <c r="R358" s="55">
        <v>1.0</v>
      </c>
      <c r="S358" s="174"/>
      <c r="T358" s="55">
        <v>0.0</v>
      </c>
      <c r="U358" s="55">
        <v>0.0</v>
      </c>
      <c r="V358" s="55">
        <v>1.0</v>
      </c>
      <c r="W358" s="46"/>
      <c r="X358" s="46"/>
      <c r="Y358" s="46"/>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c r="BA358" s="31"/>
      <c r="BB358" s="31"/>
      <c r="BC358" s="31"/>
      <c r="BD358" s="31"/>
      <c r="BE358" s="31"/>
    </row>
    <row r="359">
      <c r="A359" s="158">
        <v>1.0</v>
      </c>
      <c r="B359" s="351" t="s">
        <v>5396</v>
      </c>
      <c r="C359" s="44">
        <v>355.0</v>
      </c>
      <c r="D359" s="44">
        <v>10.0</v>
      </c>
      <c r="E359" s="44" t="s">
        <v>616</v>
      </c>
      <c r="F359" s="162" t="str">
        <f>HYPERLINK("https://bola.tempo.co/read/1218811/pria-mirip-lionel-messi-dari-iran-bantah-berita-tiduri-23-wanita ","sumber")</f>
        <v>sumber</v>
      </c>
      <c r="G359" s="44" t="s">
        <v>33</v>
      </c>
      <c r="H359" s="44">
        <v>1.0</v>
      </c>
      <c r="I359" s="44">
        <v>1.0</v>
      </c>
      <c r="J359" s="44">
        <v>1.0</v>
      </c>
      <c r="K359" s="164" t="s">
        <v>5397</v>
      </c>
      <c r="L359" s="44">
        <v>0.0</v>
      </c>
      <c r="M359" s="44">
        <v>0.0</v>
      </c>
      <c r="N359" s="166">
        <v>0.0</v>
      </c>
      <c r="O359" s="166">
        <v>0.0</v>
      </c>
      <c r="P359" s="44">
        <v>0.0</v>
      </c>
      <c r="Q359" s="44">
        <v>0.0</v>
      </c>
      <c r="R359" s="44">
        <v>1.0</v>
      </c>
      <c r="S359" s="175"/>
      <c r="T359" s="44">
        <v>0.0</v>
      </c>
      <c r="U359" s="44">
        <v>0.0</v>
      </c>
      <c r="V359" s="44">
        <v>1.0</v>
      </c>
      <c r="W359" s="45"/>
      <c r="X359" s="45"/>
      <c r="Y359" s="45"/>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row>
    <row r="360">
      <c r="A360" s="152">
        <v>2.0</v>
      </c>
      <c r="B360" s="365" t="s">
        <v>5398</v>
      </c>
      <c r="C360" s="47">
        <v>356.0</v>
      </c>
      <c r="D360" s="48"/>
      <c r="E360" s="48"/>
      <c r="F360" s="156" t="str">
        <f>HYPERLINK("https://hot.detik.com/celeb/d-4604905/bebas-besok-vanessa-angel-akan-ziarah-makam-ibu-sampai-syuting ","sumber")</f>
        <v>sumber</v>
      </c>
      <c r="G360" s="47" t="s">
        <v>33</v>
      </c>
      <c r="H360" s="48"/>
      <c r="I360" s="48"/>
      <c r="J360" s="48"/>
      <c r="K360" s="165"/>
      <c r="L360" s="48"/>
      <c r="M360" s="48"/>
      <c r="N360" s="48"/>
      <c r="O360" s="48"/>
      <c r="P360" s="48"/>
      <c r="Q360" s="48"/>
      <c r="R360" s="48"/>
      <c r="S360" s="165"/>
      <c r="T360" s="48"/>
      <c r="U360" s="48"/>
      <c r="V360" s="48"/>
      <c r="W360" s="48"/>
      <c r="X360" s="48"/>
      <c r="Y360" s="48"/>
      <c r="Z360" s="338"/>
      <c r="AA360" s="51"/>
      <c r="AB360" s="51"/>
      <c r="AC360" s="51"/>
      <c r="AD360" s="51"/>
      <c r="AE360" s="51"/>
      <c r="AF360" s="51"/>
      <c r="AG360" s="51"/>
      <c r="AH360" s="51"/>
      <c r="AI360" s="51"/>
      <c r="AJ360" s="51"/>
      <c r="AK360" s="51"/>
      <c r="AL360" s="51"/>
      <c r="AM360" s="51"/>
      <c r="AN360" s="51"/>
      <c r="AO360" s="51"/>
      <c r="AP360" s="51"/>
      <c r="AQ360" s="51"/>
      <c r="AR360" s="51"/>
      <c r="AS360" s="51"/>
      <c r="AT360" s="51"/>
      <c r="AU360" s="51"/>
      <c r="AV360" s="51"/>
      <c r="AW360" s="51"/>
      <c r="AX360" s="51"/>
      <c r="AY360" s="51"/>
      <c r="AZ360" s="51"/>
      <c r="BA360" s="51"/>
      <c r="BB360" s="51"/>
      <c r="BC360" s="51"/>
      <c r="BD360" s="51"/>
      <c r="BE360" s="51"/>
    </row>
    <row r="361">
      <c r="A361" s="158">
        <v>1.0</v>
      </c>
      <c r="B361" s="351" t="s">
        <v>5399</v>
      </c>
      <c r="C361" s="44">
        <v>357.0</v>
      </c>
      <c r="D361" s="44">
        <v>9.0</v>
      </c>
      <c r="E361" s="44" t="s">
        <v>841</v>
      </c>
      <c r="F361" s="162" t="str">
        <f>HYPERLINK("https://internasional.republika.co.id/berita/internasional/eropa/ptu26w349/pria-norwegia-dihukum-16-tahun-akibat-lecehkan-ratusan-anak ","sumber")</f>
        <v>sumber</v>
      </c>
      <c r="G361" s="44" t="s">
        <v>33</v>
      </c>
      <c r="H361" s="44">
        <v>1.0</v>
      </c>
      <c r="I361" s="44">
        <v>1.0</v>
      </c>
      <c r="J361" s="44">
        <v>1.0</v>
      </c>
      <c r="K361" s="164"/>
      <c r="L361" s="44">
        <v>-1.0</v>
      </c>
      <c r="M361" s="44">
        <v>0.0</v>
      </c>
      <c r="N361" s="166">
        <v>0.0</v>
      </c>
      <c r="O361" s="166">
        <v>0.0</v>
      </c>
      <c r="P361" s="44">
        <v>0.0</v>
      </c>
      <c r="Q361" s="45"/>
      <c r="R361" s="45"/>
      <c r="S361" s="175"/>
      <c r="T361" s="44">
        <v>0.0</v>
      </c>
      <c r="U361" s="44">
        <v>0.0</v>
      </c>
      <c r="V361" s="44">
        <v>1.0</v>
      </c>
      <c r="W361" s="45"/>
      <c r="X361" s="45"/>
      <c r="Y361" s="45"/>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row>
    <row r="362">
      <c r="A362" s="152">
        <v>2.0</v>
      </c>
      <c r="B362" s="365" t="s">
        <v>5400</v>
      </c>
      <c r="C362" s="47">
        <v>358.0</v>
      </c>
      <c r="D362" s="48"/>
      <c r="E362" s="48"/>
      <c r="F362" s="156" t="str">
        <f>HYPERLINK("https://www.suara.com/entertainment/2019/06/30/113306/vanessa-angel-bebas-para-mantan-pacar-ungkap-kebahagiaan ","sumber")</f>
        <v>sumber</v>
      </c>
      <c r="G362" s="47" t="s">
        <v>33</v>
      </c>
      <c r="H362" s="48"/>
      <c r="I362" s="48"/>
      <c r="J362" s="48"/>
      <c r="K362" s="165"/>
      <c r="L362" s="48"/>
      <c r="M362" s="48"/>
      <c r="N362" s="48"/>
      <c r="O362" s="48"/>
      <c r="P362" s="48"/>
      <c r="Q362" s="48"/>
      <c r="R362" s="48"/>
      <c r="S362" s="165"/>
      <c r="T362" s="48"/>
      <c r="U362" s="48"/>
      <c r="V362" s="48"/>
      <c r="W362" s="48"/>
      <c r="X362" s="48"/>
      <c r="Y362" s="48"/>
      <c r="Z362" s="338"/>
      <c r="AA362" s="51"/>
      <c r="AB362" s="51"/>
      <c r="AC362" s="51"/>
      <c r="AD362" s="51"/>
      <c r="AE362" s="51"/>
      <c r="AF362" s="51"/>
      <c r="AG362" s="51"/>
      <c r="AH362" s="51"/>
      <c r="AI362" s="51"/>
      <c r="AJ362" s="51"/>
      <c r="AK362" s="51"/>
      <c r="AL362" s="51"/>
      <c r="AM362" s="51"/>
      <c r="AN362" s="51"/>
      <c r="AO362" s="51"/>
      <c r="AP362" s="51"/>
      <c r="AQ362" s="51"/>
      <c r="AR362" s="51"/>
      <c r="AS362" s="51"/>
      <c r="AT362" s="51"/>
      <c r="AU362" s="51"/>
      <c r="AV362" s="51"/>
      <c r="AW362" s="51"/>
      <c r="AX362" s="51"/>
      <c r="AY362" s="51"/>
      <c r="AZ362" s="51"/>
      <c r="BA362" s="51"/>
      <c r="BB362" s="51"/>
      <c r="BC362" s="51"/>
      <c r="BD362" s="51"/>
      <c r="BE362" s="51"/>
    </row>
    <row r="363">
      <c r="A363" s="158">
        <v>1.0</v>
      </c>
      <c r="B363" s="351" t="s">
        <v>5401</v>
      </c>
      <c r="C363" s="44">
        <v>359.0</v>
      </c>
      <c r="D363" s="44">
        <v>6.0</v>
      </c>
      <c r="E363" s="268">
        <v>43562.0</v>
      </c>
      <c r="F363" s="162" t="str">
        <f>HYPERLINK("https://regional.kompas.com/read/2019/07/04/16020881/6-fakta-suami-tawarkan-isteri-layanan-threesome-tarif-rp-15-juta-per-jam ","sumber")</f>
        <v>sumber</v>
      </c>
      <c r="G363" s="44" t="s">
        <v>33</v>
      </c>
      <c r="H363" s="44">
        <v>3.0</v>
      </c>
      <c r="I363" s="44">
        <v>1.0</v>
      </c>
      <c r="J363" s="44">
        <v>1.0</v>
      </c>
      <c r="K363" s="164" t="s">
        <v>5402</v>
      </c>
      <c r="L363" s="44">
        <v>0.0</v>
      </c>
      <c r="M363" s="44">
        <v>1.0</v>
      </c>
      <c r="N363" s="166">
        <v>0.0</v>
      </c>
      <c r="O363" s="44">
        <v>1.0</v>
      </c>
      <c r="P363" s="44">
        <v>0.0</v>
      </c>
      <c r="Q363" s="44" t="s">
        <v>61</v>
      </c>
      <c r="R363" s="44" t="s">
        <v>62</v>
      </c>
      <c r="S363" s="175"/>
      <c r="T363" s="44">
        <v>0.0</v>
      </c>
      <c r="U363" s="44">
        <v>0.0</v>
      </c>
      <c r="V363" s="44">
        <v>1.0</v>
      </c>
      <c r="W363" s="45"/>
      <c r="X363" s="45"/>
      <c r="Y363" s="45"/>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row>
    <row r="364">
      <c r="A364" s="158">
        <v>1.0</v>
      </c>
      <c r="B364" s="351" t="s">
        <v>5403</v>
      </c>
      <c r="C364" s="44">
        <v>360.0</v>
      </c>
      <c r="D364" s="44">
        <v>8.0</v>
      </c>
      <c r="E364" s="407">
        <v>43653.0</v>
      </c>
      <c r="F364" s="162" t="str">
        <f>HYPERLINK("https://banten.suara.com/read/2019/07/07/000000/keluarga-korban-berharap-polisi-segera-tangkap-pelaku-pemerkosaan-anak ","sumber")</f>
        <v>sumber</v>
      </c>
      <c r="G364" s="44" t="s">
        <v>33</v>
      </c>
      <c r="H364" s="44">
        <v>1.0</v>
      </c>
      <c r="I364" s="44">
        <v>1.0</v>
      </c>
      <c r="J364" s="44">
        <v>1.0</v>
      </c>
      <c r="K364" s="164" t="s">
        <v>5404</v>
      </c>
      <c r="L364" s="44">
        <v>0.0</v>
      </c>
      <c r="M364" s="44">
        <v>1.0</v>
      </c>
      <c r="N364" s="166">
        <v>0.0</v>
      </c>
      <c r="O364" s="44">
        <v>1.0</v>
      </c>
      <c r="P364" s="44">
        <v>0.0</v>
      </c>
      <c r="Q364" s="44" t="s">
        <v>61</v>
      </c>
      <c r="R364" s="44" t="s">
        <v>780</v>
      </c>
      <c r="S364" s="175"/>
      <c r="T364" s="44">
        <v>0.0</v>
      </c>
      <c r="U364" s="44">
        <v>0.0</v>
      </c>
      <c r="V364" s="44">
        <v>1.0</v>
      </c>
      <c r="W364" s="45"/>
      <c r="X364" s="45"/>
      <c r="Y364" s="45"/>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row>
    <row r="365">
      <c r="A365" s="158">
        <v>1.0</v>
      </c>
      <c r="B365" s="351" t="s">
        <v>5405</v>
      </c>
      <c r="C365" s="44">
        <v>361.0</v>
      </c>
      <c r="D365" s="44">
        <v>10.0</v>
      </c>
      <c r="E365" s="268">
        <v>43684.0</v>
      </c>
      <c r="F365" s="162" t="str">
        <f>HYPERLINK("https://nasional.tempo.co/read/1222378/komnas-perempuan-desak-jokowi-segera-beri-amnesti-ke-baiq-nuril ","sumber")</f>
        <v>sumber</v>
      </c>
      <c r="G365" s="44" t="s">
        <v>33</v>
      </c>
      <c r="H365" s="44">
        <v>2.0</v>
      </c>
      <c r="I365" s="44">
        <v>1.0</v>
      </c>
      <c r="J365" s="44">
        <v>1.0</v>
      </c>
      <c r="K365" s="164" t="s">
        <v>5406</v>
      </c>
      <c r="L365" s="44">
        <v>0.0</v>
      </c>
      <c r="M365" s="44">
        <v>0.0</v>
      </c>
      <c r="N365" s="166">
        <v>0.0</v>
      </c>
      <c r="O365" s="166">
        <v>0.0</v>
      </c>
      <c r="P365" s="44">
        <v>0.0</v>
      </c>
      <c r="Q365" s="44" t="s">
        <v>100</v>
      </c>
      <c r="R365" s="44" t="s">
        <v>100</v>
      </c>
      <c r="S365" s="175"/>
      <c r="T365" s="44">
        <v>0.0</v>
      </c>
      <c r="U365" s="44">
        <v>0.0</v>
      </c>
      <c r="V365" s="44">
        <v>1.0</v>
      </c>
      <c r="W365" s="45"/>
      <c r="X365" s="45"/>
      <c r="Y365" s="45"/>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row>
    <row r="366">
      <c r="A366" s="158">
        <v>1.0</v>
      </c>
      <c r="B366" s="351" t="s">
        <v>5407</v>
      </c>
      <c r="C366" s="44">
        <v>362.0</v>
      </c>
      <c r="D366" s="44">
        <v>4.0</v>
      </c>
      <c r="E366" s="44" t="s">
        <v>860</v>
      </c>
      <c r="F366" s="162" t="str">
        <f>HYPERLINK("https://www.liputan6.com/global/read/4012190/pemerintah-malaysia-lindungi-wni-korban-kekerasan-seksual-politikus ","sumber")</f>
        <v>sumber</v>
      </c>
      <c r="G366" s="44" t="s">
        <v>33</v>
      </c>
      <c r="H366" s="44">
        <v>1.0</v>
      </c>
      <c r="I366" s="44">
        <v>4.0</v>
      </c>
      <c r="J366" s="44">
        <v>1.0</v>
      </c>
      <c r="K366" s="164" t="s">
        <v>5408</v>
      </c>
      <c r="L366" s="44">
        <v>0.0</v>
      </c>
      <c r="M366" s="44">
        <v>0.0</v>
      </c>
      <c r="N366" s="166">
        <v>0.0</v>
      </c>
      <c r="O366" s="44">
        <v>0.0</v>
      </c>
      <c r="P366" s="44">
        <v>0.0</v>
      </c>
      <c r="Q366" s="44">
        <v>0.0</v>
      </c>
      <c r="R366" s="44">
        <v>0.0</v>
      </c>
      <c r="S366" s="175"/>
      <c r="T366" s="44">
        <v>0.0</v>
      </c>
      <c r="U366" s="44">
        <v>0.0</v>
      </c>
      <c r="V366" s="44">
        <v>1.0</v>
      </c>
      <c r="W366" s="45"/>
      <c r="X366" s="45"/>
      <c r="Y366" s="45"/>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row>
    <row r="367">
      <c r="A367" s="158">
        <v>1.0</v>
      </c>
      <c r="B367" s="351" t="s">
        <v>5409</v>
      </c>
      <c r="C367" s="44">
        <v>363.0</v>
      </c>
      <c r="D367" s="44">
        <v>8.0</v>
      </c>
      <c r="E367" s="44" t="s">
        <v>4253</v>
      </c>
      <c r="F367" s="162" t="str">
        <f>HYPERLINK("https://www.suara.com/entertainment/2019/07/15/112500/nikita-mirzani-tersangka-kasus-kdrt-uya-kuya-anggap-aneh ","sumber")</f>
        <v>sumber</v>
      </c>
      <c r="G367" s="44" t="s">
        <v>33</v>
      </c>
      <c r="H367" s="44">
        <v>1.0</v>
      </c>
      <c r="I367" s="44">
        <v>1.0</v>
      </c>
      <c r="J367" s="44">
        <v>1.0</v>
      </c>
      <c r="K367" s="164" t="s">
        <v>5410</v>
      </c>
      <c r="L367" s="44">
        <v>0.0</v>
      </c>
      <c r="M367" s="44">
        <v>0.0</v>
      </c>
      <c r="N367" s="166">
        <v>0.0</v>
      </c>
      <c r="O367" s="166">
        <v>0.0</v>
      </c>
      <c r="P367" s="44">
        <v>0.0</v>
      </c>
      <c r="Q367" s="44">
        <v>0.0</v>
      </c>
      <c r="R367" s="44">
        <v>-1.0</v>
      </c>
      <c r="S367" s="175"/>
      <c r="T367" s="44">
        <v>0.0</v>
      </c>
      <c r="U367" s="44">
        <v>0.0</v>
      </c>
      <c r="V367" s="44">
        <v>1.0</v>
      </c>
      <c r="W367" s="45"/>
      <c r="X367" s="45"/>
      <c r="Y367" s="45"/>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row>
    <row r="368">
      <c r="A368" s="158">
        <v>1.0</v>
      </c>
      <c r="B368" s="351" t="s">
        <v>5411</v>
      </c>
      <c r="C368" s="44">
        <v>364.0</v>
      </c>
      <c r="D368" s="44">
        <v>3.0</v>
      </c>
      <c r="E368" s="44" t="s">
        <v>2446</v>
      </c>
      <c r="F368" s="162" t="str">
        <f>HYPERLINK("https://news.okezone.com/read/2019/07/16/18/2079673/wanita-india-diperkosa-7-polisi-kukunya-dicabut-saat-ditahan ","sumber")</f>
        <v>sumber</v>
      </c>
      <c r="G368" s="44" t="s">
        <v>33</v>
      </c>
      <c r="H368" s="44">
        <v>1.0</v>
      </c>
      <c r="I368" s="44">
        <v>1.0</v>
      </c>
      <c r="J368" s="44">
        <v>1.0</v>
      </c>
      <c r="K368" s="164" t="s">
        <v>5412</v>
      </c>
      <c r="L368" s="44">
        <v>0.0</v>
      </c>
      <c r="M368" s="44">
        <v>1.0</v>
      </c>
      <c r="N368" s="166">
        <v>0.0</v>
      </c>
      <c r="O368" s="44">
        <v>1.0</v>
      </c>
      <c r="P368" s="44">
        <v>0.0</v>
      </c>
      <c r="Q368" s="44">
        <v>0.0</v>
      </c>
      <c r="R368" s="44">
        <v>1.0</v>
      </c>
      <c r="S368" s="175"/>
      <c r="T368" s="44">
        <v>0.0</v>
      </c>
      <c r="U368" s="44">
        <v>0.0</v>
      </c>
      <c r="V368" s="44">
        <v>1.0</v>
      </c>
      <c r="W368" s="45"/>
      <c r="X368" s="45"/>
      <c r="Y368" s="45"/>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row>
    <row r="369">
      <c r="A369" s="158">
        <v>1.0</v>
      </c>
      <c r="B369" s="351" t="s">
        <v>5413</v>
      </c>
      <c r="C369" s="44">
        <v>365.0</v>
      </c>
      <c r="D369" s="44">
        <v>2.0</v>
      </c>
      <c r="E369" s="44" t="s">
        <v>293</v>
      </c>
      <c r="F369" s="162" t="str">
        <f>HYPERLINK("https://www.cnnindonesia.com/hiburan/20190718124738-234-413246/yang-hyun-suk-gembok-instagram-usai-jadi-tersangka-prostitusi ","sumber")</f>
        <v>sumber</v>
      </c>
      <c r="G369" s="44" t="s">
        <v>33</v>
      </c>
      <c r="H369" s="44">
        <v>1.0</v>
      </c>
      <c r="I369" s="44">
        <v>1.0</v>
      </c>
      <c r="J369" s="44">
        <v>3.0</v>
      </c>
      <c r="K369" s="164" t="s">
        <v>5414</v>
      </c>
      <c r="L369" s="44">
        <v>0.0</v>
      </c>
      <c r="M369" s="44">
        <v>0.0</v>
      </c>
      <c r="N369" s="166">
        <v>0.0</v>
      </c>
      <c r="O369" s="166">
        <v>0.0</v>
      </c>
      <c r="P369" s="44">
        <v>0.0</v>
      </c>
      <c r="Q369" s="44">
        <v>0.0</v>
      </c>
      <c r="R369" s="44">
        <v>1.0</v>
      </c>
      <c r="S369" s="175"/>
      <c r="T369" s="44">
        <v>0.0</v>
      </c>
      <c r="U369" s="44">
        <v>0.0</v>
      </c>
      <c r="V369" s="44">
        <v>1.0</v>
      </c>
      <c r="W369" s="45"/>
      <c r="X369" s="45"/>
      <c r="Y369" s="45"/>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row>
    <row r="370">
      <c r="A370" s="158">
        <v>1.0</v>
      </c>
      <c r="B370" s="351" t="s">
        <v>5415</v>
      </c>
      <c r="C370" s="44">
        <v>366.0</v>
      </c>
      <c r="D370" s="44">
        <v>9.0</v>
      </c>
      <c r="E370" s="44" t="s">
        <v>865</v>
      </c>
      <c r="F370" s="162" t="str">
        <f>HYPERLINK("https://republika.co.id/berita/puz4t5385/disayangkan-grasi-presiden-soal-kekerasan-seksual ","sumber")</f>
        <v>sumber</v>
      </c>
      <c r="G370" s="44" t="s">
        <v>33</v>
      </c>
      <c r="H370" s="44">
        <v>1.0</v>
      </c>
      <c r="I370" s="44">
        <v>4.0</v>
      </c>
      <c r="J370" s="44">
        <v>1.0</v>
      </c>
      <c r="K370" s="164" t="s">
        <v>5416</v>
      </c>
      <c r="L370" s="44">
        <v>0.0</v>
      </c>
      <c r="M370" s="44">
        <v>0.0</v>
      </c>
      <c r="N370" s="166">
        <v>0.0</v>
      </c>
      <c r="O370" s="166">
        <v>0.0</v>
      </c>
      <c r="P370" s="44">
        <v>0.0</v>
      </c>
      <c r="Q370" s="44" t="s">
        <v>100</v>
      </c>
      <c r="R370" s="44" t="s">
        <v>100</v>
      </c>
      <c r="S370" s="175"/>
      <c r="T370" s="44">
        <v>0.0</v>
      </c>
      <c r="U370" s="44">
        <v>0.0</v>
      </c>
      <c r="V370" s="44">
        <v>1.0</v>
      </c>
      <c r="W370" s="45"/>
      <c r="X370" s="45"/>
      <c r="Y370" s="45"/>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row>
    <row r="371">
      <c r="A371" s="158">
        <v>1.0</v>
      </c>
      <c r="B371" s="351" t="s">
        <v>5417</v>
      </c>
      <c r="C371" s="44">
        <v>367.0</v>
      </c>
      <c r="D371" s="44">
        <v>7.0</v>
      </c>
      <c r="E371" s="44" t="s">
        <v>871</v>
      </c>
      <c r="F371" s="162" t="str">
        <f>HYPERLINK("https://www.tribunnews.com/regional/2019/07/25/siswi-smp-diperkosa-kakak-kelas-aksi-pelaku-tepergok-orangtua-korban ","sumber")</f>
        <v>sumber</v>
      </c>
      <c r="G371" s="44" t="s">
        <v>33</v>
      </c>
      <c r="H371" s="44">
        <v>3.0</v>
      </c>
      <c r="I371" s="44">
        <v>1.0</v>
      </c>
      <c r="J371" s="44">
        <v>1.0</v>
      </c>
      <c r="K371" s="164" t="s">
        <v>5418</v>
      </c>
      <c r="L371" s="44">
        <v>0.0</v>
      </c>
      <c r="M371" s="44">
        <v>1.0</v>
      </c>
      <c r="N371" s="166">
        <v>0.0</v>
      </c>
      <c r="O371" s="44">
        <v>1.0</v>
      </c>
      <c r="P371" s="44">
        <v>0.0</v>
      </c>
      <c r="Q371" s="44" t="s">
        <v>5419</v>
      </c>
      <c r="R371" s="44" t="s">
        <v>5420</v>
      </c>
      <c r="S371" s="175"/>
      <c r="T371" s="44">
        <v>0.0</v>
      </c>
      <c r="U371" s="44">
        <v>0.0</v>
      </c>
      <c r="V371" s="44">
        <v>1.0</v>
      </c>
      <c r="W371" s="45"/>
      <c r="X371" s="45"/>
      <c r="Y371" s="45"/>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row>
    <row r="372">
      <c r="A372" s="158">
        <v>1.0</v>
      </c>
      <c r="B372" s="351" t="s">
        <v>5421</v>
      </c>
      <c r="C372" s="44">
        <v>368.0</v>
      </c>
      <c r="D372" s="44">
        <v>10.0</v>
      </c>
      <c r="E372" s="44" t="s">
        <v>2458</v>
      </c>
      <c r="F372" s="162" t="str">
        <f>HYPERLINK("https://dunia.tempo.co/read/1229502/suami-larang-istri-makan-karena-ingin-tubuhnya-langsing ","sumber")</f>
        <v>sumber</v>
      </c>
      <c r="G372" s="44" t="s">
        <v>33</v>
      </c>
      <c r="H372" s="44">
        <v>2.0</v>
      </c>
      <c r="I372" s="44">
        <v>1.0</v>
      </c>
      <c r="J372" s="44">
        <v>1.0</v>
      </c>
      <c r="K372" s="164" t="s">
        <v>5422</v>
      </c>
      <c r="L372" s="44">
        <v>0.0</v>
      </c>
      <c r="M372" s="44">
        <v>0.0</v>
      </c>
      <c r="N372" s="166">
        <v>0.0</v>
      </c>
      <c r="O372" s="166">
        <v>0.0</v>
      </c>
      <c r="P372" s="44">
        <v>0.0</v>
      </c>
      <c r="Q372" s="44" t="s">
        <v>119</v>
      </c>
      <c r="R372" s="44" t="s">
        <v>192</v>
      </c>
      <c r="S372" s="175"/>
      <c r="T372" s="44">
        <v>0.0</v>
      </c>
      <c r="U372" s="44">
        <v>0.0</v>
      </c>
      <c r="V372" s="44">
        <v>1.0</v>
      </c>
      <c r="W372" s="45"/>
      <c r="X372" s="45"/>
      <c r="Y372" s="45"/>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row>
    <row r="373">
      <c r="A373" s="152">
        <v>2.0</v>
      </c>
      <c r="B373" s="365" t="s">
        <v>5423</v>
      </c>
      <c r="C373" s="47">
        <v>369.0</v>
      </c>
      <c r="D373" s="48"/>
      <c r="E373" s="48"/>
      <c r="F373" s="156" t="str">
        <f>HYPERLINK("https://gayahidup.republika.co.id/berita/pvuj0v16000/cara-lapor-polisi-bila-diteror-dan-diancam-pinjaman-online ","sumber")</f>
        <v>sumber</v>
      </c>
      <c r="G373" s="47" t="s">
        <v>33</v>
      </c>
      <c r="H373" s="48"/>
      <c r="I373" s="48"/>
      <c r="J373" s="48"/>
      <c r="K373" s="165"/>
      <c r="L373" s="48"/>
      <c r="M373" s="48"/>
      <c r="N373" s="48"/>
      <c r="O373" s="48"/>
      <c r="P373" s="48"/>
      <c r="Q373" s="48"/>
      <c r="R373" s="48"/>
      <c r="S373" s="165"/>
      <c r="T373" s="48"/>
      <c r="U373" s="48"/>
      <c r="V373" s="48"/>
      <c r="W373" s="48"/>
      <c r="X373" s="48"/>
      <c r="Y373" s="48"/>
      <c r="Z373" s="338"/>
      <c r="AA373" s="51"/>
      <c r="AB373" s="51"/>
      <c r="AC373" s="51"/>
      <c r="AD373" s="51"/>
      <c r="AE373" s="51"/>
      <c r="AF373" s="51"/>
      <c r="AG373" s="51"/>
      <c r="AH373" s="51"/>
      <c r="AI373" s="51"/>
      <c r="AJ373" s="51"/>
      <c r="AK373" s="51"/>
      <c r="AL373" s="51"/>
      <c r="AM373" s="51"/>
      <c r="AN373" s="51"/>
      <c r="AO373" s="51"/>
      <c r="AP373" s="51"/>
      <c r="AQ373" s="51"/>
      <c r="AR373" s="51"/>
      <c r="AS373" s="51"/>
      <c r="AT373" s="51"/>
      <c r="AU373" s="51"/>
      <c r="AV373" s="51"/>
      <c r="AW373" s="51"/>
      <c r="AX373" s="51"/>
      <c r="AY373" s="51"/>
      <c r="AZ373" s="51"/>
      <c r="BA373" s="51"/>
      <c r="BB373" s="51"/>
      <c r="BC373" s="51"/>
      <c r="BD373" s="51"/>
      <c r="BE373" s="51"/>
    </row>
    <row r="374">
      <c r="A374" s="158">
        <v>1.0</v>
      </c>
      <c r="B374" s="351" t="s">
        <v>5424</v>
      </c>
      <c r="C374" s="44">
        <v>370.0</v>
      </c>
      <c r="D374" s="44">
        <v>9.0</v>
      </c>
      <c r="E374" s="268">
        <v>43685.0</v>
      </c>
      <c r="F374" s="162" t="str">
        <f>HYPERLINK("https://nasional.republika.co.id/berita/pvwjsd328/pelaku-kekerasan-seksual-anak-didominasi-orang-terdekat ","sumber")</f>
        <v>sumber</v>
      </c>
      <c r="G374" s="44" t="s">
        <v>33</v>
      </c>
      <c r="H374" s="44">
        <v>2.0</v>
      </c>
      <c r="I374" s="44">
        <v>5.0</v>
      </c>
      <c r="J374" s="44">
        <v>1.0</v>
      </c>
      <c r="K374" s="164" t="s">
        <v>5425</v>
      </c>
      <c r="L374" s="44">
        <v>0.0</v>
      </c>
      <c r="M374" s="44">
        <v>0.0</v>
      </c>
      <c r="N374" s="166">
        <v>0.0</v>
      </c>
      <c r="O374" s="166">
        <v>0.0</v>
      </c>
      <c r="P374" s="44">
        <v>0.0</v>
      </c>
      <c r="Q374" s="44" t="s">
        <v>61</v>
      </c>
      <c r="R374" s="44" t="s">
        <v>192</v>
      </c>
      <c r="S374" s="175"/>
      <c r="T374" s="44">
        <v>0.0</v>
      </c>
      <c r="U374" s="44">
        <v>0.0</v>
      </c>
      <c r="V374" s="44">
        <v>1.0</v>
      </c>
      <c r="W374" s="45"/>
      <c r="X374" s="45"/>
      <c r="Y374" s="45"/>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row>
    <row r="375">
      <c r="A375" s="158">
        <v>1.0</v>
      </c>
      <c r="B375" s="351" t="s">
        <v>5426</v>
      </c>
      <c r="C375" s="44">
        <v>371.0</v>
      </c>
      <c r="D375" s="44">
        <v>3.0</v>
      </c>
      <c r="E375" s="268">
        <v>43746.0</v>
      </c>
      <c r="F375" s="162" t="str">
        <f>HYPERLINK("https://lifestyle.okezone.com/read/2019/08/10/196/2090165/kisah-inri-korban-body-shaming-yang-sempat-mencoba-bunuh-diri ","sumber")</f>
        <v>sumber</v>
      </c>
      <c r="G375" s="44" t="s">
        <v>33</v>
      </c>
      <c r="H375" s="44">
        <v>3.0</v>
      </c>
      <c r="I375" s="44">
        <v>2.0</v>
      </c>
      <c r="J375" s="44">
        <v>1.0</v>
      </c>
      <c r="K375" s="164" t="s">
        <v>5427</v>
      </c>
      <c r="L375" s="44">
        <v>0.0</v>
      </c>
      <c r="M375" s="44">
        <v>0.0</v>
      </c>
      <c r="N375" s="166">
        <v>0.0</v>
      </c>
      <c r="O375" s="166">
        <v>0.0</v>
      </c>
      <c r="P375" s="44">
        <v>0.0</v>
      </c>
      <c r="Q375" s="44">
        <v>2.0</v>
      </c>
      <c r="R375" s="44">
        <v>1.0</v>
      </c>
      <c r="S375" s="175"/>
      <c r="T375" s="44">
        <v>0.0</v>
      </c>
      <c r="U375" s="44">
        <v>0.0</v>
      </c>
      <c r="V375" s="44">
        <v>1.0</v>
      </c>
      <c r="W375" s="45"/>
      <c r="X375" s="45"/>
      <c r="Y375" s="45"/>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row>
    <row r="376">
      <c r="A376" s="158">
        <v>1.0</v>
      </c>
      <c r="B376" s="351" t="s">
        <v>5428</v>
      </c>
      <c r="C376" s="44">
        <v>372.0</v>
      </c>
      <c r="D376" s="44">
        <v>7.0</v>
      </c>
      <c r="E376" s="44" t="s">
        <v>2090</v>
      </c>
      <c r="F376" s="162" t="str">
        <f>HYPERLINK("https://www.tribunnews.com/regional/2019/08/13/driver-ojol-yang-lakukan-pelecehan-pada-penumpang-wanita-pernah-curi-celana-dalam ","sumber")</f>
        <v>sumber</v>
      </c>
      <c r="G376" s="44" t="s">
        <v>33</v>
      </c>
      <c r="H376" s="44">
        <v>3.0</v>
      </c>
      <c r="I376" s="44">
        <v>1.0</v>
      </c>
      <c r="J376" s="44">
        <v>1.0</v>
      </c>
      <c r="K376" s="164" t="s">
        <v>5429</v>
      </c>
      <c r="L376" s="44">
        <v>0.0</v>
      </c>
      <c r="M376" s="44">
        <v>0.0</v>
      </c>
      <c r="N376" s="166">
        <v>0.0</v>
      </c>
      <c r="O376" s="166">
        <v>0.0</v>
      </c>
      <c r="P376" s="44">
        <v>0.0</v>
      </c>
      <c r="Q376" s="44" t="s">
        <v>138</v>
      </c>
      <c r="R376" s="44" t="s">
        <v>869</v>
      </c>
      <c r="S376" s="175"/>
      <c r="T376" s="44">
        <v>0.0</v>
      </c>
      <c r="U376" s="44">
        <v>0.0</v>
      </c>
      <c r="V376" s="44">
        <v>1.0</v>
      </c>
      <c r="W376" s="45"/>
      <c r="X376" s="45"/>
      <c r="Y376" s="45"/>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row>
    <row r="377">
      <c r="A377" s="167">
        <v>1.0</v>
      </c>
      <c r="B377" s="341" t="s">
        <v>5430</v>
      </c>
      <c r="C377" s="55">
        <v>373.0</v>
      </c>
      <c r="D377" s="55">
        <v>1.0</v>
      </c>
      <c r="E377" s="344">
        <v>43716.0</v>
      </c>
      <c r="F377" s="171" t="str">
        <f>HYPERLINK("https://news.detik.com/berita-jawa-barat/d-4659251/geram-paman-gadis-korban-pemerkosaan-ke-sopir-angkot-hukum-mati ","sumber")</f>
        <v>sumber</v>
      </c>
      <c r="G377" s="55" t="s">
        <v>33</v>
      </c>
      <c r="H377" s="55">
        <v>1.0</v>
      </c>
      <c r="I377" s="55">
        <v>1.0</v>
      </c>
      <c r="J377" s="55">
        <v>1.0</v>
      </c>
      <c r="K377" s="172" t="s">
        <v>5431</v>
      </c>
      <c r="L377" s="55">
        <v>0.0</v>
      </c>
      <c r="M377" s="55">
        <v>1.0</v>
      </c>
      <c r="N377" s="173">
        <v>0.0</v>
      </c>
      <c r="O377" s="55">
        <v>1.0</v>
      </c>
      <c r="P377" s="55">
        <v>0.0</v>
      </c>
      <c r="Q377" s="55" t="s">
        <v>61</v>
      </c>
      <c r="R377" s="55" t="s">
        <v>100</v>
      </c>
      <c r="S377" s="174"/>
      <c r="T377" s="55">
        <v>0.0</v>
      </c>
      <c r="U377" s="55">
        <v>0.0</v>
      </c>
      <c r="V377" s="55">
        <v>0.0</v>
      </c>
      <c r="W377" s="46"/>
      <c r="X377" s="46"/>
      <c r="Y377" s="46"/>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c r="BA377" s="31"/>
      <c r="BB377" s="31"/>
      <c r="BC377" s="31"/>
      <c r="BD377" s="31"/>
      <c r="BE377" s="31"/>
    </row>
    <row r="378">
      <c r="A378" s="158">
        <v>1.0</v>
      </c>
      <c r="B378" s="351" t="s">
        <v>5432</v>
      </c>
      <c r="C378" s="44">
        <v>374.0</v>
      </c>
      <c r="D378" s="44">
        <v>3.0</v>
      </c>
      <c r="E378" s="44" t="s">
        <v>5100</v>
      </c>
      <c r="F378" s="162" t="str">
        <f>HYPERLINK("https://bola.okezone.com/read/2019/08/21/45/2094577/geram-dengan-kasus-rasisme-neville-ajak-pesepakbola-boikot-media-sosial ","sumber")</f>
        <v>sumber</v>
      </c>
      <c r="G378" s="44" t="s">
        <v>33</v>
      </c>
      <c r="H378" s="44">
        <v>2.0</v>
      </c>
      <c r="I378" s="44">
        <v>1.0</v>
      </c>
      <c r="J378" s="44">
        <v>3.0</v>
      </c>
      <c r="K378" s="164" t="s">
        <v>5433</v>
      </c>
      <c r="L378" s="44">
        <v>0.0</v>
      </c>
      <c r="M378" s="44">
        <v>0.0</v>
      </c>
      <c r="N378" s="166">
        <v>0.0</v>
      </c>
      <c r="O378" s="166">
        <v>0.0</v>
      </c>
      <c r="P378" s="44">
        <v>0.0</v>
      </c>
      <c r="Q378" s="44">
        <v>0.0</v>
      </c>
      <c r="R378" s="44">
        <v>1.0</v>
      </c>
      <c r="S378" s="175"/>
      <c r="T378" s="44">
        <v>0.0</v>
      </c>
      <c r="U378" s="44">
        <v>0.0</v>
      </c>
      <c r="V378" s="44">
        <v>1.0</v>
      </c>
      <c r="W378" s="45"/>
      <c r="X378" s="45"/>
      <c r="Y378" s="45"/>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row>
    <row r="379">
      <c r="A379" s="167">
        <v>1.0</v>
      </c>
      <c r="B379" s="341" t="s">
        <v>5434</v>
      </c>
      <c r="C379" s="55">
        <v>375.0</v>
      </c>
      <c r="D379" s="55">
        <v>3.0</v>
      </c>
      <c r="E379" s="55" t="s">
        <v>5435</v>
      </c>
      <c r="F379" s="171" t="str">
        <f>HYPERLINK("https://news.okezone.com/read/2019/08/29/609/2097921/lecehkan-pegawai-oknum-kadis-di-jeneponto-terancam-dipecat ","sumber")</f>
        <v>sumber</v>
      </c>
      <c r="G379" s="55" t="s">
        <v>33</v>
      </c>
      <c r="H379" s="55">
        <v>3.0</v>
      </c>
      <c r="I379" s="55">
        <v>2.0</v>
      </c>
      <c r="J379" s="55">
        <v>1.0</v>
      </c>
      <c r="K379" s="172" t="s">
        <v>5436</v>
      </c>
      <c r="L379" s="55">
        <v>0.0</v>
      </c>
      <c r="M379" s="55">
        <v>0.0</v>
      </c>
      <c r="N379" s="173">
        <v>0.0</v>
      </c>
      <c r="O379" s="173">
        <v>0.0</v>
      </c>
      <c r="P379" s="55">
        <v>0.0</v>
      </c>
      <c r="Q379" s="55" t="s">
        <v>61</v>
      </c>
      <c r="R379" s="55" t="s">
        <v>192</v>
      </c>
      <c r="S379" s="174"/>
      <c r="T379" s="55">
        <v>0.0</v>
      </c>
      <c r="U379" s="55">
        <v>0.0</v>
      </c>
      <c r="V379" s="55">
        <v>1.0</v>
      </c>
      <c r="W379" s="46"/>
      <c r="X379" s="46"/>
      <c r="Y379" s="46"/>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c r="BA379" s="31"/>
      <c r="BB379" s="31"/>
      <c r="BC379" s="31"/>
      <c r="BD379" s="31"/>
      <c r="BE379" s="31"/>
    </row>
    <row r="380">
      <c r="A380" s="158">
        <v>1.0</v>
      </c>
      <c r="B380" s="351" t="s">
        <v>5437</v>
      </c>
      <c r="C380" s="44">
        <v>376.0</v>
      </c>
      <c r="D380" s="44">
        <v>10.0</v>
      </c>
      <c r="E380" s="44" t="s">
        <v>310</v>
      </c>
      <c r="F380" s="162" t="str">
        <f>HYPERLINK("https://seleb.tempo.co/read/1240189/selain-prostitusi-seungri-dibidik-kasus-kedua ","sumber")</f>
        <v>sumber</v>
      </c>
      <c r="G380" s="44" t="s">
        <v>33</v>
      </c>
      <c r="H380" s="44">
        <v>1.0</v>
      </c>
      <c r="I380" s="44">
        <v>1.0</v>
      </c>
      <c r="J380" s="44">
        <v>1.0</v>
      </c>
      <c r="K380" s="164" t="s">
        <v>5438</v>
      </c>
      <c r="L380" s="44">
        <v>0.0</v>
      </c>
      <c r="M380" s="44">
        <v>0.0</v>
      </c>
      <c r="N380" s="166">
        <v>0.0</v>
      </c>
      <c r="O380" s="166">
        <v>0.0</v>
      </c>
      <c r="P380" s="44">
        <v>0.0</v>
      </c>
      <c r="Q380" s="44">
        <v>0.0</v>
      </c>
      <c r="R380" s="44">
        <v>0.0</v>
      </c>
      <c r="S380" s="175"/>
      <c r="T380" s="44">
        <v>0.0</v>
      </c>
      <c r="U380" s="44">
        <v>0.0</v>
      </c>
      <c r="V380" s="44">
        <v>0.0</v>
      </c>
      <c r="W380" s="45"/>
      <c r="X380" s="45"/>
      <c r="Y380" s="45"/>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row>
    <row r="381">
      <c r="A381" s="158">
        <v>1.0</v>
      </c>
      <c r="B381" s="351" t="s">
        <v>309</v>
      </c>
      <c r="C381" s="44">
        <v>377.0</v>
      </c>
      <c r="D381" s="44">
        <v>7.0</v>
      </c>
      <c r="E381" s="44" t="s">
        <v>310</v>
      </c>
      <c r="F381" s="162" t="str">
        <f>HYPERLINK("https://www.tribunnews.com/nasional/2019/08/26/soal-vonis-kebiri-predator-anak-beda-pendapat-menteri-yohana-dan-khofifah-di-masa-lalu-jadi-sorotan ","sumber")</f>
        <v>sumber</v>
      </c>
      <c r="G381" s="44" t="s">
        <v>33</v>
      </c>
      <c r="H381" s="44">
        <v>1.0</v>
      </c>
      <c r="I381" s="44">
        <v>4.0</v>
      </c>
      <c r="J381" s="44">
        <v>1.0</v>
      </c>
      <c r="K381" s="164" t="s">
        <v>5439</v>
      </c>
      <c r="L381" s="44">
        <v>0.0</v>
      </c>
      <c r="M381" s="44">
        <v>0.0</v>
      </c>
      <c r="N381" s="166">
        <v>0.0</v>
      </c>
      <c r="O381" s="166">
        <v>0.0</v>
      </c>
      <c r="P381" s="44">
        <v>0.0</v>
      </c>
      <c r="Q381" s="44">
        <v>0.0</v>
      </c>
      <c r="R381" s="44">
        <v>0.0</v>
      </c>
      <c r="S381" s="175"/>
      <c r="T381" s="44">
        <v>0.0</v>
      </c>
      <c r="U381" s="44">
        <v>0.0</v>
      </c>
      <c r="V381" s="44">
        <v>1.0</v>
      </c>
      <c r="W381" s="45"/>
      <c r="X381" s="45"/>
      <c r="Y381" s="45"/>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row>
    <row r="382">
      <c r="A382" s="158">
        <v>1.0</v>
      </c>
      <c r="B382" s="351" t="s">
        <v>5440</v>
      </c>
      <c r="C382" s="44">
        <v>378.0</v>
      </c>
      <c r="D382" s="44">
        <v>1.0</v>
      </c>
      <c r="E382" s="44" t="s">
        <v>2479</v>
      </c>
      <c r="F382" s="162" t="str">
        <f>HYPERLINK("https://news.detik.com/berita/d-4683952/sekda-jeneponto-sulsel-panggil-kadis-yang-dilaporkan-cium-pipi-staf ","sumber")</f>
        <v>sumber</v>
      </c>
      <c r="G382" s="44" t="s">
        <v>33</v>
      </c>
      <c r="H382" s="44">
        <v>1.0</v>
      </c>
      <c r="I382" s="44">
        <v>1.0</v>
      </c>
      <c r="J382" s="44">
        <v>1.0</v>
      </c>
      <c r="K382" s="164" t="s">
        <v>5441</v>
      </c>
      <c r="L382" s="44">
        <v>0.0</v>
      </c>
      <c r="M382" s="44">
        <v>0.0</v>
      </c>
      <c r="N382" s="166">
        <v>0.0</v>
      </c>
      <c r="O382" s="166">
        <v>0.0</v>
      </c>
      <c r="P382" s="44">
        <v>0.0</v>
      </c>
      <c r="Q382" s="44" t="s">
        <v>61</v>
      </c>
      <c r="R382" s="44" t="s">
        <v>62</v>
      </c>
      <c r="S382" s="175"/>
      <c r="T382" s="44">
        <v>0.0</v>
      </c>
      <c r="U382" s="44">
        <v>0.0</v>
      </c>
      <c r="V382" s="44">
        <v>0.0</v>
      </c>
      <c r="W382" s="45"/>
      <c r="X382" s="45"/>
      <c r="Y382" s="45"/>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row>
    <row r="383">
      <c r="A383" s="158">
        <v>1.0</v>
      </c>
      <c r="B383" s="351" t="s">
        <v>5442</v>
      </c>
      <c r="C383" s="44">
        <v>379.0</v>
      </c>
      <c r="D383" s="44">
        <v>1.0</v>
      </c>
      <c r="E383" s="44" t="s">
        <v>318</v>
      </c>
      <c r="F383" s="162" t="str">
        <f>HYPERLINK("https://news.detik.com/berita/d-4686323/bocah-10-tahun-diduga-diperkosa-di-gunung-putri-bogor ","sumber")</f>
        <v>sumber</v>
      </c>
      <c r="G383" s="44" t="s">
        <v>33</v>
      </c>
      <c r="H383" s="44">
        <v>1.0</v>
      </c>
      <c r="I383" s="44">
        <v>1.0</v>
      </c>
      <c r="J383" s="44">
        <v>1.0</v>
      </c>
      <c r="K383" s="164" t="s">
        <v>5443</v>
      </c>
      <c r="L383" s="44">
        <v>0.0</v>
      </c>
      <c r="M383" s="44">
        <v>-1.0</v>
      </c>
      <c r="N383" s="166">
        <v>0.0</v>
      </c>
      <c r="O383" s="44">
        <v>1.0</v>
      </c>
      <c r="P383" s="44">
        <v>0.0</v>
      </c>
      <c r="Q383" s="44">
        <v>0.0</v>
      </c>
      <c r="R383" s="44">
        <v>0.0</v>
      </c>
      <c r="S383" s="175"/>
      <c r="T383" s="44">
        <v>0.0</v>
      </c>
      <c r="U383" s="44">
        <v>0.0</v>
      </c>
      <c r="V383" s="44">
        <v>0.0</v>
      </c>
      <c r="W383" s="45"/>
      <c r="X383" s="45"/>
      <c r="Y383" s="45"/>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row>
    <row r="384">
      <c r="A384" s="158">
        <v>1.0</v>
      </c>
      <c r="B384" s="351" t="s">
        <v>5444</v>
      </c>
      <c r="C384" s="44">
        <v>380.0</v>
      </c>
      <c r="D384" s="44">
        <v>6.0</v>
      </c>
      <c r="E384" s="44" t="s">
        <v>2665</v>
      </c>
      <c r="F384" s="162" t="str">
        <f>HYPERLINK("https://nasional.kompas.com/read/2019/08/30/14562471/komnas-perempuan-ruu-pks-sudah-banyak-dipolitisasi-saatnya-dpr-serius ","sumber")</f>
        <v>sumber</v>
      </c>
      <c r="G384" s="44" t="s">
        <v>33</v>
      </c>
      <c r="H384" s="44">
        <v>1.0</v>
      </c>
      <c r="I384" s="44">
        <v>4.0</v>
      </c>
      <c r="J384" s="44">
        <v>1.0</v>
      </c>
      <c r="K384" s="164" t="s">
        <v>5445</v>
      </c>
      <c r="L384" s="44">
        <v>0.0</v>
      </c>
      <c r="M384" s="44">
        <v>0.0</v>
      </c>
      <c r="N384" s="166">
        <v>0.0</v>
      </c>
      <c r="O384" s="166">
        <v>0.0</v>
      </c>
      <c r="P384" s="44">
        <v>0.0</v>
      </c>
      <c r="Q384" s="44">
        <v>1.0</v>
      </c>
      <c r="R384" s="44">
        <v>1.0</v>
      </c>
      <c r="S384" s="175"/>
      <c r="T384" s="44">
        <v>0.0</v>
      </c>
      <c r="U384" s="44">
        <v>0.0</v>
      </c>
      <c r="V384" s="44">
        <v>1.0</v>
      </c>
      <c r="W384" s="45"/>
      <c r="X384" s="45"/>
      <c r="Y384" s="45"/>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row>
    <row r="385">
      <c r="A385" s="158">
        <v>1.0</v>
      </c>
      <c r="B385" s="351" t="s">
        <v>2664</v>
      </c>
      <c r="C385" s="44">
        <v>381.0</v>
      </c>
      <c r="D385" s="44">
        <v>4.0</v>
      </c>
      <c r="E385" s="44" t="s">
        <v>2665</v>
      </c>
      <c r="F385" s="162" t="str">
        <f>HYPERLINK("https://www.liputan6.com/bola/read/4050607/ancam-tembak-mantan-pacar-bintang-nba-berurusan-dengan-polisi ","sumber")</f>
        <v>sumber</v>
      </c>
      <c r="G385" s="44" t="s">
        <v>33</v>
      </c>
      <c r="H385" s="44">
        <v>1.0</v>
      </c>
      <c r="I385" s="44">
        <v>1.0</v>
      </c>
      <c r="J385" s="44">
        <v>1.0</v>
      </c>
      <c r="K385" s="352" t="s">
        <v>5446</v>
      </c>
      <c r="L385" s="44">
        <v>0.0</v>
      </c>
      <c r="M385" s="44">
        <v>0.0</v>
      </c>
      <c r="N385" s="166">
        <v>0.0</v>
      </c>
      <c r="O385" s="166">
        <v>0.0</v>
      </c>
      <c r="P385" s="44">
        <v>0.0</v>
      </c>
      <c r="Q385" s="44">
        <v>0.0</v>
      </c>
      <c r="R385" s="44">
        <v>1.0</v>
      </c>
      <c r="S385" s="175"/>
      <c r="T385" s="44">
        <v>0.0</v>
      </c>
      <c r="U385" s="44">
        <v>0.0</v>
      </c>
      <c r="V385" s="44">
        <v>0.0</v>
      </c>
      <c r="W385" s="45"/>
      <c r="X385" s="45"/>
      <c r="Y385" s="45"/>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row>
    <row r="386">
      <c r="A386" s="158">
        <v>1.0</v>
      </c>
      <c r="B386" s="351" t="s">
        <v>5447</v>
      </c>
      <c r="C386" s="44">
        <v>382.0</v>
      </c>
      <c r="D386" s="44">
        <v>4.0</v>
      </c>
      <c r="E386" s="268">
        <v>43505.0</v>
      </c>
      <c r="F386" s="162" t="str">
        <f>HYPERLINK("https://www.liputan6.com/showbiz/read/4052900/dilabrak-nikita-mirzani-elza-syarief-merasa-dilecehkan ","sumber")</f>
        <v>sumber</v>
      </c>
      <c r="G386" s="44" t="s">
        <v>33</v>
      </c>
      <c r="H386" s="44">
        <v>1.0</v>
      </c>
      <c r="I386" s="44">
        <v>1.0</v>
      </c>
      <c r="J386" s="44">
        <v>1.0</v>
      </c>
      <c r="K386" s="164" t="s">
        <v>5448</v>
      </c>
      <c r="L386" s="44">
        <v>0.0</v>
      </c>
      <c r="M386" s="44">
        <v>0.0</v>
      </c>
      <c r="N386" s="166">
        <v>0.0</v>
      </c>
      <c r="O386" s="166">
        <v>0.0</v>
      </c>
      <c r="P386" s="44">
        <v>0.0</v>
      </c>
      <c r="Q386" s="44">
        <v>2.0</v>
      </c>
      <c r="R386" s="44">
        <v>1.0</v>
      </c>
      <c r="S386" s="175"/>
      <c r="T386" s="44">
        <v>0.0</v>
      </c>
      <c r="U386" s="44">
        <v>0.0</v>
      </c>
      <c r="V386" s="44">
        <v>0.0</v>
      </c>
      <c r="W386" s="45"/>
      <c r="X386" s="45"/>
      <c r="Y386" s="45"/>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row>
    <row r="387">
      <c r="A387" s="152">
        <v>2.0</v>
      </c>
      <c r="B387" s="365" t="s">
        <v>3829</v>
      </c>
      <c r="C387" s="47">
        <v>383.0</v>
      </c>
      <c r="D387" s="48"/>
      <c r="E387" s="48"/>
      <c r="F387" s="156" t="str">
        <f>HYPERLINK("https://celebrity.okezone.com/read/2019/09/03/33/2099954/hot-gosip-livi-zheng-dihujat-netizen-hingga-sopir-jessica-iskandar-diteror-kuntilanak ","sumber")</f>
        <v>sumber</v>
      </c>
      <c r="G387" s="47" t="s">
        <v>33</v>
      </c>
      <c r="H387" s="48"/>
      <c r="I387" s="48"/>
      <c r="J387" s="48"/>
      <c r="K387" s="165"/>
      <c r="L387" s="48"/>
      <c r="M387" s="48"/>
      <c r="N387" s="48"/>
      <c r="O387" s="48"/>
      <c r="P387" s="48"/>
      <c r="Q387" s="48"/>
      <c r="R387" s="48"/>
      <c r="S387" s="165"/>
      <c r="T387" s="48"/>
      <c r="U387" s="48"/>
      <c r="V387" s="48"/>
      <c r="W387" s="48"/>
      <c r="X387" s="48"/>
      <c r="Y387" s="48"/>
      <c r="Z387" s="338"/>
      <c r="AA387" s="51"/>
      <c r="AB387" s="51"/>
      <c r="AC387" s="51"/>
      <c r="AD387" s="51"/>
      <c r="AE387" s="51"/>
      <c r="AF387" s="51"/>
      <c r="AG387" s="51"/>
      <c r="AH387" s="51"/>
      <c r="AI387" s="51"/>
      <c r="AJ387" s="51"/>
      <c r="AK387" s="51"/>
      <c r="AL387" s="51"/>
      <c r="AM387" s="51"/>
      <c r="AN387" s="51"/>
      <c r="AO387" s="51"/>
      <c r="AP387" s="51"/>
      <c r="AQ387" s="51"/>
      <c r="AR387" s="51"/>
      <c r="AS387" s="51"/>
      <c r="AT387" s="51"/>
      <c r="AU387" s="51"/>
      <c r="AV387" s="51"/>
      <c r="AW387" s="51"/>
      <c r="AX387" s="51"/>
      <c r="AY387" s="51"/>
      <c r="AZ387" s="51"/>
      <c r="BA387" s="51"/>
      <c r="BB387" s="51"/>
      <c r="BC387" s="51"/>
      <c r="BD387" s="51"/>
      <c r="BE387" s="51"/>
    </row>
    <row r="388">
      <c r="A388" s="158">
        <v>1.0</v>
      </c>
      <c r="B388" s="351" t="s">
        <v>5449</v>
      </c>
      <c r="C388" s="44">
        <v>384.0</v>
      </c>
      <c r="D388" s="44">
        <v>7.0</v>
      </c>
      <c r="E388" s="268">
        <v>43533.0</v>
      </c>
      <c r="F388" s="162" t="str">
        <f>HYPERLINK("https://www.tribunnews.com/nasional/2019/09/03/tangani-human-trafficking-dan-predator-seks-anak-lpsk-gaet-grab-dan-kpai ","sumber")</f>
        <v>sumber</v>
      </c>
      <c r="G388" s="44" t="s">
        <v>33</v>
      </c>
      <c r="H388" s="44">
        <v>1.0</v>
      </c>
      <c r="I388" s="44">
        <v>3.0</v>
      </c>
      <c r="J388" s="44">
        <v>1.0</v>
      </c>
      <c r="K388" s="164" t="s">
        <v>5450</v>
      </c>
      <c r="L388" s="44">
        <v>0.0</v>
      </c>
      <c r="M388" s="44">
        <v>0.0</v>
      </c>
      <c r="N388" s="166">
        <v>0.0</v>
      </c>
      <c r="O388" s="166">
        <v>0.0</v>
      </c>
      <c r="P388" s="44">
        <v>0.0</v>
      </c>
      <c r="Q388" s="44" t="s">
        <v>61</v>
      </c>
      <c r="R388" s="44" t="s">
        <v>192</v>
      </c>
      <c r="S388" s="175"/>
      <c r="T388" s="44">
        <v>0.0</v>
      </c>
      <c r="U388" s="44">
        <v>0.0</v>
      </c>
      <c r="V388" s="44">
        <v>1.0</v>
      </c>
      <c r="W388" s="45"/>
      <c r="X388" s="45"/>
      <c r="Y388" s="45"/>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row>
    <row r="389">
      <c r="A389" s="158">
        <v>1.0</v>
      </c>
      <c r="B389" s="351" t="s">
        <v>2675</v>
      </c>
      <c r="C389" s="44">
        <v>385.0</v>
      </c>
      <c r="D389" s="44">
        <v>4.0</v>
      </c>
      <c r="E389" s="268">
        <v>43564.0</v>
      </c>
      <c r="F389" s="162" t="str">
        <f>HYPERLINK("https://www.liputan6.com/news/read/4054299/prostitusi-online-yang-sediakan-jasa-threesome-di-serang-terkuak ","sumber")</f>
        <v>sumber</v>
      </c>
      <c r="G389" s="44" t="s">
        <v>33</v>
      </c>
      <c r="H389" s="44">
        <v>1.0</v>
      </c>
      <c r="I389" s="44">
        <v>1.0</v>
      </c>
      <c r="J389" s="44">
        <v>3.0</v>
      </c>
      <c r="K389" s="164" t="s">
        <v>5451</v>
      </c>
      <c r="L389" s="44">
        <v>0.0</v>
      </c>
      <c r="M389" s="44">
        <v>0.0</v>
      </c>
      <c r="N389" s="166">
        <v>0.0</v>
      </c>
      <c r="O389" s="166">
        <v>0.0</v>
      </c>
      <c r="P389" s="44">
        <v>0.0</v>
      </c>
      <c r="Q389" s="44">
        <v>0.0</v>
      </c>
      <c r="R389" s="44">
        <v>0.0</v>
      </c>
      <c r="S389" s="175"/>
      <c r="T389" s="44">
        <v>0.0</v>
      </c>
      <c r="U389" s="44">
        <v>0.0</v>
      </c>
      <c r="V389" s="44">
        <v>1.0</v>
      </c>
      <c r="W389" s="45"/>
      <c r="X389" s="45"/>
      <c r="Y389" s="45"/>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row>
    <row r="390">
      <c r="A390" s="152">
        <v>2.0</v>
      </c>
      <c r="B390" s="365" t="s">
        <v>5452</v>
      </c>
      <c r="C390" s="47">
        <v>386.0</v>
      </c>
      <c r="D390" s="48"/>
      <c r="E390" s="48"/>
      <c r="F390" s="156" t="str">
        <f>HYPERLINK("https://tirto.id/preview-when-the-camellia-blooms-ep-7-8-yong-shik-jaga-dong-baek-eiMk ","sumber")</f>
        <v>sumber</v>
      </c>
      <c r="G390" s="47" t="s">
        <v>33</v>
      </c>
      <c r="H390" s="48"/>
      <c r="I390" s="48"/>
      <c r="J390" s="48"/>
      <c r="K390" s="165"/>
      <c r="L390" s="48"/>
      <c r="M390" s="48"/>
      <c r="N390" s="48"/>
      <c r="O390" s="48"/>
      <c r="P390" s="48"/>
      <c r="Q390" s="48"/>
      <c r="R390" s="48"/>
      <c r="S390" s="165"/>
      <c r="T390" s="48"/>
      <c r="U390" s="48"/>
      <c r="V390" s="48"/>
      <c r="W390" s="48"/>
      <c r="X390" s="48"/>
      <c r="Y390" s="48"/>
      <c r="Z390" s="338"/>
      <c r="AA390" s="51"/>
      <c r="AB390" s="51"/>
      <c r="AC390" s="51"/>
      <c r="AD390" s="51"/>
      <c r="AE390" s="51"/>
      <c r="AF390" s="51"/>
      <c r="AG390" s="51"/>
      <c r="AH390" s="51"/>
      <c r="AI390" s="51"/>
      <c r="AJ390" s="51"/>
      <c r="AK390" s="51"/>
      <c r="AL390" s="51"/>
      <c r="AM390" s="51"/>
      <c r="AN390" s="51"/>
      <c r="AO390" s="51"/>
      <c r="AP390" s="51"/>
      <c r="AQ390" s="51"/>
      <c r="AR390" s="51"/>
      <c r="AS390" s="51"/>
      <c r="AT390" s="51"/>
      <c r="AU390" s="51"/>
      <c r="AV390" s="51"/>
      <c r="AW390" s="51"/>
      <c r="AX390" s="51"/>
      <c r="AY390" s="51"/>
      <c r="AZ390" s="51"/>
      <c r="BA390" s="51"/>
      <c r="BB390" s="51"/>
      <c r="BC390" s="51"/>
      <c r="BD390" s="51"/>
      <c r="BE390" s="51"/>
    </row>
    <row r="391">
      <c r="A391" s="152">
        <v>2.0</v>
      </c>
      <c r="B391" s="365" t="s">
        <v>5453</v>
      </c>
      <c r="C391" s="47">
        <v>387.0</v>
      </c>
      <c r="D391" s="48"/>
      <c r="E391" s="48"/>
      <c r="F391" s="156" t="str">
        <f>HYPERLINK("https://www.suara.com/wawancara/2019/09/27/225330/bivitri-susanti-pembahasan-rkuhp-harus-terbuka-dan-libatkan-banyak-pihak ","sumber")</f>
        <v>sumber</v>
      </c>
      <c r="G391" s="47" t="s">
        <v>33</v>
      </c>
      <c r="H391" s="48"/>
      <c r="I391" s="48"/>
      <c r="J391" s="48"/>
      <c r="K391" s="165"/>
      <c r="L391" s="48"/>
      <c r="M391" s="48"/>
      <c r="N391" s="48"/>
      <c r="O391" s="48"/>
      <c r="P391" s="48"/>
      <c r="Q391" s="48"/>
      <c r="R391" s="48"/>
      <c r="S391" s="165"/>
      <c r="T391" s="48"/>
      <c r="U391" s="48"/>
      <c r="V391" s="48"/>
      <c r="W391" s="48"/>
      <c r="X391" s="48"/>
      <c r="Y391" s="48"/>
      <c r="Z391" s="338"/>
      <c r="AA391" s="51"/>
      <c r="AB391" s="51"/>
      <c r="AC391" s="51"/>
      <c r="AD391" s="51"/>
      <c r="AE391" s="51"/>
      <c r="AF391" s="51"/>
      <c r="AG391" s="51"/>
      <c r="AH391" s="51"/>
      <c r="AI391" s="51"/>
      <c r="AJ391" s="51"/>
      <c r="AK391" s="51"/>
      <c r="AL391" s="51"/>
      <c r="AM391" s="51"/>
      <c r="AN391" s="51"/>
      <c r="AO391" s="51"/>
      <c r="AP391" s="51"/>
      <c r="AQ391" s="51"/>
      <c r="AR391" s="51"/>
      <c r="AS391" s="51"/>
      <c r="AT391" s="51"/>
      <c r="AU391" s="51"/>
      <c r="AV391" s="51"/>
      <c r="AW391" s="51"/>
      <c r="AX391" s="51"/>
      <c r="AY391" s="51"/>
      <c r="AZ391" s="51"/>
      <c r="BA391" s="51"/>
      <c r="BB391" s="51"/>
      <c r="BC391" s="51"/>
      <c r="BD391" s="51"/>
      <c r="BE391" s="51"/>
    </row>
    <row r="392">
      <c r="A392" s="152">
        <v>2.0</v>
      </c>
      <c r="B392" s="365" t="s">
        <v>5454</v>
      </c>
      <c r="C392" s="47">
        <v>388.0</v>
      </c>
      <c r="D392" s="48"/>
      <c r="E392" s="48"/>
      <c r="F392" s="156" t="str">
        <f>HYPERLINK("https://www.liputan6.com/news/read/4073900/disebut-bodoh-oleh-menkumham-yasonna-laoly-ini-jawaban-menohok-dian-sastro ","sumber")</f>
        <v>sumber</v>
      </c>
      <c r="G392" s="47" t="s">
        <v>33</v>
      </c>
      <c r="H392" s="48"/>
      <c r="I392" s="48"/>
      <c r="J392" s="48"/>
      <c r="K392" s="165"/>
      <c r="L392" s="48"/>
      <c r="M392" s="48"/>
      <c r="N392" s="48"/>
      <c r="O392" s="48"/>
      <c r="P392" s="48"/>
      <c r="Q392" s="48"/>
      <c r="R392" s="48"/>
      <c r="S392" s="165"/>
      <c r="T392" s="48"/>
      <c r="U392" s="48"/>
      <c r="V392" s="48"/>
      <c r="W392" s="48"/>
      <c r="X392" s="48"/>
      <c r="Y392" s="48"/>
      <c r="Z392" s="338"/>
      <c r="AA392" s="51"/>
      <c r="AB392" s="51"/>
      <c r="AC392" s="51"/>
      <c r="AD392" s="51"/>
      <c r="AE392" s="51"/>
      <c r="AF392" s="51"/>
      <c r="AG392" s="51"/>
      <c r="AH392" s="51"/>
      <c r="AI392" s="51"/>
      <c r="AJ392" s="51"/>
      <c r="AK392" s="51"/>
      <c r="AL392" s="51"/>
      <c r="AM392" s="51"/>
      <c r="AN392" s="51"/>
      <c r="AO392" s="51"/>
      <c r="AP392" s="51"/>
      <c r="AQ392" s="51"/>
      <c r="AR392" s="51"/>
      <c r="AS392" s="51"/>
      <c r="AT392" s="51"/>
      <c r="AU392" s="51"/>
      <c r="AV392" s="51"/>
      <c r="AW392" s="51"/>
      <c r="AX392" s="51"/>
      <c r="AY392" s="51"/>
      <c r="AZ392" s="51"/>
      <c r="BA392" s="51"/>
      <c r="BB392" s="51"/>
      <c r="BC392" s="51"/>
      <c r="BD392" s="51"/>
      <c r="BE392" s="51"/>
    </row>
    <row r="393">
      <c r="A393" s="152">
        <v>2.0</v>
      </c>
      <c r="B393" s="365" t="s">
        <v>5455</v>
      </c>
      <c r="C393" s="47">
        <v>389.0</v>
      </c>
      <c r="D393" s="48"/>
      <c r="E393" s="48"/>
      <c r="F393" s="156" t="str">
        <f>HYPERLINK("https://celebrity.okezone.com/read/2019/09/28/33/2110500/vanessa-angel-liburan-bareng-mantan-pacar-di-bali ","sumber")</f>
        <v>sumber</v>
      </c>
      <c r="G393" s="47" t="s">
        <v>33</v>
      </c>
      <c r="H393" s="48"/>
      <c r="I393" s="48"/>
      <c r="J393" s="48"/>
      <c r="K393" s="165"/>
      <c r="L393" s="48"/>
      <c r="M393" s="48"/>
      <c r="N393" s="48"/>
      <c r="O393" s="48"/>
      <c r="P393" s="48"/>
      <c r="Q393" s="48"/>
      <c r="R393" s="48"/>
      <c r="S393" s="165"/>
      <c r="T393" s="48"/>
      <c r="U393" s="48"/>
      <c r="V393" s="48"/>
      <c r="W393" s="48"/>
      <c r="X393" s="48"/>
      <c r="Y393" s="48"/>
      <c r="Z393" s="338"/>
      <c r="AA393" s="51"/>
      <c r="AB393" s="51"/>
      <c r="AC393" s="51"/>
      <c r="AD393" s="51"/>
      <c r="AE393" s="51"/>
      <c r="AF393" s="51"/>
      <c r="AG393" s="51"/>
      <c r="AH393" s="51"/>
      <c r="AI393" s="51"/>
      <c r="AJ393" s="51"/>
      <c r="AK393" s="51"/>
      <c r="AL393" s="51"/>
      <c r="AM393" s="51"/>
      <c r="AN393" s="51"/>
      <c r="AO393" s="51"/>
      <c r="AP393" s="51"/>
      <c r="AQ393" s="51"/>
      <c r="AR393" s="51"/>
      <c r="AS393" s="51"/>
      <c r="AT393" s="51"/>
      <c r="AU393" s="51"/>
      <c r="AV393" s="51"/>
      <c r="AW393" s="51"/>
      <c r="AX393" s="51"/>
      <c r="AY393" s="51"/>
      <c r="AZ393" s="51"/>
      <c r="BA393" s="51"/>
      <c r="BB393" s="51"/>
      <c r="BC393" s="51"/>
      <c r="BD393" s="51"/>
      <c r="BE393" s="51"/>
    </row>
    <row r="394">
      <c r="A394" s="152">
        <v>2.0</v>
      </c>
      <c r="B394" s="365" t="s">
        <v>5456</v>
      </c>
      <c r="C394" s="47">
        <v>390.0</v>
      </c>
      <c r="D394" s="48"/>
      <c r="E394" s="48"/>
      <c r="F394" s="156" t="str">
        <f>HYPERLINK("https://nasional.republika.co.id/berita/pyj50f335/mahasiwa-ingin-dialog-dengan-jokowi-dilakukan-secara-terbuka ","sumber")</f>
        <v>sumber</v>
      </c>
      <c r="G394" s="47" t="s">
        <v>33</v>
      </c>
      <c r="H394" s="48"/>
      <c r="I394" s="48"/>
      <c r="J394" s="48"/>
      <c r="K394" s="165"/>
      <c r="L394" s="48"/>
      <c r="M394" s="48"/>
      <c r="N394" s="48"/>
      <c r="O394" s="48"/>
      <c r="P394" s="48"/>
      <c r="Q394" s="48"/>
      <c r="R394" s="48"/>
      <c r="S394" s="165"/>
      <c r="T394" s="48"/>
      <c r="U394" s="48"/>
      <c r="V394" s="48"/>
      <c r="W394" s="48"/>
      <c r="X394" s="48"/>
      <c r="Y394" s="48"/>
      <c r="Z394" s="338"/>
      <c r="AA394" s="51"/>
      <c r="AB394" s="51"/>
      <c r="AC394" s="51"/>
      <c r="AD394" s="51"/>
      <c r="AE394" s="51"/>
      <c r="AF394" s="51"/>
      <c r="AG394" s="51"/>
      <c r="AH394" s="51"/>
      <c r="AI394" s="51"/>
      <c r="AJ394" s="51"/>
      <c r="AK394" s="51"/>
      <c r="AL394" s="51"/>
      <c r="AM394" s="51"/>
      <c r="AN394" s="51"/>
      <c r="AO394" s="51"/>
      <c r="AP394" s="51"/>
      <c r="AQ394" s="51"/>
      <c r="AR394" s="51"/>
      <c r="AS394" s="51"/>
      <c r="AT394" s="51"/>
      <c r="AU394" s="51"/>
      <c r="AV394" s="51"/>
      <c r="AW394" s="51"/>
      <c r="AX394" s="51"/>
      <c r="AY394" s="51"/>
      <c r="AZ394" s="51"/>
      <c r="BA394" s="51"/>
      <c r="BB394" s="51"/>
      <c r="BC394" s="51"/>
      <c r="BD394" s="51"/>
      <c r="BE394" s="51"/>
    </row>
    <row r="395">
      <c r="A395" s="158">
        <v>1.0</v>
      </c>
      <c r="B395" s="351" t="s">
        <v>1799</v>
      </c>
      <c r="C395" s="44">
        <v>391.0</v>
      </c>
      <c r="D395" s="44">
        <v>8.0</v>
      </c>
      <c r="E395" s="44" t="s">
        <v>681</v>
      </c>
      <c r="F395" s="162" t="str">
        <f>HYPERLINK("https://jatim.suara.com/read/2019/09/28/185913/aksi-ibnu-colek-payudara-mahasiswi-mbak-boleh-minta-nomor-teleponnya ","sumber")</f>
        <v>sumber</v>
      </c>
      <c r="G395" s="44" t="s">
        <v>33</v>
      </c>
      <c r="H395" s="44">
        <v>1.0</v>
      </c>
      <c r="I395" s="44">
        <v>1.0</v>
      </c>
      <c r="J395" s="44">
        <v>1.0</v>
      </c>
      <c r="K395" s="164" t="s">
        <v>5457</v>
      </c>
      <c r="L395" s="44">
        <v>0.0</v>
      </c>
      <c r="M395" s="44">
        <v>1.0</v>
      </c>
      <c r="N395" s="166">
        <v>0.0</v>
      </c>
      <c r="O395" s="166">
        <v>0.0</v>
      </c>
      <c r="P395" s="44">
        <v>-1.0</v>
      </c>
      <c r="Q395" s="44" t="s">
        <v>61</v>
      </c>
      <c r="R395" s="44" t="s">
        <v>62</v>
      </c>
      <c r="S395" s="175"/>
      <c r="T395" s="44">
        <v>0.0</v>
      </c>
      <c r="U395" s="44">
        <v>0.0</v>
      </c>
      <c r="V395" s="44">
        <v>1.0</v>
      </c>
      <c r="W395" s="45"/>
      <c r="X395" s="45"/>
      <c r="Y395" s="45"/>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row>
    <row r="396">
      <c r="A396" s="158">
        <v>1.0</v>
      </c>
      <c r="B396" s="351" t="s">
        <v>5458</v>
      </c>
      <c r="C396" s="44">
        <v>392.0</v>
      </c>
      <c r="D396" s="44">
        <v>7.0</v>
      </c>
      <c r="E396" s="44" t="s">
        <v>681</v>
      </c>
      <c r="F396" s="162" t="str">
        <f>HYPERLINK("https://www.tribunnews.com/regional/2019/09/28/wanita-di-sukabumi-rutin-berhubungan-intim-dengan-kedua-anaknya-karena-sang-suami-tak-sangggup-lagi ","sumber")</f>
        <v>sumber</v>
      </c>
      <c r="G396" s="44" t="s">
        <v>33</v>
      </c>
      <c r="H396" s="44">
        <v>3.0</v>
      </c>
      <c r="I396" s="44">
        <v>1.0</v>
      </c>
      <c r="J396" s="44">
        <v>1.0</v>
      </c>
      <c r="K396" s="164" t="s">
        <v>5459</v>
      </c>
      <c r="L396" s="44">
        <v>0.0</v>
      </c>
      <c r="M396" s="44">
        <v>1.0</v>
      </c>
      <c r="N396" s="166">
        <v>0.0</v>
      </c>
      <c r="O396" s="44">
        <v>-1.0</v>
      </c>
      <c r="P396" s="44">
        <v>0.0</v>
      </c>
      <c r="Q396" s="44" t="s">
        <v>5419</v>
      </c>
      <c r="R396" s="44" t="s">
        <v>5460</v>
      </c>
      <c r="S396" s="175"/>
      <c r="T396" s="44">
        <v>0.0</v>
      </c>
      <c r="U396" s="44">
        <v>0.0</v>
      </c>
      <c r="V396" s="44">
        <v>1.0</v>
      </c>
      <c r="W396" s="45"/>
      <c r="X396" s="45"/>
      <c r="Y396" s="45"/>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row>
    <row r="397">
      <c r="A397" s="152">
        <v>2.0</v>
      </c>
      <c r="B397" s="365" t="s">
        <v>5461</v>
      </c>
      <c r="C397" s="47">
        <v>393.0</v>
      </c>
      <c r="D397" s="48"/>
      <c r="E397" s="48"/>
      <c r="F397" s="156" t="str">
        <f>HYPERLINK("https://www.liputan6.com/global/read/4074157/29-9-2006-sanksi-murid-berujung-penembakan-tragis-kepala-sekolah-as ","sumber")</f>
        <v>sumber</v>
      </c>
      <c r="G397" s="47" t="s">
        <v>33</v>
      </c>
      <c r="H397" s="48"/>
      <c r="I397" s="48"/>
      <c r="J397" s="48"/>
      <c r="K397" s="165"/>
      <c r="L397" s="48"/>
      <c r="M397" s="48"/>
      <c r="N397" s="48"/>
      <c r="O397" s="48"/>
      <c r="P397" s="48"/>
      <c r="Q397" s="48"/>
      <c r="R397" s="48"/>
      <c r="S397" s="165"/>
      <c r="T397" s="48"/>
      <c r="U397" s="48"/>
      <c r="V397" s="48"/>
      <c r="W397" s="48"/>
      <c r="X397" s="48"/>
      <c r="Y397" s="48"/>
      <c r="Z397" s="338"/>
      <c r="AA397" s="51"/>
      <c r="AB397" s="51"/>
      <c r="AC397" s="51"/>
      <c r="AD397" s="51"/>
      <c r="AE397" s="51"/>
      <c r="AF397" s="51"/>
      <c r="AG397" s="51"/>
      <c r="AH397" s="51"/>
      <c r="AI397" s="51"/>
      <c r="AJ397" s="51"/>
      <c r="AK397" s="51"/>
      <c r="AL397" s="51"/>
      <c r="AM397" s="51"/>
      <c r="AN397" s="51"/>
      <c r="AO397" s="51"/>
      <c r="AP397" s="51"/>
      <c r="AQ397" s="51"/>
      <c r="AR397" s="51"/>
      <c r="AS397" s="51"/>
      <c r="AT397" s="51"/>
      <c r="AU397" s="51"/>
      <c r="AV397" s="51"/>
      <c r="AW397" s="51"/>
      <c r="AX397" s="51"/>
      <c r="AY397" s="51"/>
      <c r="AZ397" s="51"/>
      <c r="BA397" s="51"/>
      <c r="BB397" s="51"/>
      <c r="BC397" s="51"/>
      <c r="BD397" s="51"/>
      <c r="BE397" s="51"/>
    </row>
    <row r="398">
      <c r="A398" s="408">
        <v>1.0</v>
      </c>
      <c r="B398" s="409" t="s">
        <v>5462</v>
      </c>
      <c r="C398" s="79">
        <v>394.0</v>
      </c>
      <c r="D398" s="79">
        <v>1.0</v>
      </c>
      <c r="E398" s="363">
        <v>43565.0</v>
      </c>
      <c r="F398" s="293" t="str">
        <f>HYPERLINK("https://news.detik.com/internasional/d-4734082/ulama-besar-syiah-serukan-pemerintah-irak-perhatikan-tuntutan-demonstran ","sumber")</f>
        <v>sumber</v>
      </c>
      <c r="G398" s="79" t="s">
        <v>33</v>
      </c>
      <c r="H398" s="410">
        <v>156.0</v>
      </c>
      <c r="I398" s="79">
        <v>4.0</v>
      </c>
      <c r="J398" s="79">
        <v>4.0</v>
      </c>
      <c r="K398" s="191" t="s">
        <v>5463</v>
      </c>
      <c r="L398" s="79">
        <v>0.0</v>
      </c>
      <c r="M398" s="79">
        <v>0.0</v>
      </c>
      <c r="N398" s="364">
        <v>0.0</v>
      </c>
      <c r="O398" s="364">
        <v>0.0</v>
      </c>
      <c r="P398" s="79">
        <v>0.0</v>
      </c>
      <c r="Q398" s="79">
        <v>0.0</v>
      </c>
      <c r="R398" s="79">
        <v>1.0</v>
      </c>
      <c r="S398" s="368"/>
      <c r="T398" s="79">
        <v>0.0</v>
      </c>
      <c r="U398" s="79">
        <v>0.0</v>
      </c>
      <c r="V398" s="79">
        <v>1.0</v>
      </c>
      <c r="W398" s="63"/>
      <c r="X398" s="63"/>
      <c r="Y398" s="63"/>
      <c r="Z398" s="295"/>
      <c r="AA398" s="295"/>
      <c r="AB398" s="295"/>
      <c r="AC398" s="295"/>
      <c r="AD398" s="295"/>
      <c r="AE398" s="295"/>
      <c r="AF398" s="295"/>
      <c r="AG398" s="295"/>
      <c r="AH398" s="295"/>
      <c r="AI398" s="295"/>
      <c r="AJ398" s="295"/>
      <c r="AK398" s="295"/>
      <c r="AL398" s="295"/>
      <c r="AM398" s="295"/>
      <c r="AN398" s="295"/>
      <c r="AO398" s="295"/>
      <c r="AP398" s="295"/>
      <c r="AQ398" s="295"/>
      <c r="AR398" s="295"/>
      <c r="AS398" s="295"/>
      <c r="AT398" s="295"/>
      <c r="AU398" s="295"/>
      <c r="AV398" s="295"/>
      <c r="AW398" s="295"/>
      <c r="AX398" s="295"/>
      <c r="AY398" s="295"/>
      <c r="AZ398" s="295"/>
      <c r="BA398" s="295"/>
      <c r="BB398" s="295"/>
      <c r="BC398" s="295"/>
      <c r="BD398" s="295"/>
      <c r="BE398" s="295"/>
    </row>
    <row r="399">
      <c r="A399" s="222">
        <v>2.0</v>
      </c>
      <c r="B399" s="411" t="s">
        <v>5464</v>
      </c>
      <c r="C399" s="47">
        <v>395.0</v>
      </c>
      <c r="D399" s="47">
        <v>10.0</v>
      </c>
      <c r="E399" s="280">
        <v>43565.0</v>
      </c>
      <c r="F399" s="156" t="str">
        <f>HYPERLINK("https://tekno.tempo.co/read/1255682/kepala-bppt-beri-kuliah-ai-dan-big-data-di-unsyiah-aceh ","sumber")</f>
        <v>sumber</v>
      </c>
      <c r="G399" s="47" t="s">
        <v>33</v>
      </c>
      <c r="H399" s="412">
        <v>360.0</v>
      </c>
      <c r="I399" s="48"/>
      <c r="J399" s="48"/>
      <c r="K399" s="165"/>
      <c r="L399" s="48"/>
      <c r="M399" s="48"/>
      <c r="N399" s="48"/>
      <c r="O399" s="48"/>
      <c r="P399" s="48"/>
      <c r="Q399" s="48"/>
      <c r="R399" s="48"/>
      <c r="S399" s="165"/>
      <c r="T399" s="48"/>
      <c r="U399" s="48"/>
      <c r="V399" s="48"/>
      <c r="W399" s="48"/>
      <c r="X399" s="48"/>
      <c r="Y399" s="48"/>
      <c r="Z399" s="338"/>
      <c r="AA399" s="51"/>
      <c r="AB399" s="51"/>
      <c r="AC399" s="51"/>
      <c r="AD399" s="51"/>
      <c r="AE399" s="51"/>
      <c r="AF399" s="51"/>
      <c r="AG399" s="51"/>
      <c r="AH399" s="51"/>
      <c r="AI399" s="51"/>
      <c r="AJ399" s="51"/>
      <c r="AK399" s="51"/>
      <c r="AL399" s="51"/>
      <c r="AM399" s="51"/>
      <c r="AN399" s="51"/>
      <c r="AO399" s="51"/>
      <c r="AP399" s="51"/>
      <c r="AQ399" s="51"/>
      <c r="AR399" s="51"/>
      <c r="AS399" s="51"/>
      <c r="AT399" s="51"/>
      <c r="AU399" s="51"/>
      <c r="AV399" s="51"/>
      <c r="AW399" s="51"/>
      <c r="AX399" s="51"/>
      <c r="AY399" s="51"/>
      <c r="AZ399" s="51"/>
      <c r="BA399" s="51"/>
      <c r="BB399" s="51"/>
      <c r="BC399" s="51"/>
      <c r="BD399" s="51"/>
      <c r="BE399" s="51"/>
    </row>
    <row r="400">
      <c r="A400" s="413">
        <v>1.0</v>
      </c>
      <c r="B400" s="409" t="s">
        <v>2697</v>
      </c>
      <c r="C400" s="79">
        <v>396.0</v>
      </c>
      <c r="D400" s="79">
        <v>8.0</v>
      </c>
      <c r="E400" s="79" t="s">
        <v>2699</v>
      </c>
      <c r="F400" s="293" t="str">
        <f>HYPERLINK("https://jogja.suara.com/read/2019/11/13/205748/polda-diy-jelaskan-polemik-ritual-piodalan-peringati-wafatnya-ki-mangir ","sumber")</f>
        <v>sumber</v>
      </c>
      <c r="G400" s="79" t="s">
        <v>33</v>
      </c>
      <c r="H400" s="410">
        <v>220.0</v>
      </c>
      <c r="I400" s="79">
        <v>1.0</v>
      </c>
      <c r="J400" s="79">
        <v>4.0</v>
      </c>
      <c r="K400" s="191" t="s">
        <v>2700</v>
      </c>
      <c r="L400" s="79">
        <v>0.0</v>
      </c>
      <c r="M400" s="188">
        <v>0.0</v>
      </c>
      <c r="N400" s="364">
        <v>0.0</v>
      </c>
      <c r="O400" s="364">
        <v>0.0</v>
      </c>
      <c r="P400" s="79">
        <v>0.0</v>
      </c>
      <c r="Q400" s="79">
        <v>0.0</v>
      </c>
      <c r="R400" s="79">
        <v>1.0</v>
      </c>
      <c r="S400" s="368"/>
      <c r="T400" s="79">
        <v>0.0</v>
      </c>
      <c r="U400" s="79">
        <v>0.0</v>
      </c>
      <c r="V400" s="79">
        <v>1.0</v>
      </c>
      <c r="W400" s="63"/>
      <c r="X400" s="63"/>
      <c r="Y400" s="63"/>
      <c r="Z400" s="295"/>
      <c r="AA400" s="295"/>
      <c r="AB400" s="295"/>
      <c r="AC400" s="295"/>
      <c r="AD400" s="295"/>
      <c r="AE400" s="295"/>
      <c r="AF400" s="295"/>
      <c r="AG400" s="295"/>
      <c r="AH400" s="295"/>
      <c r="AI400" s="295"/>
      <c r="AJ400" s="295"/>
      <c r="AK400" s="295"/>
      <c r="AL400" s="295"/>
      <c r="AM400" s="295"/>
      <c r="AN400" s="295"/>
      <c r="AO400" s="295"/>
      <c r="AP400" s="295"/>
      <c r="AQ400" s="295"/>
      <c r="AR400" s="295"/>
      <c r="AS400" s="295"/>
      <c r="AT400" s="295"/>
      <c r="AU400" s="295"/>
      <c r="AV400" s="295"/>
      <c r="AW400" s="295"/>
      <c r="AX400" s="295"/>
      <c r="AY400" s="295"/>
      <c r="AZ400" s="295"/>
      <c r="BA400" s="295"/>
      <c r="BB400" s="295"/>
      <c r="BC400" s="295"/>
      <c r="BD400" s="295"/>
      <c r="BE400" s="295"/>
    </row>
    <row r="401">
      <c r="A401" s="347">
        <v>1.0</v>
      </c>
      <c r="B401" s="414" t="s">
        <v>5465</v>
      </c>
      <c r="C401" s="55">
        <v>397.0</v>
      </c>
      <c r="D401" s="55">
        <v>8.0</v>
      </c>
      <c r="E401" s="55" t="s">
        <v>5466</v>
      </c>
      <c r="F401" s="171" t="str">
        <f>HYPERLINK("https://jogja.suara.com/read/2019/11/14/163152/disbud-diy-sebut-komunitas-padma-buana-di-mangir-lor-belum-masuk-dalam-mlki","sumber")</f>
        <v>sumber</v>
      </c>
      <c r="G401" s="55" t="s">
        <v>33</v>
      </c>
      <c r="H401" s="415">
        <v>495.0</v>
      </c>
      <c r="I401" s="55">
        <v>1.0</v>
      </c>
      <c r="J401" s="55">
        <v>4.0</v>
      </c>
      <c r="K401" s="172" t="s">
        <v>5467</v>
      </c>
      <c r="L401" s="55">
        <v>0.0</v>
      </c>
      <c r="M401" s="55">
        <v>0.0</v>
      </c>
      <c r="N401" s="173">
        <v>0.0</v>
      </c>
      <c r="O401" s="173">
        <v>0.0</v>
      </c>
      <c r="P401" s="55">
        <v>0.0</v>
      </c>
      <c r="Q401" s="55">
        <v>0.0</v>
      </c>
      <c r="R401" s="55">
        <v>-1.0</v>
      </c>
      <c r="S401" s="174"/>
      <c r="T401" s="55">
        <v>0.0</v>
      </c>
      <c r="U401" s="55">
        <v>0.0</v>
      </c>
      <c r="V401" s="55">
        <v>1.0</v>
      </c>
      <c r="W401" s="46"/>
      <c r="X401" s="46"/>
      <c r="Y401" s="46"/>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c r="BA401" s="31"/>
      <c r="BB401" s="31"/>
      <c r="BC401" s="31"/>
      <c r="BD401" s="31"/>
      <c r="BE401" s="31"/>
    </row>
    <row r="402">
      <c r="A402" s="413">
        <v>1.0</v>
      </c>
      <c r="B402" s="409" t="s">
        <v>5468</v>
      </c>
      <c r="C402" s="79">
        <v>398.0</v>
      </c>
      <c r="D402" s="79">
        <v>1.0</v>
      </c>
      <c r="E402" s="79" t="s">
        <v>936</v>
      </c>
      <c r="F402" s="293" t="str">
        <f>HYPERLINK("https://news.detik.com/kolom/d-4790044/intoleransi-mayoritanisme-dan-keberagamaan-intersubjektif ","sumber")</f>
        <v>sumber</v>
      </c>
      <c r="G402" s="79" t="s">
        <v>33</v>
      </c>
      <c r="H402" s="410">
        <v>983.0</v>
      </c>
      <c r="I402" s="79">
        <v>3.0</v>
      </c>
      <c r="J402" s="79">
        <v>4.0</v>
      </c>
      <c r="K402" s="191" t="s">
        <v>5469</v>
      </c>
      <c r="L402" s="79">
        <v>0.0</v>
      </c>
      <c r="M402" s="79">
        <v>0.0</v>
      </c>
      <c r="N402" s="364">
        <v>0.0</v>
      </c>
      <c r="O402" s="364">
        <v>0.0</v>
      </c>
      <c r="P402" s="79">
        <v>0.0</v>
      </c>
      <c r="Q402" s="79">
        <v>0.0</v>
      </c>
      <c r="R402" s="79">
        <v>1.0</v>
      </c>
      <c r="S402" s="368"/>
      <c r="T402" s="79">
        <v>0.0</v>
      </c>
      <c r="U402" s="79">
        <v>0.0</v>
      </c>
      <c r="V402" s="79">
        <v>1.0</v>
      </c>
      <c r="W402" s="63"/>
      <c r="X402" s="63"/>
      <c r="Y402" s="63"/>
      <c r="Z402" s="295"/>
      <c r="AA402" s="295"/>
      <c r="AB402" s="295"/>
      <c r="AC402" s="295"/>
      <c r="AD402" s="295"/>
      <c r="AE402" s="295"/>
      <c r="AF402" s="295"/>
      <c r="AG402" s="295"/>
      <c r="AH402" s="295"/>
      <c r="AI402" s="295"/>
      <c r="AJ402" s="295"/>
      <c r="AK402" s="295"/>
      <c r="AL402" s="295"/>
      <c r="AM402" s="295"/>
      <c r="AN402" s="295"/>
      <c r="AO402" s="295"/>
      <c r="AP402" s="295"/>
      <c r="AQ402" s="295"/>
      <c r="AR402" s="295"/>
      <c r="AS402" s="295"/>
      <c r="AT402" s="295"/>
      <c r="AU402" s="295"/>
      <c r="AV402" s="295"/>
      <c r="AW402" s="295"/>
      <c r="AX402" s="295"/>
      <c r="AY402" s="295"/>
      <c r="AZ402" s="295"/>
      <c r="BA402" s="295"/>
      <c r="BB402" s="295"/>
      <c r="BC402" s="295"/>
      <c r="BD402" s="295"/>
      <c r="BE402" s="295"/>
    </row>
    <row r="403">
      <c r="A403" s="222">
        <v>2.0</v>
      </c>
      <c r="B403" s="411" t="s">
        <v>5470</v>
      </c>
      <c r="C403" s="47">
        <v>399.0</v>
      </c>
      <c r="D403" s="47">
        <v>3.0</v>
      </c>
      <c r="E403" s="47" t="s">
        <v>936</v>
      </c>
      <c r="F403" s="156" t="str">
        <f>HYPERLINK("https://lifestyle.okezone.com/read/2019/11/19/557/2131813/gita-gutawa-sebar-virus-kejarmimpi-cimb-niaga-ke-mahasiswa-aceh ","sumber")</f>
        <v>sumber</v>
      </c>
      <c r="G403" s="47" t="s">
        <v>33</v>
      </c>
      <c r="H403" s="412">
        <v>407.0</v>
      </c>
      <c r="I403" s="48"/>
      <c r="J403" s="48"/>
      <c r="K403" s="165"/>
      <c r="L403" s="48"/>
      <c r="M403" s="48"/>
      <c r="N403" s="48"/>
      <c r="O403" s="48"/>
      <c r="P403" s="48"/>
      <c r="Q403" s="48"/>
      <c r="R403" s="48"/>
      <c r="S403" s="165"/>
      <c r="T403" s="48"/>
      <c r="U403" s="48"/>
      <c r="V403" s="48"/>
      <c r="W403" s="48"/>
      <c r="X403" s="48"/>
      <c r="Y403" s="48"/>
      <c r="Z403" s="338"/>
      <c r="AA403" s="51"/>
      <c r="AB403" s="51"/>
      <c r="AC403" s="51"/>
      <c r="AD403" s="51"/>
      <c r="AE403" s="51"/>
      <c r="AF403" s="51"/>
      <c r="AG403" s="51"/>
      <c r="AH403" s="51"/>
      <c r="AI403" s="51"/>
      <c r="AJ403" s="51"/>
      <c r="AK403" s="51"/>
      <c r="AL403" s="51"/>
      <c r="AM403" s="51"/>
      <c r="AN403" s="51"/>
      <c r="AO403" s="51"/>
      <c r="AP403" s="51"/>
      <c r="AQ403" s="51"/>
      <c r="AR403" s="51"/>
      <c r="AS403" s="51"/>
      <c r="AT403" s="51"/>
      <c r="AU403" s="51"/>
      <c r="AV403" s="51"/>
      <c r="AW403" s="51"/>
      <c r="AX403" s="51"/>
      <c r="AY403" s="51"/>
      <c r="AZ403" s="51"/>
      <c r="BA403" s="51"/>
      <c r="BB403" s="51"/>
      <c r="BC403" s="51"/>
      <c r="BD403" s="51"/>
      <c r="BE403" s="51"/>
    </row>
    <row r="404">
      <c r="A404" s="222">
        <v>2.0</v>
      </c>
      <c r="B404" s="411" t="s">
        <v>5471</v>
      </c>
      <c r="C404" s="47">
        <v>400.0</v>
      </c>
      <c r="D404" s="47">
        <v>9.0</v>
      </c>
      <c r="E404" s="47" t="s">
        <v>936</v>
      </c>
      <c r="F404" s="156" t="str">
        <f>HYPERLINK("https://internasional.republika.co.id/berita/q17690415/hadapi-pendemo-garda-revolusi-siapkan-tindakan-tegas ","sumber")</f>
        <v>sumber</v>
      </c>
      <c r="G404" s="47" t="s">
        <v>33</v>
      </c>
      <c r="H404" s="412">
        <v>301.0</v>
      </c>
      <c r="I404" s="48"/>
      <c r="J404" s="48"/>
      <c r="K404" s="165"/>
      <c r="L404" s="48"/>
      <c r="M404" s="48"/>
      <c r="N404" s="48"/>
      <c r="O404" s="48"/>
      <c r="P404" s="48"/>
      <c r="Q404" s="48"/>
      <c r="R404" s="48"/>
      <c r="S404" s="165"/>
      <c r="T404" s="48"/>
      <c r="U404" s="48"/>
      <c r="V404" s="48"/>
      <c r="W404" s="48"/>
      <c r="X404" s="48"/>
      <c r="Y404" s="48"/>
      <c r="Z404" s="338"/>
      <c r="AA404" s="51"/>
      <c r="AB404" s="51"/>
      <c r="AC404" s="51"/>
      <c r="AD404" s="51"/>
      <c r="AE404" s="51"/>
      <c r="AF404" s="51"/>
      <c r="AG404" s="51"/>
      <c r="AH404" s="51"/>
      <c r="AI404" s="51"/>
      <c r="AJ404" s="51"/>
      <c r="AK404" s="51"/>
      <c r="AL404" s="51"/>
      <c r="AM404" s="51"/>
      <c r="AN404" s="51"/>
      <c r="AO404" s="51"/>
      <c r="AP404" s="51"/>
      <c r="AQ404" s="51"/>
      <c r="AR404" s="51"/>
      <c r="AS404" s="51"/>
      <c r="AT404" s="51"/>
      <c r="AU404" s="51"/>
      <c r="AV404" s="51"/>
      <c r="AW404" s="51"/>
      <c r="AX404" s="51"/>
      <c r="AY404" s="51"/>
      <c r="AZ404" s="51"/>
      <c r="BA404" s="51"/>
      <c r="BB404" s="51"/>
      <c r="BC404" s="51"/>
      <c r="BD404" s="51"/>
      <c r="BE404" s="51"/>
    </row>
    <row r="405">
      <c r="A405" s="222">
        <v>2.0</v>
      </c>
      <c r="B405" s="411" t="s">
        <v>5472</v>
      </c>
      <c r="C405" s="47">
        <v>401.0</v>
      </c>
      <c r="D405" s="47">
        <v>10.0</v>
      </c>
      <c r="E405" s="47" t="s">
        <v>882</v>
      </c>
      <c r="F405" s="156" t="str">
        <f>HYPERLINK("https://tekno.tempo.co/read/1274259/penilaian-kinerja-perguruan-tinggi-menristek-47-klaster-mandiri ","sumber")</f>
        <v>sumber</v>
      </c>
      <c r="G405" s="47" t="s">
        <v>33</v>
      </c>
      <c r="H405" s="412">
        <v>442.0</v>
      </c>
      <c r="I405" s="48"/>
      <c r="J405" s="48"/>
      <c r="K405" s="165"/>
      <c r="L405" s="48"/>
      <c r="M405" s="48"/>
      <c r="N405" s="48"/>
      <c r="O405" s="48"/>
      <c r="P405" s="48"/>
      <c r="Q405" s="48"/>
      <c r="R405" s="48"/>
      <c r="S405" s="165"/>
      <c r="T405" s="48"/>
      <c r="U405" s="48"/>
      <c r="V405" s="48"/>
      <c r="W405" s="48"/>
      <c r="X405" s="48"/>
      <c r="Y405" s="48"/>
      <c r="Z405" s="338"/>
      <c r="AA405" s="51"/>
      <c r="AB405" s="51"/>
      <c r="AC405" s="51"/>
      <c r="AD405" s="51"/>
      <c r="AE405" s="51"/>
      <c r="AF405" s="51"/>
      <c r="AG405" s="51"/>
      <c r="AH405" s="51"/>
      <c r="AI405" s="51"/>
      <c r="AJ405" s="51"/>
      <c r="AK405" s="51"/>
      <c r="AL405" s="51"/>
      <c r="AM405" s="51"/>
      <c r="AN405" s="51"/>
      <c r="AO405" s="51"/>
      <c r="AP405" s="51"/>
      <c r="AQ405" s="51"/>
      <c r="AR405" s="51"/>
      <c r="AS405" s="51"/>
      <c r="AT405" s="51"/>
      <c r="AU405" s="51"/>
      <c r="AV405" s="51"/>
      <c r="AW405" s="51"/>
      <c r="AX405" s="51"/>
      <c r="AY405" s="51"/>
      <c r="AZ405" s="51"/>
      <c r="BA405" s="51"/>
      <c r="BB405" s="51"/>
      <c r="BC405" s="51"/>
      <c r="BD405" s="51"/>
      <c r="BE405" s="51"/>
    </row>
    <row r="406">
      <c r="A406" s="413">
        <v>1.0</v>
      </c>
      <c r="B406" s="409" t="s">
        <v>5473</v>
      </c>
      <c r="C406" s="79">
        <v>402.0</v>
      </c>
      <c r="D406" s="79">
        <v>9.0</v>
      </c>
      <c r="E406" s="79" t="s">
        <v>944</v>
      </c>
      <c r="F406" s="293" t="str">
        <f>HYPERLINK("https://republika.co.id/berita/q1b7ow282/ketika-konstitusi-lebanon-kesempitan ","sumber")</f>
        <v>sumber</v>
      </c>
      <c r="G406" s="79" t="s">
        <v>33</v>
      </c>
      <c r="H406" s="410">
        <v>576.0</v>
      </c>
      <c r="I406" s="79">
        <v>1.0</v>
      </c>
      <c r="J406" s="79">
        <v>4.0</v>
      </c>
      <c r="K406" s="191" t="s">
        <v>5474</v>
      </c>
      <c r="L406" s="79">
        <v>0.0</v>
      </c>
      <c r="M406" s="79">
        <v>0.0</v>
      </c>
      <c r="N406" s="364">
        <v>0.0</v>
      </c>
      <c r="O406" s="364">
        <v>0.0</v>
      </c>
      <c r="P406" s="79">
        <v>0.0</v>
      </c>
      <c r="Q406" s="79">
        <v>0.0</v>
      </c>
      <c r="R406" s="79">
        <v>1.0</v>
      </c>
      <c r="S406" s="368"/>
      <c r="T406" s="79">
        <v>0.0</v>
      </c>
      <c r="U406" s="79">
        <v>0.0</v>
      </c>
      <c r="V406" s="79">
        <v>1.0</v>
      </c>
      <c r="W406" s="63"/>
      <c r="X406" s="63"/>
      <c r="Y406" s="63"/>
      <c r="Z406" s="295"/>
      <c r="AA406" s="295"/>
      <c r="AB406" s="295"/>
      <c r="AC406" s="295"/>
      <c r="AD406" s="295"/>
      <c r="AE406" s="295"/>
      <c r="AF406" s="295"/>
      <c r="AG406" s="295"/>
      <c r="AH406" s="295"/>
      <c r="AI406" s="295"/>
      <c r="AJ406" s="295"/>
      <c r="AK406" s="295"/>
      <c r="AL406" s="295"/>
      <c r="AM406" s="295"/>
      <c r="AN406" s="295"/>
      <c r="AO406" s="295"/>
      <c r="AP406" s="295"/>
      <c r="AQ406" s="295"/>
      <c r="AR406" s="295"/>
      <c r="AS406" s="295"/>
      <c r="AT406" s="295"/>
      <c r="AU406" s="295"/>
      <c r="AV406" s="295"/>
      <c r="AW406" s="295"/>
      <c r="AX406" s="295"/>
      <c r="AY406" s="295"/>
      <c r="AZ406" s="295"/>
      <c r="BA406" s="295"/>
      <c r="BB406" s="295"/>
      <c r="BC406" s="295"/>
      <c r="BD406" s="295"/>
      <c r="BE406" s="295"/>
    </row>
    <row r="407">
      <c r="A407" s="416">
        <v>1.0</v>
      </c>
      <c r="B407" s="417" t="s">
        <v>5475</v>
      </c>
      <c r="C407" s="79">
        <v>403.0</v>
      </c>
      <c r="D407" s="418">
        <v>1.0</v>
      </c>
      <c r="E407" s="418" t="s">
        <v>950</v>
      </c>
      <c r="F407" s="419" t="str">
        <f>HYPERLINK("https://news.detik.com/abc-australia/d-4795364/kritik-dari-profesor-di-australia-masyarakat-indonesia-susah-terima-perbedaan ","sumber")</f>
        <v>sumber</v>
      </c>
      <c r="G407" s="418" t="s">
        <v>33</v>
      </c>
      <c r="H407" s="420">
        <v>765.0</v>
      </c>
      <c r="I407" s="418">
        <v>3.0</v>
      </c>
      <c r="J407" s="418">
        <v>4.0</v>
      </c>
      <c r="K407" s="421" t="s">
        <v>5476</v>
      </c>
      <c r="L407" s="418">
        <v>0.0</v>
      </c>
      <c r="M407" s="418">
        <v>0.0</v>
      </c>
      <c r="N407" s="422">
        <v>0.0</v>
      </c>
      <c r="O407" s="422">
        <v>0.0</v>
      </c>
      <c r="P407" s="418">
        <v>0.0</v>
      </c>
      <c r="Q407" s="418" t="s">
        <v>61</v>
      </c>
      <c r="R407" s="418" t="s">
        <v>192</v>
      </c>
      <c r="S407" s="423"/>
      <c r="T407" s="418">
        <v>0.0</v>
      </c>
      <c r="U407" s="418">
        <v>0.0</v>
      </c>
      <c r="V407" s="418">
        <v>1.0</v>
      </c>
      <c r="W407" s="424"/>
      <c r="X407" s="424"/>
      <c r="Y407" s="424"/>
      <c r="Z407" s="425"/>
      <c r="AA407" s="425"/>
      <c r="AB407" s="425"/>
      <c r="AC407" s="425"/>
      <c r="AD407" s="425"/>
      <c r="AE407" s="425"/>
      <c r="AF407" s="425"/>
      <c r="AG407" s="425"/>
      <c r="AH407" s="425"/>
      <c r="AI407" s="425"/>
      <c r="AJ407" s="425"/>
      <c r="AK407" s="425"/>
      <c r="AL407" s="425"/>
      <c r="AM407" s="425"/>
      <c r="AN407" s="425"/>
      <c r="AO407" s="425"/>
      <c r="AP407" s="425"/>
      <c r="AQ407" s="425"/>
      <c r="AR407" s="425"/>
      <c r="AS407" s="425"/>
      <c r="AT407" s="425"/>
      <c r="AU407" s="425"/>
      <c r="AV407" s="425"/>
      <c r="AW407" s="425"/>
      <c r="AX407" s="425"/>
      <c r="AY407" s="425"/>
      <c r="AZ407" s="425"/>
      <c r="BA407" s="425"/>
      <c r="BB407" s="425"/>
      <c r="BC407" s="425"/>
      <c r="BD407" s="425"/>
      <c r="BE407" s="425"/>
    </row>
    <row r="408">
      <c r="A408" s="222">
        <v>2.0</v>
      </c>
      <c r="B408" s="411" t="s">
        <v>5477</v>
      </c>
      <c r="C408" s="47">
        <v>404.0</v>
      </c>
      <c r="D408" s="48"/>
      <c r="E408" s="47" t="s">
        <v>960</v>
      </c>
      <c r="F408" s="156" t="str">
        <f>HYPERLINK("https://nasional.republika.co.id/berita/q1j3fq414/eks-mahasiswa-jadi-tersangka-pencurian-di-dua-kampus-aceh ","sumber")</f>
        <v>sumber</v>
      </c>
      <c r="G408" s="47" t="s">
        <v>33</v>
      </c>
      <c r="H408" s="412">
        <v>225.0</v>
      </c>
      <c r="I408" s="48"/>
      <c r="J408" s="48"/>
      <c r="K408" s="165"/>
      <c r="L408" s="48"/>
      <c r="M408" s="48"/>
      <c r="N408" s="48"/>
      <c r="O408" s="48"/>
      <c r="P408" s="48"/>
      <c r="Q408" s="48"/>
      <c r="R408" s="48"/>
      <c r="S408" s="165"/>
      <c r="T408" s="48"/>
      <c r="U408" s="48"/>
      <c r="V408" s="48"/>
      <c r="W408" s="48"/>
      <c r="X408" s="48"/>
      <c r="Y408" s="48"/>
      <c r="Z408" s="338"/>
      <c r="AA408" s="51"/>
      <c r="AB408" s="51"/>
      <c r="AC408" s="51"/>
      <c r="AD408" s="51"/>
      <c r="AE408" s="51"/>
      <c r="AF408" s="51"/>
      <c r="AG408" s="51"/>
      <c r="AH408" s="51"/>
      <c r="AI408" s="51"/>
      <c r="AJ408" s="51"/>
      <c r="AK408" s="51"/>
      <c r="AL408" s="51"/>
      <c r="AM408" s="51"/>
      <c r="AN408" s="51"/>
      <c r="AO408" s="51"/>
      <c r="AP408" s="51"/>
      <c r="AQ408" s="51"/>
      <c r="AR408" s="51"/>
      <c r="AS408" s="51"/>
      <c r="AT408" s="51"/>
      <c r="AU408" s="51"/>
      <c r="AV408" s="51"/>
      <c r="AW408" s="51"/>
      <c r="AX408" s="51"/>
      <c r="AY408" s="51"/>
      <c r="AZ408" s="51"/>
      <c r="BA408" s="51"/>
      <c r="BB408" s="51"/>
      <c r="BC408" s="51"/>
      <c r="BD408" s="51"/>
      <c r="BE408" s="51"/>
    </row>
    <row r="409">
      <c r="A409" s="426">
        <v>1.0</v>
      </c>
      <c r="B409" s="414" t="s">
        <v>3852</v>
      </c>
      <c r="C409" s="55">
        <v>405.0</v>
      </c>
      <c r="D409" s="55">
        <v>1.0</v>
      </c>
      <c r="E409" s="55" t="s">
        <v>893</v>
      </c>
      <c r="F409" s="171" t="str">
        <f>HYPERLINK("https://www.tribunnews.com/internasional/2019/12/25/peringkat-kebebasan-beragama-terendah-pakistan-malah-kecam-as","sumber")</f>
        <v>sumber</v>
      </c>
      <c r="G409" s="55" t="s">
        <v>33</v>
      </c>
      <c r="H409" s="415">
        <v>175.0</v>
      </c>
      <c r="I409" s="55">
        <v>3.0</v>
      </c>
      <c r="J409" s="55">
        <v>4.0</v>
      </c>
      <c r="K409" s="172" t="s">
        <v>5478</v>
      </c>
      <c r="L409" s="55">
        <v>0.0</v>
      </c>
      <c r="M409" s="55">
        <v>0.0</v>
      </c>
      <c r="N409" s="173">
        <v>0.0</v>
      </c>
      <c r="O409" s="173">
        <v>0.0</v>
      </c>
      <c r="P409" s="55">
        <v>0.0</v>
      </c>
      <c r="Q409" s="55">
        <v>0.0</v>
      </c>
      <c r="R409" s="55">
        <v>0.0</v>
      </c>
      <c r="S409" s="174"/>
      <c r="T409" s="55">
        <v>0.0</v>
      </c>
      <c r="U409" s="55">
        <v>0.0</v>
      </c>
      <c r="V409" s="55">
        <v>1.0</v>
      </c>
      <c r="W409" s="46"/>
      <c r="X409" s="46"/>
      <c r="Y409" s="46"/>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c r="BA409" s="31"/>
      <c r="BB409" s="31"/>
      <c r="BC409" s="31"/>
      <c r="BD409" s="31"/>
      <c r="BE409" s="31"/>
    </row>
    <row r="410">
      <c r="A410" s="222">
        <v>2.0</v>
      </c>
      <c r="B410" s="411" t="s">
        <v>5479</v>
      </c>
      <c r="C410" s="47">
        <v>406.0</v>
      </c>
      <c r="D410" s="48"/>
      <c r="E410" s="47" t="s">
        <v>1076</v>
      </c>
      <c r="F410" s="156" t="str">
        <f>HYPERLINK("https://www.suara.com/news/2019/12/25/182118/besok-bmkg-pantau-gerhana-matahari-cincin-di-gedung-tsunami-aceh ","sumber")</f>
        <v>sumber</v>
      </c>
      <c r="G410" s="47" t="s">
        <v>33</v>
      </c>
      <c r="H410" s="412">
        <v>396.0</v>
      </c>
      <c r="I410" s="48"/>
      <c r="J410" s="48"/>
      <c r="K410" s="165"/>
      <c r="L410" s="48"/>
      <c r="M410" s="48"/>
      <c r="N410" s="48"/>
      <c r="O410" s="48"/>
      <c r="P410" s="48"/>
      <c r="Q410" s="48"/>
      <c r="R410" s="48"/>
      <c r="S410" s="165"/>
      <c r="T410" s="48"/>
      <c r="U410" s="48"/>
      <c r="V410" s="48"/>
      <c r="W410" s="48"/>
      <c r="X410" s="48"/>
      <c r="Y410" s="48"/>
      <c r="Z410" s="338"/>
      <c r="AA410" s="51"/>
      <c r="AB410" s="51"/>
      <c r="AC410" s="51"/>
      <c r="AD410" s="51"/>
      <c r="AE410" s="51"/>
      <c r="AF410" s="51"/>
      <c r="AG410" s="51"/>
      <c r="AH410" s="51"/>
      <c r="AI410" s="51"/>
      <c r="AJ410" s="51"/>
      <c r="AK410" s="51"/>
      <c r="AL410" s="51"/>
      <c r="AM410" s="51"/>
      <c r="AN410" s="51"/>
      <c r="AO410" s="51"/>
      <c r="AP410" s="51"/>
      <c r="AQ410" s="51"/>
      <c r="AR410" s="51"/>
      <c r="AS410" s="51"/>
      <c r="AT410" s="51"/>
      <c r="AU410" s="51"/>
      <c r="AV410" s="51"/>
      <c r="AW410" s="51"/>
      <c r="AX410" s="51"/>
      <c r="AY410" s="51"/>
      <c r="AZ410" s="51"/>
      <c r="BA410" s="51"/>
      <c r="BB410" s="51"/>
      <c r="BC410" s="51"/>
      <c r="BD410" s="51"/>
      <c r="BE410" s="51"/>
    </row>
    <row r="411">
      <c r="A411" s="416">
        <v>1.0</v>
      </c>
      <c r="B411" s="417" t="s">
        <v>5480</v>
      </c>
      <c r="C411" s="79">
        <v>407.0</v>
      </c>
      <c r="D411" s="418">
        <v>8.0</v>
      </c>
      <c r="E411" s="418" t="s">
        <v>5481</v>
      </c>
      <c r="F411" s="419" t="str">
        <f>HYPERLINK("https://www.suara.com/news/2019/12/26/200624/maruf-jika-rumah-ibadah-telah-penuhi-syarat-tak-boleh-ada-penolakan ","sumber")</f>
        <v>sumber</v>
      </c>
      <c r="G411" s="418" t="s">
        <v>33</v>
      </c>
      <c r="H411" s="420">
        <v>317.0</v>
      </c>
      <c r="I411" s="418">
        <v>4.0</v>
      </c>
      <c r="J411" s="418">
        <v>4.0</v>
      </c>
      <c r="K411" s="421" t="s">
        <v>5482</v>
      </c>
      <c r="L411" s="188">
        <v>0.0</v>
      </c>
      <c r="M411" s="418">
        <v>0.0</v>
      </c>
      <c r="N411" s="422">
        <v>0.0</v>
      </c>
      <c r="O411" s="422">
        <v>0.0</v>
      </c>
      <c r="P411" s="418">
        <v>0.0</v>
      </c>
      <c r="Q411" s="418">
        <v>0.0</v>
      </c>
      <c r="R411" s="418">
        <v>1.0</v>
      </c>
      <c r="S411" s="423"/>
      <c r="T411" s="418">
        <v>0.0</v>
      </c>
      <c r="U411" s="418">
        <v>0.0</v>
      </c>
      <c r="V411" s="418">
        <v>1.0</v>
      </c>
      <c r="W411" s="424"/>
      <c r="X411" s="424"/>
      <c r="Y411" s="424"/>
      <c r="Z411" s="425"/>
      <c r="AA411" s="425"/>
      <c r="AB411" s="425"/>
      <c r="AC411" s="425"/>
      <c r="AD411" s="425"/>
      <c r="AE411" s="425"/>
      <c r="AF411" s="425"/>
      <c r="AG411" s="425"/>
      <c r="AH411" s="425"/>
      <c r="AI411" s="425"/>
      <c r="AJ411" s="425"/>
      <c r="AK411" s="425"/>
      <c r="AL411" s="425"/>
      <c r="AM411" s="425"/>
      <c r="AN411" s="425"/>
      <c r="AO411" s="425"/>
      <c r="AP411" s="425"/>
      <c r="AQ411" s="425"/>
      <c r="AR411" s="425"/>
      <c r="AS411" s="425"/>
      <c r="AT411" s="425"/>
      <c r="AU411" s="425"/>
      <c r="AV411" s="425"/>
      <c r="AW411" s="425"/>
      <c r="AX411" s="425"/>
      <c r="AY411" s="425"/>
      <c r="AZ411" s="425"/>
      <c r="BA411" s="425"/>
      <c r="BB411" s="425"/>
      <c r="BC411" s="425"/>
      <c r="BD411" s="425"/>
      <c r="BE411" s="425"/>
    </row>
    <row r="412">
      <c r="A412" s="413">
        <v>1.0</v>
      </c>
      <c r="B412" s="409" t="s">
        <v>5483</v>
      </c>
      <c r="C412" s="79">
        <v>408.0</v>
      </c>
      <c r="D412" s="79">
        <v>4.0</v>
      </c>
      <c r="E412" s="79" t="s">
        <v>973</v>
      </c>
      <c r="F412" s="293" t="str">
        <f>HYPERLINK("https://www.liputan6.com/news/read/4144042/haul-gus-dur-hasilkan-10-rekomendasi-berikut-isinya ","sumber")</f>
        <v>sumber</v>
      </c>
      <c r="G412" s="79" t="s">
        <v>33</v>
      </c>
      <c r="H412" s="410">
        <v>450.0</v>
      </c>
      <c r="I412" s="79">
        <v>3.0</v>
      </c>
      <c r="J412" s="79">
        <v>4.0</v>
      </c>
      <c r="K412" s="191" t="s">
        <v>5484</v>
      </c>
      <c r="L412" s="79">
        <v>0.0</v>
      </c>
      <c r="M412" s="79">
        <v>0.0</v>
      </c>
      <c r="N412" s="364">
        <v>0.0</v>
      </c>
      <c r="O412" s="364">
        <v>0.0</v>
      </c>
      <c r="P412" s="79">
        <v>0.0</v>
      </c>
      <c r="Q412" s="79">
        <v>0.0</v>
      </c>
      <c r="R412" s="79">
        <v>0.0</v>
      </c>
      <c r="S412" s="368"/>
      <c r="T412" s="79">
        <v>0.0</v>
      </c>
      <c r="U412" s="79">
        <v>0.0</v>
      </c>
      <c r="V412" s="79">
        <v>1.0</v>
      </c>
      <c r="W412" s="63"/>
      <c r="X412" s="63"/>
      <c r="Y412" s="63"/>
      <c r="Z412" s="295"/>
      <c r="AA412" s="295"/>
      <c r="AB412" s="295"/>
      <c r="AC412" s="295"/>
      <c r="AD412" s="295"/>
      <c r="AE412" s="295"/>
      <c r="AF412" s="295"/>
      <c r="AG412" s="295"/>
      <c r="AH412" s="295"/>
      <c r="AI412" s="295"/>
      <c r="AJ412" s="295"/>
      <c r="AK412" s="295"/>
      <c r="AL412" s="295"/>
      <c r="AM412" s="295"/>
      <c r="AN412" s="295"/>
      <c r="AO412" s="295"/>
      <c r="AP412" s="295"/>
      <c r="AQ412" s="295"/>
      <c r="AR412" s="295"/>
      <c r="AS412" s="295"/>
      <c r="AT412" s="295"/>
      <c r="AU412" s="295"/>
      <c r="AV412" s="295"/>
      <c r="AW412" s="295"/>
      <c r="AX412" s="295"/>
      <c r="AY412" s="295"/>
      <c r="AZ412" s="295"/>
      <c r="BA412" s="295"/>
      <c r="BB412" s="295"/>
      <c r="BC412" s="295"/>
      <c r="BD412" s="295"/>
      <c r="BE412" s="295"/>
    </row>
    <row r="413">
      <c r="A413" s="416">
        <v>1.0</v>
      </c>
      <c r="B413" s="417" t="s">
        <v>1815</v>
      </c>
      <c r="C413" s="79">
        <v>409.0</v>
      </c>
      <c r="D413" s="418">
        <v>10.0</v>
      </c>
      <c r="E413" s="418" t="s">
        <v>1019</v>
      </c>
      <c r="F413" s="419" t="str">
        <f>HYPERLINK("https://dunia.tempo.co/read/1289152/amerika-serang-milisi-iran-di-irak-suriah-pakai-rudal-presisi ","sumber")</f>
        <v>sumber</v>
      </c>
      <c r="G413" s="418" t="s">
        <v>33</v>
      </c>
      <c r="H413" s="420">
        <v>278.0</v>
      </c>
      <c r="I413" s="418">
        <v>1.0</v>
      </c>
      <c r="J413" s="418">
        <v>4.0</v>
      </c>
      <c r="K413" s="417" t="s">
        <v>5485</v>
      </c>
      <c r="L413" s="79">
        <v>0.0</v>
      </c>
      <c r="M413" s="418">
        <v>0.0</v>
      </c>
      <c r="N413" s="422">
        <v>0.0</v>
      </c>
      <c r="O413" s="422">
        <v>0.0</v>
      </c>
      <c r="P413" s="418">
        <v>0.0</v>
      </c>
      <c r="Q413" s="418">
        <v>0.0</v>
      </c>
      <c r="R413" s="418">
        <v>0.0</v>
      </c>
      <c r="S413" s="423"/>
      <c r="T413" s="418">
        <v>0.0</v>
      </c>
      <c r="U413" s="418">
        <v>0.0</v>
      </c>
      <c r="V413" s="418">
        <v>1.0</v>
      </c>
      <c r="W413" s="424"/>
      <c r="X413" s="424"/>
      <c r="Y413" s="424"/>
      <c r="Z413" s="425"/>
      <c r="AA413" s="425"/>
      <c r="AB413" s="425"/>
      <c r="AC413" s="425"/>
      <c r="AD413" s="425"/>
      <c r="AE413" s="425"/>
      <c r="AF413" s="425"/>
      <c r="AG413" s="425"/>
      <c r="AH413" s="425"/>
      <c r="AI413" s="425"/>
      <c r="AJ413" s="425"/>
      <c r="AK413" s="425"/>
      <c r="AL413" s="425"/>
      <c r="AM413" s="425"/>
      <c r="AN413" s="425"/>
      <c r="AO413" s="425"/>
      <c r="AP413" s="425"/>
      <c r="AQ413" s="425"/>
      <c r="AR413" s="425"/>
      <c r="AS413" s="425"/>
      <c r="AT413" s="425"/>
      <c r="AU413" s="425"/>
      <c r="AV413" s="425"/>
      <c r="AW413" s="425"/>
      <c r="AX413" s="425"/>
      <c r="AY413" s="425"/>
      <c r="AZ413" s="425"/>
      <c r="BA413" s="425"/>
      <c r="BB413" s="425"/>
      <c r="BC413" s="425"/>
      <c r="BD413" s="425"/>
      <c r="BE413" s="425"/>
    </row>
    <row r="414">
      <c r="A414" s="413">
        <v>1.0</v>
      </c>
      <c r="B414" s="409" t="s">
        <v>5486</v>
      </c>
      <c r="C414" s="79">
        <v>410.0</v>
      </c>
      <c r="D414" s="79">
        <v>8.0</v>
      </c>
      <c r="E414" s="79" t="s">
        <v>1088</v>
      </c>
      <c r="F414" s="293" t="str">
        <f>HYPERLINK("https://www.suara.com/news/2019/12/31/082122/mengembalikan-hak-konstitusi-warga-kristiani-melalui-ucapan-selamat-natal ","sumber")</f>
        <v>sumber</v>
      </c>
      <c r="G414" s="79" t="s">
        <v>33</v>
      </c>
      <c r="H414" s="410">
        <v>1515.0</v>
      </c>
      <c r="I414" s="79">
        <v>3.0</v>
      </c>
      <c r="J414" s="79">
        <v>4.0</v>
      </c>
      <c r="K414" s="191" t="s">
        <v>5487</v>
      </c>
      <c r="L414" s="79">
        <v>0.0</v>
      </c>
      <c r="M414" s="79">
        <v>0.0</v>
      </c>
      <c r="N414" s="364">
        <v>0.0</v>
      </c>
      <c r="O414" s="364">
        <v>0.0</v>
      </c>
      <c r="P414" s="79">
        <v>0.0</v>
      </c>
      <c r="Q414" s="79" t="s">
        <v>4908</v>
      </c>
      <c r="R414" s="79" t="s">
        <v>392</v>
      </c>
      <c r="S414" s="368"/>
      <c r="T414" s="79">
        <v>0.0</v>
      </c>
      <c r="U414" s="79">
        <v>0.0</v>
      </c>
      <c r="V414" s="79">
        <v>1.0</v>
      </c>
      <c r="W414" s="63"/>
      <c r="X414" s="63"/>
      <c r="Y414" s="63"/>
      <c r="Z414" s="295"/>
      <c r="AA414" s="295"/>
      <c r="AB414" s="295"/>
      <c r="AC414" s="295"/>
      <c r="AD414" s="295"/>
      <c r="AE414" s="295"/>
      <c r="AF414" s="295"/>
      <c r="AG414" s="295"/>
      <c r="AH414" s="295"/>
      <c r="AI414" s="295"/>
      <c r="AJ414" s="295"/>
      <c r="AK414" s="295"/>
      <c r="AL414" s="295"/>
      <c r="AM414" s="295"/>
      <c r="AN414" s="295"/>
      <c r="AO414" s="295"/>
      <c r="AP414" s="295"/>
      <c r="AQ414" s="295"/>
      <c r="AR414" s="295"/>
      <c r="AS414" s="295"/>
      <c r="AT414" s="295"/>
      <c r="AU414" s="295"/>
      <c r="AV414" s="295"/>
      <c r="AW414" s="295"/>
      <c r="AX414" s="295"/>
      <c r="AY414" s="295"/>
      <c r="AZ414" s="295"/>
      <c r="BA414" s="295"/>
      <c r="BB414" s="295"/>
      <c r="BC414" s="295"/>
      <c r="BD414" s="295"/>
      <c r="BE414" s="295"/>
    </row>
    <row r="415">
      <c r="A415" s="416">
        <v>1.0</v>
      </c>
      <c r="B415" s="417" t="s">
        <v>5488</v>
      </c>
      <c r="C415" s="79">
        <v>411.0</v>
      </c>
      <c r="D415" s="418">
        <v>2.0</v>
      </c>
      <c r="E415" s="427">
        <v>43534.0</v>
      </c>
      <c r="F415" s="419" t="str">
        <f>HYPERLINK("https://www.cnnindonesia.com/hiburan/20191003163937-220-436469/gong-yoo-menangis-usai-baca-naskah-kim-ji-young-born-1982 ","sumber")</f>
        <v>sumber</v>
      </c>
      <c r="G415" s="418" t="s">
        <v>33</v>
      </c>
      <c r="H415" s="420">
        <v>378.0</v>
      </c>
      <c r="I415" s="418">
        <v>2.0</v>
      </c>
      <c r="J415" s="418">
        <v>1.0</v>
      </c>
      <c r="K415" s="421"/>
      <c r="L415" s="418">
        <v>0.0</v>
      </c>
      <c r="M415" s="418">
        <v>0.0</v>
      </c>
      <c r="N415" s="422">
        <v>0.0</v>
      </c>
      <c r="O415" s="422">
        <v>0.0</v>
      </c>
      <c r="P415" s="418">
        <v>0.0</v>
      </c>
      <c r="Q415" s="418"/>
      <c r="R415" s="418"/>
      <c r="S415" s="423"/>
      <c r="T415" s="418">
        <v>0.0</v>
      </c>
      <c r="U415" s="418">
        <v>0.0</v>
      </c>
      <c r="V415" s="418">
        <v>1.0</v>
      </c>
      <c r="W415" s="424"/>
      <c r="X415" s="424"/>
      <c r="Y415" s="424"/>
      <c r="Z415" s="425"/>
      <c r="AA415" s="425"/>
      <c r="AB415" s="425"/>
      <c r="AC415" s="425"/>
      <c r="AD415" s="425"/>
      <c r="AE415" s="425"/>
      <c r="AF415" s="425"/>
      <c r="AG415" s="425"/>
      <c r="AH415" s="425"/>
      <c r="AI415" s="425"/>
      <c r="AJ415" s="425"/>
      <c r="AK415" s="425"/>
      <c r="AL415" s="425"/>
      <c r="AM415" s="425"/>
      <c r="AN415" s="425"/>
      <c r="AO415" s="425"/>
      <c r="AP415" s="425"/>
      <c r="AQ415" s="425"/>
      <c r="AR415" s="425"/>
      <c r="AS415" s="425"/>
      <c r="AT415" s="425"/>
      <c r="AU415" s="425"/>
      <c r="AV415" s="425"/>
      <c r="AW415" s="425"/>
      <c r="AX415" s="425"/>
      <c r="AY415" s="425"/>
      <c r="AZ415" s="425"/>
      <c r="BA415" s="425"/>
      <c r="BB415" s="425"/>
      <c r="BC415" s="425"/>
      <c r="BD415" s="425"/>
      <c r="BE415" s="425"/>
    </row>
    <row r="416">
      <c r="A416" s="413">
        <v>1.0</v>
      </c>
      <c r="B416" s="409" t="s">
        <v>5489</v>
      </c>
      <c r="C416" s="79">
        <v>412.0</v>
      </c>
      <c r="D416" s="79">
        <v>1.0</v>
      </c>
      <c r="E416" s="363">
        <v>43565.0</v>
      </c>
      <c r="F416" s="293" t="str">
        <f>HYPERLINK("https://hot.detik.com/movie/d-4733367/seputar-the-eye-film-horor-yang-dibintangi-jessica-alba ","sumber")</f>
        <v>sumber</v>
      </c>
      <c r="G416" s="79" t="s">
        <v>33</v>
      </c>
      <c r="H416" s="410">
        <v>397.0</v>
      </c>
      <c r="I416" s="79">
        <v>2.0</v>
      </c>
      <c r="J416" s="79">
        <v>3.0</v>
      </c>
      <c r="K416" s="191"/>
      <c r="L416" s="79">
        <v>0.0</v>
      </c>
      <c r="M416" s="79">
        <v>0.0</v>
      </c>
      <c r="N416" s="364">
        <v>0.0</v>
      </c>
      <c r="O416" s="364">
        <v>0.0</v>
      </c>
      <c r="P416" s="79">
        <v>0.0</v>
      </c>
      <c r="Q416" s="79"/>
      <c r="R416" s="79"/>
      <c r="S416" s="368"/>
      <c r="T416" s="79">
        <v>0.0</v>
      </c>
      <c r="U416" s="79">
        <v>0.0</v>
      </c>
      <c r="V416" s="79">
        <v>1.0</v>
      </c>
      <c r="W416" s="63"/>
      <c r="X416" s="63"/>
      <c r="Y416" s="63"/>
      <c r="Z416" s="295"/>
      <c r="AA416" s="295"/>
      <c r="AB416" s="295"/>
      <c r="AC416" s="295"/>
      <c r="AD416" s="295"/>
      <c r="AE416" s="295"/>
      <c r="AF416" s="295"/>
      <c r="AG416" s="295"/>
      <c r="AH416" s="295"/>
      <c r="AI416" s="295"/>
      <c r="AJ416" s="295"/>
      <c r="AK416" s="295"/>
      <c r="AL416" s="295"/>
      <c r="AM416" s="295"/>
      <c r="AN416" s="295"/>
      <c r="AO416" s="295"/>
      <c r="AP416" s="295"/>
      <c r="AQ416" s="295"/>
      <c r="AR416" s="295"/>
      <c r="AS416" s="295"/>
      <c r="AT416" s="295"/>
      <c r="AU416" s="295"/>
      <c r="AV416" s="295"/>
      <c r="AW416" s="295"/>
      <c r="AX416" s="295"/>
      <c r="AY416" s="295"/>
      <c r="AZ416" s="295"/>
      <c r="BA416" s="295"/>
      <c r="BB416" s="295"/>
      <c r="BC416" s="295"/>
      <c r="BD416" s="295"/>
      <c r="BE416" s="295"/>
    </row>
    <row r="417">
      <c r="A417" s="426">
        <v>1.0</v>
      </c>
      <c r="B417" s="414" t="s">
        <v>5490</v>
      </c>
      <c r="C417" s="55">
        <v>413.0</v>
      </c>
      <c r="D417" s="55">
        <v>4.0</v>
      </c>
      <c r="E417" s="344">
        <v>43565.0</v>
      </c>
      <c r="F417" s="171" t="str">
        <f>HYPERLINK("https://www.liputan6.com/health/read/4078473/dulu-orang-dengan-gangguan-jiwa-di-desa-gitik-banyuwangi-dipasung","sumber")</f>
        <v>sumber</v>
      </c>
      <c r="G417" s="55" t="s">
        <v>33</v>
      </c>
      <c r="H417" s="415">
        <v>244.0</v>
      </c>
      <c r="I417" s="55">
        <v>2.0</v>
      </c>
      <c r="J417" s="55">
        <v>2.0</v>
      </c>
      <c r="K417" s="172" t="s">
        <v>5491</v>
      </c>
      <c r="L417" s="55">
        <v>0.0</v>
      </c>
      <c r="M417" s="55">
        <v>0.0</v>
      </c>
      <c r="N417" s="173">
        <v>0.0</v>
      </c>
      <c r="O417" s="173">
        <v>0.0</v>
      </c>
      <c r="P417" s="55">
        <v>0.0</v>
      </c>
      <c r="Q417" s="55">
        <v>0.0</v>
      </c>
      <c r="R417" s="55">
        <v>1.0</v>
      </c>
      <c r="S417" s="174"/>
      <c r="T417" s="55">
        <v>0.0</v>
      </c>
      <c r="U417" s="55">
        <v>0.0</v>
      </c>
      <c r="V417" s="55">
        <v>1.0</v>
      </c>
      <c r="W417" s="46"/>
      <c r="X417" s="46"/>
      <c r="Y417" s="46"/>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c r="BA417" s="31"/>
      <c r="BB417" s="31"/>
      <c r="BC417" s="31"/>
      <c r="BD417" s="31"/>
      <c r="BE417" s="31"/>
    </row>
    <row r="418">
      <c r="A418" s="413">
        <v>1.0</v>
      </c>
      <c r="B418" s="409" t="s">
        <v>5492</v>
      </c>
      <c r="C418" s="79">
        <v>414.0</v>
      </c>
      <c r="D418" s="79">
        <v>3.0</v>
      </c>
      <c r="E418" s="363">
        <v>43565.0</v>
      </c>
      <c r="F418" s="293" t="str">
        <f>HYPERLINK("https://nasional.okezone.com/read/2019/10/04/337/2112898/mengenal-politik-gagasan-yang-digadang-jadi-akhir-era-pencitraan ","sumber")</f>
        <v>sumber</v>
      </c>
      <c r="G418" s="79" t="s">
        <v>33</v>
      </c>
      <c r="H418" s="410">
        <v>497.0</v>
      </c>
      <c r="I418" s="79">
        <v>2.0</v>
      </c>
      <c r="J418" s="79">
        <v>2.0</v>
      </c>
      <c r="K418" s="191" t="s">
        <v>5493</v>
      </c>
      <c r="L418" s="79">
        <v>0.0</v>
      </c>
      <c r="M418" s="79">
        <v>0.0</v>
      </c>
      <c r="N418" s="364">
        <v>0.0</v>
      </c>
      <c r="O418" s="364">
        <v>0.0</v>
      </c>
      <c r="P418" s="79">
        <v>0.0</v>
      </c>
      <c r="Q418" s="79" t="s">
        <v>61</v>
      </c>
      <c r="R418" s="79" t="s">
        <v>192</v>
      </c>
      <c r="S418" s="368"/>
      <c r="T418" s="79">
        <v>0.0</v>
      </c>
      <c r="U418" s="79">
        <v>0.0</v>
      </c>
      <c r="V418" s="79">
        <v>1.0</v>
      </c>
      <c r="W418" s="63"/>
      <c r="X418" s="63"/>
      <c r="Y418" s="63"/>
      <c r="Z418" s="295"/>
      <c r="AA418" s="295"/>
      <c r="AB418" s="295"/>
      <c r="AC418" s="295"/>
      <c r="AD418" s="295"/>
      <c r="AE418" s="295"/>
      <c r="AF418" s="295"/>
      <c r="AG418" s="295"/>
      <c r="AH418" s="295"/>
      <c r="AI418" s="295"/>
      <c r="AJ418" s="295"/>
      <c r="AK418" s="295"/>
      <c r="AL418" s="295"/>
      <c r="AM418" s="295"/>
      <c r="AN418" s="295"/>
      <c r="AO418" s="295"/>
      <c r="AP418" s="295"/>
      <c r="AQ418" s="295"/>
      <c r="AR418" s="295"/>
      <c r="AS418" s="295"/>
      <c r="AT418" s="295"/>
      <c r="AU418" s="295"/>
      <c r="AV418" s="295"/>
      <c r="AW418" s="295"/>
      <c r="AX418" s="295"/>
      <c r="AY418" s="295"/>
      <c r="AZ418" s="295"/>
      <c r="BA418" s="295"/>
      <c r="BB418" s="295"/>
      <c r="BC418" s="295"/>
      <c r="BD418" s="295"/>
      <c r="BE418" s="295"/>
    </row>
    <row r="419" ht="16.5" customHeight="1">
      <c r="A419" s="222">
        <v>2.0</v>
      </c>
      <c r="B419" s="411" t="s">
        <v>5494</v>
      </c>
      <c r="C419" s="47">
        <v>415.0</v>
      </c>
      <c r="D419" s="48"/>
      <c r="E419" s="280">
        <v>43595.0</v>
      </c>
      <c r="F419" s="156" t="str">
        <f>HYPERLINK("https://tirto.id/kondisi-surya-anta-dan-lima-mahasiswa-papua-di-tahanan-mako-brimob-ejfA ","sumber")</f>
        <v>sumber</v>
      </c>
      <c r="G419" s="47" t="s">
        <v>33</v>
      </c>
      <c r="H419" s="412">
        <v>551.0</v>
      </c>
      <c r="I419" s="48"/>
      <c r="J419" s="48"/>
      <c r="K419" s="165"/>
      <c r="L419" s="48"/>
      <c r="M419" s="48"/>
      <c r="N419" s="48"/>
      <c r="O419" s="48"/>
      <c r="P419" s="48"/>
      <c r="Q419" s="48"/>
      <c r="R419" s="48"/>
      <c r="S419" s="165"/>
      <c r="T419" s="48"/>
      <c r="U419" s="48"/>
      <c r="V419" s="48"/>
      <c r="W419" s="48"/>
      <c r="X419" s="48"/>
      <c r="Y419" s="48"/>
      <c r="Z419" s="338"/>
      <c r="AA419" s="51"/>
      <c r="AB419" s="51"/>
      <c r="AC419" s="51"/>
      <c r="AD419" s="51"/>
      <c r="AE419" s="51"/>
      <c r="AF419" s="51"/>
      <c r="AG419" s="51"/>
      <c r="AH419" s="51"/>
      <c r="AI419" s="51"/>
      <c r="AJ419" s="51"/>
      <c r="AK419" s="51"/>
      <c r="AL419" s="51"/>
      <c r="AM419" s="51"/>
      <c r="AN419" s="51"/>
      <c r="AO419" s="51"/>
      <c r="AP419" s="51"/>
      <c r="AQ419" s="51"/>
      <c r="AR419" s="51"/>
      <c r="AS419" s="51"/>
      <c r="AT419" s="51"/>
      <c r="AU419" s="51"/>
      <c r="AV419" s="51"/>
      <c r="AW419" s="51"/>
      <c r="AX419" s="51"/>
      <c r="AY419" s="51"/>
      <c r="AZ419" s="51"/>
      <c r="BA419" s="51"/>
      <c r="BB419" s="51"/>
      <c r="BC419" s="51"/>
      <c r="BD419" s="51"/>
      <c r="BE419" s="51"/>
    </row>
    <row r="420">
      <c r="A420" s="222">
        <v>2.0</v>
      </c>
      <c r="B420" s="411" t="s">
        <v>5495</v>
      </c>
      <c r="C420" s="47">
        <v>416.0</v>
      </c>
      <c r="D420" s="48"/>
      <c r="E420" s="280">
        <v>43626.0</v>
      </c>
      <c r="F420" s="156" t="str">
        <f>HYPERLINK("https://lifestyle.okezone.com/read/2019/10/06/196/2113439/detik-detik-mahasiswi-jatuh-cinta-kepada-dosennya-sendiri ","sumber")</f>
        <v>sumber</v>
      </c>
      <c r="G420" s="47" t="s">
        <v>33</v>
      </c>
      <c r="H420" s="412">
        <v>437.0</v>
      </c>
      <c r="I420" s="48"/>
      <c r="J420" s="48"/>
      <c r="K420" s="165"/>
      <c r="L420" s="48"/>
      <c r="M420" s="48"/>
      <c r="N420" s="48"/>
      <c r="O420" s="48"/>
      <c r="P420" s="48"/>
      <c r="Q420" s="48"/>
      <c r="R420" s="48"/>
      <c r="S420" s="165"/>
      <c r="T420" s="48"/>
      <c r="U420" s="48"/>
      <c r="V420" s="48"/>
      <c r="W420" s="48"/>
      <c r="X420" s="48"/>
      <c r="Y420" s="48"/>
      <c r="Z420" s="338"/>
      <c r="AA420" s="51"/>
      <c r="AB420" s="51"/>
      <c r="AC420" s="51"/>
      <c r="AD420" s="51"/>
      <c r="AE420" s="51"/>
      <c r="AF420" s="51"/>
      <c r="AG420" s="51"/>
      <c r="AH420" s="51"/>
      <c r="AI420" s="51"/>
      <c r="AJ420" s="51"/>
      <c r="AK420" s="51"/>
      <c r="AL420" s="51"/>
      <c r="AM420" s="51"/>
      <c r="AN420" s="51"/>
      <c r="AO420" s="51"/>
      <c r="AP420" s="51"/>
      <c r="AQ420" s="51"/>
      <c r="AR420" s="51"/>
      <c r="AS420" s="51"/>
      <c r="AT420" s="51"/>
      <c r="AU420" s="51"/>
      <c r="AV420" s="51"/>
      <c r="AW420" s="51"/>
      <c r="AX420" s="51"/>
      <c r="AY420" s="51"/>
      <c r="AZ420" s="51"/>
      <c r="BA420" s="51"/>
      <c r="BB420" s="51"/>
      <c r="BC420" s="51"/>
      <c r="BD420" s="51"/>
      <c r="BE420" s="51"/>
    </row>
    <row r="421">
      <c r="A421" s="426">
        <v>1.0</v>
      </c>
      <c r="B421" s="414" t="s">
        <v>1829</v>
      </c>
      <c r="C421" s="55">
        <v>417.0</v>
      </c>
      <c r="D421" s="55">
        <v>10.0</v>
      </c>
      <c r="E421" s="344">
        <v>43626.0</v>
      </c>
      <c r="F421" s="171" t="str">
        <f>HYPERLINK("https://difabel.tempo.co/read/1256428/google-tambah-fitur-aksesibilitas-untuk-difabel-gerak-terbatas","sumber")</f>
        <v>sumber</v>
      </c>
      <c r="G421" s="55" t="s">
        <v>33</v>
      </c>
      <c r="H421" s="415">
        <v>220.0</v>
      </c>
      <c r="I421" s="55">
        <v>4.0</v>
      </c>
      <c r="J421" s="55">
        <v>2.0</v>
      </c>
      <c r="K421" s="172" t="s">
        <v>5496</v>
      </c>
      <c r="L421" s="55">
        <v>0.0</v>
      </c>
      <c r="M421" s="55">
        <v>0.0</v>
      </c>
      <c r="N421" s="173">
        <v>0.0</v>
      </c>
      <c r="O421" s="173">
        <v>0.0</v>
      </c>
      <c r="P421" s="55">
        <v>0.0</v>
      </c>
      <c r="Q421" s="55">
        <v>0.0</v>
      </c>
      <c r="R421" s="55">
        <v>1.0</v>
      </c>
      <c r="S421" s="174"/>
      <c r="T421" s="55">
        <v>0.0</v>
      </c>
      <c r="U421" s="55">
        <v>0.0</v>
      </c>
      <c r="V421" s="55">
        <v>1.0</v>
      </c>
      <c r="W421" s="46"/>
      <c r="X421" s="46"/>
      <c r="Y421" s="46"/>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c r="BA421" s="31"/>
      <c r="BB421" s="31"/>
      <c r="BC421" s="31"/>
      <c r="BD421" s="31"/>
      <c r="BE421" s="31"/>
    </row>
    <row r="422">
      <c r="A422" s="413">
        <v>1.0</v>
      </c>
      <c r="B422" s="409" t="s">
        <v>5497</v>
      </c>
      <c r="C422" s="79">
        <v>418.0</v>
      </c>
      <c r="D422" s="79">
        <v>6.0</v>
      </c>
      <c r="E422" s="363">
        <v>43656.0</v>
      </c>
      <c r="F422" s="293" t="str">
        <f>HYPERLINK("https://money.kompas.com/read/2019/10/07/063400426/bpjs-kesehatan-tanggung-perawatan-penyakit-kejiwaan ","sumber")</f>
        <v>sumber</v>
      </c>
      <c r="G422" s="79" t="s">
        <v>33</v>
      </c>
      <c r="H422" s="410">
        <v>364.0</v>
      </c>
      <c r="I422" s="79">
        <v>4.0</v>
      </c>
      <c r="J422" s="79">
        <v>2.0</v>
      </c>
      <c r="K422" s="191" t="s">
        <v>5498</v>
      </c>
      <c r="L422" s="79">
        <v>0.0</v>
      </c>
      <c r="M422" s="79">
        <v>0.0</v>
      </c>
      <c r="N422" s="364">
        <v>0.0</v>
      </c>
      <c r="O422" s="364">
        <v>0.0</v>
      </c>
      <c r="P422" s="79">
        <v>0.0</v>
      </c>
      <c r="Q422" s="79">
        <v>0.0</v>
      </c>
      <c r="R422" s="79">
        <v>-1.0</v>
      </c>
      <c r="S422" s="191" t="s">
        <v>5499</v>
      </c>
      <c r="T422" s="79">
        <v>1.0</v>
      </c>
      <c r="U422" s="79">
        <v>-1.0</v>
      </c>
      <c r="V422" s="79">
        <v>1.0</v>
      </c>
      <c r="W422" s="63"/>
      <c r="X422" s="63"/>
      <c r="Y422" s="63"/>
      <c r="Z422" s="295"/>
      <c r="AA422" s="295"/>
      <c r="AB422" s="295"/>
      <c r="AC422" s="295"/>
      <c r="AD422" s="295"/>
      <c r="AE422" s="295"/>
      <c r="AF422" s="295"/>
      <c r="AG422" s="295"/>
      <c r="AH422" s="295"/>
      <c r="AI422" s="295"/>
      <c r="AJ422" s="295"/>
      <c r="AK422" s="295"/>
      <c r="AL422" s="295"/>
      <c r="AM422" s="295"/>
      <c r="AN422" s="295"/>
      <c r="AO422" s="295"/>
      <c r="AP422" s="295"/>
      <c r="AQ422" s="295"/>
      <c r="AR422" s="295"/>
      <c r="AS422" s="295"/>
      <c r="AT422" s="295"/>
      <c r="AU422" s="295"/>
      <c r="AV422" s="295"/>
      <c r="AW422" s="295"/>
      <c r="AX422" s="295"/>
      <c r="AY422" s="295"/>
      <c r="AZ422" s="295"/>
      <c r="BA422" s="295"/>
      <c r="BB422" s="295"/>
      <c r="BC422" s="295"/>
      <c r="BD422" s="295"/>
      <c r="BE422" s="295"/>
    </row>
    <row r="423">
      <c r="A423" s="416">
        <v>1.0</v>
      </c>
      <c r="B423" s="417" t="s">
        <v>5500</v>
      </c>
      <c r="C423" s="79">
        <v>419.0</v>
      </c>
      <c r="D423" s="418">
        <v>6.0</v>
      </c>
      <c r="E423" s="427">
        <v>43718.0</v>
      </c>
      <c r="F423" s="419" t="str">
        <f>HYPERLINK("https://regional.kompas.com/read/2019/10/09/07400471/modus-cari-jangkrik-seorang-kakek-2-kali-perkosa-siswi-sd ","sumber")</f>
        <v>sumber</v>
      </c>
      <c r="G423" s="418" t="s">
        <v>33</v>
      </c>
      <c r="H423" s="420">
        <v>128.0</v>
      </c>
      <c r="I423" s="418">
        <v>1.0</v>
      </c>
      <c r="J423" s="418">
        <v>1.0</v>
      </c>
      <c r="K423" s="421" t="s">
        <v>5501</v>
      </c>
      <c r="L423" s="418">
        <v>0.0</v>
      </c>
      <c r="M423" s="418">
        <v>1.0</v>
      </c>
      <c r="N423" s="422">
        <v>0.0</v>
      </c>
      <c r="O423" s="418">
        <v>1.0</v>
      </c>
      <c r="P423" s="418">
        <v>0.0</v>
      </c>
      <c r="Q423" s="418">
        <v>0.0</v>
      </c>
      <c r="R423" s="418">
        <v>0.0</v>
      </c>
      <c r="S423" s="423"/>
      <c r="T423" s="418">
        <v>0.0</v>
      </c>
      <c r="U423" s="418">
        <v>0.0</v>
      </c>
      <c r="V423" s="418">
        <v>1.0</v>
      </c>
      <c r="W423" s="424"/>
      <c r="X423" s="424"/>
      <c r="Y423" s="424"/>
      <c r="Z423" s="425"/>
      <c r="AA423" s="425"/>
      <c r="AB423" s="425"/>
      <c r="AC423" s="425"/>
      <c r="AD423" s="425"/>
      <c r="AE423" s="425"/>
      <c r="AF423" s="425"/>
      <c r="AG423" s="425"/>
      <c r="AH423" s="425"/>
      <c r="AI423" s="425"/>
      <c r="AJ423" s="425"/>
      <c r="AK423" s="425"/>
      <c r="AL423" s="425"/>
      <c r="AM423" s="425"/>
      <c r="AN423" s="425"/>
      <c r="AO423" s="425"/>
      <c r="AP423" s="425"/>
      <c r="AQ423" s="425"/>
      <c r="AR423" s="425"/>
      <c r="AS423" s="425"/>
      <c r="AT423" s="425"/>
      <c r="AU423" s="425"/>
      <c r="AV423" s="425"/>
      <c r="AW423" s="425"/>
      <c r="AX423" s="425"/>
      <c r="AY423" s="425"/>
      <c r="AZ423" s="425"/>
      <c r="BA423" s="425"/>
      <c r="BB423" s="425"/>
      <c r="BC423" s="425"/>
      <c r="BD423" s="425"/>
      <c r="BE423" s="425"/>
    </row>
    <row r="424">
      <c r="A424" s="428">
        <v>2.0</v>
      </c>
      <c r="B424" s="429" t="s">
        <v>5502</v>
      </c>
      <c r="C424" s="430">
        <v>420.0</v>
      </c>
      <c r="D424" s="430">
        <v>4.0</v>
      </c>
      <c r="E424" s="431">
        <v>43718.0</v>
      </c>
      <c r="F424" s="432" t="str">
        <f>HYPERLINK("https://www.liputan6.com/bisnis/read/4082276/menteri-susi-aneh-penenggelaman-kapal-disebut-bikin-investor-kabur ","sumber")</f>
        <v>sumber</v>
      </c>
      <c r="G424" s="430" t="s">
        <v>33</v>
      </c>
      <c r="H424" s="433">
        <v>560.0</v>
      </c>
      <c r="I424" s="434"/>
      <c r="J424" s="434"/>
      <c r="K424" s="435"/>
      <c r="L424" s="434"/>
      <c r="M424" s="434"/>
      <c r="N424" s="434"/>
      <c r="O424" s="434"/>
      <c r="P424" s="434"/>
      <c r="Q424" s="434"/>
      <c r="R424" s="434"/>
      <c r="S424" s="435"/>
      <c r="T424" s="434"/>
      <c r="U424" s="434"/>
      <c r="V424" s="434"/>
      <c r="W424" s="434"/>
      <c r="X424" s="434"/>
      <c r="Y424" s="434"/>
      <c r="Z424" s="338"/>
      <c r="AA424" s="436"/>
      <c r="AB424" s="436"/>
      <c r="AC424" s="436"/>
      <c r="AD424" s="436"/>
      <c r="AE424" s="436"/>
      <c r="AF424" s="436"/>
      <c r="AG424" s="436"/>
      <c r="AH424" s="436"/>
      <c r="AI424" s="436"/>
      <c r="AJ424" s="436"/>
      <c r="AK424" s="436"/>
      <c r="AL424" s="436"/>
      <c r="AM424" s="436"/>
      <c r="AN424" s="436"/>
      <c r="AO424" s="436"/>
      <c r="AP424" s="436"/>
      <c r="AQ424" s="436"/>
      <c r="AR424" s="436"/>
      <c r="AS424" s="436"/>
      <c r="AT424" s="436"/>
      <c r="AU424" s="436"/>
      <c r="AV424" s="436"/>
      <c r="AW424" s="436"/>
      <c r="AX424" s="436"/>
      <c r="AY424" s="436"/>
      <c r="AZ424" s="436"/>
      <c r="BA424" s="436"/>
      <c r="BB424" s="436"/>
      <c r="BC424" s="436"/>
      <c r="BD424" s="436"/>
      <c r="BE424" s="436"/>
    </row>
    <row r="425">
      <c r="A425" s="416">
        <v>1.0</v>
      </c>
      <c r="B425" s="417" t="s">
        <v>928</v>
      </c>
      <c r="C425" s="79">
        <v>421.0</v>
      </c>
      <c r="D425" s="418">
        <v>9.0</v>
      </c>
      <c r="E425" s="427">
        <v>43718.0</v>
      </c>
      <c r="F425" s="419" t="str">
        <f>HYPERLINK("https://nasional.republika.co.id/berita/pz2b5r409/81-persen-kasus-kebutaan-di-indonesia-terjadi-akibat-katarak ","sumber")</f>
        <v>sumber</v>
      </c>
      <c r="G425" s="418" t="s">
        <v>33</v>
      </c>
      <c r="H425" s="420">
        <v>333.0</v>
      </c>
      <c r="I425" s="418">
        <v>3.0</v>
      </c>
      <c r="J425" s="418">
        <v>2.0</v>
      </c>
      <c r="K425" s="421" t="s">
        <v>5503</v>
      </c>
      <c r="L425" s="418">
        <v>0.0</v>
      </c>
      <c r="M425" s="418">
        <v>0.0</v>
      </c>
      <c r="N425" s="422">
        <v>0.0</v>
      </c>
      <c r="O425" s="422">
        <v>0.0</v>
      </c>
      <c r="P425" s="418">
        <v>0.0</v>
      </c>
      <c r="Q425" s="418">
        <v>0.0</v>
      </c>
      <c r="R425" s="418">
        <v>1.0</v>
      </c>
      <c r="S425" s="423"/>
      <c r="T425" s="418">
        <v>0.0</v>
      </c>
      <c r="U425" s="418">
        <v>0.0</v>
      </c>
      <c r="V425" s="418">
        <v>1.0</v>
      </c>
      <c r="W425" s="424"/>
      <c r="X425" s="424"/>
      <c r="Y425" s="424"/>
      <c r="Z425" s="425"/>
      <c r="AA425" s="425"/>
      <c r="AB425" s="425"/>
      <c r="AC425" s="425"/>
      <c r="AD425" s="425"/>
      <c r="AE425" s="425"/>
      <c r="AF425" s="425"/>
      <c r="AG425" s="425"/>
      <c r="AH425" s="425"/>
      <c r="AI425" s="425"/>
      <c r="AJ425" s="425"/>
      <c r="AK425" s="425"/>
      <c r="AL425" s="425"/>
      <c r="AM425" s="425"/>
      <c r="AN425" s="425"/>
      <c r="AO425" s="425"/>
      <c r="AP425" s="425"/>
      <c r="AQ425" s="425"/>
      <c r="AR425" s="425"/>
      <c r="AS425" s="425"/>
      <c r="AT425" s="425"/>
      <c r="AU425" s="425"/>
      <c r="AV425" s="425"/>
      <c r="AW425" s="425"/>
      <c r="AX425" s="425"/>
      <c r="AY425" s="425"/>
      <c r="AZ425" s="425"/>
      <c r="BA425" s="425"/>
      <c r="BB425" s="425"/>
      <c r="BC425" s="425"/>
      <c r="BD425" s="425"/>
      <c r="BE425" s="425"/>
    </row>
    <row r="426">
      <c r="A426" s="426">
        <v>1.0</v>
      </c>
      <c r="B426" s="414" t="s">
        <v>5504</v>
      </c>
      <c r="C426" s="55">
        <v>422.0</v>
      </c>
      <c r="D426" s="55">
        <v>10.0</v>
      </c>
      <c r="E426" s="344">
        <v>43718.0</v>
      </c>
      <c r="F426" s="171" t="str">
        <f>HYPERLINK("https://cantik.tempo.co/read/1257649/ibu-hamil-depresi-berisiko-lahirkan-anak-dengan-gangguan-kejiwaan","sumber")</f>
        <v>sumber</v>
      </c>
      <c r="G426" s="55" t="s">
        <v>33</v>
      </c>
      <c r="H426" s="415">
        <v>392.0</v>
      </c>
      <c r="I426" s="55">
        <v>2.0</v>
      </c>
      <c r="J426" s="55">
        <v>2.0</v>
      </c>
      <c r="K426" s="172" t="s">
        <v>5505</v>
      </c>
      <c r="L426" s="55">
        <v>0.0</v>
      </c>
      <c r="M426" s="55">
        <v>0.0</v>
      </c>
      <c r="N426" s="173">
        <v>0.0</v>
      </c>
      <c r="O426" s="173">
        <v>0.0</v>
      </c>
      <c r="P426" s="55">
        <v>0.0</v>
      </c>
      <c r="Q426" s="55">
        <v>0.0</v>
      </c>
      <c r="R426" s="55">
        <v>1.0</v>
      </c>
      <c r="S426" s="172" t="s">
        <v>4145</v>
      </c>
      <c r="T426" s="55">
        <v>1.0</v>
      </c>
      <c r="U426" s="55">
        <v>-1.0</v>
      </c>
      <c r="V426" s="55">
        <v>1.0</v>
      </c>
      <c r="W426" s="46"/>
      <c r="X426" s="46"/>
      <c r="Y426" s="46"/>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c r="BA426" s="31"/>
      <c r="BB426" s="31"/>
      <c r="BC426" s="31"/>
      <c r="BD426" s="31"/>
      <c r="BE426" s="31"/>
    </row>
    <row r="427">
      <c r="A427" s="222">
        <v>2.0</v>
      </c>
      <c r="B427" s="411" t="s">
        <v>5506</v>
      </c>
      <c r="C427" s="47">
        <v>423.0</v>
      </c>
      <c r="D427" s="48"/>
      <c r="E427" s="354">
        <v>43748.0</v>
      </c>
      <c r="F427" s="156" t="str">
        <f>HYPERLINK("https://tirto.id/sinopsis-sin-film-mawar-de-jongh-bryan-domani-tayang-10-oktober-ejvb ","sumber")</f>
        <v>sumber</v>
      </c>
      <c r="G427" s="47" t="s">
        <v>33</v>
      </c>
      <c r="H427" s="412">
        <v>317.0</v>
      </c>
      <c r="I427" s="48"/>
      <c r="J427" s="48"/>
      <c r="K427" s="165"/>
      <c r="L427" s="48"/>
      <c r="M427" s="48"/>
      <c r="N427" s="48"/>
      <c r="O427" s="48"/>
      <c r="P427" s="48"/>
      <c r="Q427" s="48"/>
      <c r="R427" s="48"/>
      <c r="S427" s="165"/>
      <c r="T427" s="48"/>
      <c r="U427" s="48"/>
      <c r="V427" s="48"/>
      <c r="W427" s="48"/>
      <c r="X427" s="48"/>
      <c r="Y427" s="48"/>
      <c r="Z427" s="338"/>
      <c r="AA427" s="51"/>
      <c r="AB427" s="51"/>
      <c r="AC427" s="51"/>
      <c r="AD427" s="51"/>
      <c r="AE427" s="51"/>
      <c r="AF427" s="51"/>
      <c r="AG427" s="51"/>
      <c r="AH427" s="51"/>
      <c r="AI427" s="51"/>
      <c r="AJ427" s="51"/>
      <c r="AK427" s="51"/>
      <c r="AL427" s="51"/>
      <c r="AM427" s="51"/>
      <c r="AN427" s="51"/>
      <c r="AO427" s="51"/>
      <c r="AP427" s="51"/>
      <c r="AQ427" s="51"/>
      <c r="AR427" s="51"/>
      <c r="AS427" s="51"/>
      <c r="AT427" s="51"/>
      <c r="AU427" s="51"/>
      <c r="AV427" s="51"/>
      <c r="AW427" s="51"/>
      <c r="AX427" s="51"/>
      <c r="AY427" s="51"/>
      <c r="AZ427" s="51"/>
      <c r="BA427" s="51"/>
      <c r="BB427" s="51"/>
      <c r="BC427" s="51"/>
      <c r="BD427" s="51"/>
      <c r="BE427" s="51"/>
    </row>
    <row r="428">
      <c r="A428" s="413">
        <v>1.0</v>
      </c>
      <c r="B428" s="409" t="s">
        <v>5507</v>
      </c>
      <c r="C428" s="79">
        <v>424.0</v>
      </c>
      <c r="D428" s="79">
        <v>1.0</v>
      </c>
      <c r="E428" s="79" t="s">
        <v>936</v>
      </c>
      <c r="F428" s="293" t="str">
        <f>HYPERLINK("https://news.detik.com/berita/d-4790761/polisi-tindaklanjuti-kasus-merkuri-di-sumut-yang-buat-12-anak-lahir-cacat ","sumber")</f>
        <v>sumber</v>
      </c>
      <c r="G428" s="79" t="s">
        <v>33</v>
      </c>
      <c r="H428" s="410">
        <v>169.0</v>
      </c>
      <c r="I428" s="79">
        <v>1.0</v>
      </c>
      <c r="J428" s="79">
        <v>2.0</v>
      </c>
      <c r="K428" s="191" t="s">
        <v>5508</v>
      </c>
      <c r="L428" s="79">
        <v>0.0</v>
      </c>
      <c r="M428" s="79">
        <v>0.0</v>
      </c>
      <c r="N428" s="364">
        <v>0.0</v>
      </c>
      <c r="O428" s="364">
        <v>0.0</v>
      </c>
      <c r="P428" s="79">
        <v>0.0</v>
      </c>
      <c r="Q428" s="79">
        <v>0.0</v>
      </c>
      <c r="R428" s="79">
        <v>1.0</v>
      </c>
      <c r="S428" s="191" t="s">
        <v>1212</v>
      </c>
      <c r="T428" s="79">
        <v>1.0</v>
      </c>
      <c r="U428" s="79">
        <v>0.0</v>
      </c>
      <c r="V428" s="79">
        <v>1.0</v>
      </c>
      <c r="W428" s="63"/>
      <c r="X428" s="63"/>
      <c r="Y428" s="63"/>
      <c r="Z428" s="295"/>
      <c r="AA428" s="295"/>
      <c r="AB428" s="295"/>
      <c r="AC428" s="295"/>
      <c r="AD428" s="295"/>
      <c r="AE428" s="295"/>
      <c r="AF428" s="295"/>
      <c r="AG428" s="295"/>
      <c r="AH428" s="295"/>
      <c r="AI428" s="295"/>
      <c r="AJ428" s="295"/>
      <c r="AK428" s="295"/>
      <c r="AL428" s="295"/>
      <c r="AM428" s="295"/>
      <c r="AN428" s="295"/>
      <c r="AO428" s="295"/>
      <c r="AP428" s="295"/>
      <c r="AQ428" s="295"/>
      <c r="AR428" s="295"/>
      <c r="AS428" s="295"/>
      <c r="AT428" s="295"/>
      <c r="AU428" s="295"/>
      <c r="AV428" s="295"/>
      <c r="AW428" s="295"/>
      <c r="AX428" s="295"/>
      <c r="AY428" s="295"/>
      <c r="AZ428" s="295"/>
      <c r="BA428" s="295"/>
      <c r="BB428" s="295"/>
      <c r="BC428" s="295"/>
      <c r="BD428" s="295"/>
      <c r="BE428" s="295"/>
    </row>
    <row r="429">
      <c r="A429" s="413">
        <v>1.0</v>
      </c>
      <c r="B429" s="409" t="s">
        <v>5509</v>
      </c>
      <c r="C429" s="79">
        <v>425.0</v>
      </c>
      <c r="D429" s="79">
        <v>4.0</v>
      </c>
      <c r="E429" s="79" t="s">
        <v>882</v>
      </c>
      <c r="F429" s="293" t="str">
        <f>HYPERLINK("https://www.liputan6.com/bisnis/read/4115223/menhub-budi-karya-targetkan-mrt-hi-ancol-rampung-2024 ","sumber")</f>
        <v>sumber</v>
      </c>
      <c r="G429" s="79" t="s">
        <v>33</v>
      </c>
      <c r="H429" s="410">
        <v>1240.0</v>
      </c>
      <c r="I429" s="79">
        <v>4.0</v>
      </c>
      <c r="J429" s="79">
        <v>2.0</v>
      </c>
      <c r="K429" s="191" t="s">
        <v>5510</v>
      </c>
      <c r="L429" s="79">
        <v>0.0</v>
      </c>
      <c r="M429" s="79">
        <v>0.0</v>
      </c>
      <c r="N429" s="364">
        <v>0.0</v>
      </c>
      <c r="O429" s="364">
        <v>0.0</v>
      </c>
      <c r="P429" s="79">
        <v>0.0</v>
      </c>
      <c r="Q429" s="79" t="s">
        <v>61</v>
      </c>
      <c r="R429" s="79" t="s">
        <v>214</v>
      </c>
      <c r="S429" s="368"/>
      <c r="T429" s="79">
        <v>0.0</v>
      </c>
      <c r="U429" s="79">
        <v>0.0</v>
      </c>
      <c r="V429" s="79">
        <v>1.0</v>
      </c>
      <c r="W429" s="63"/>
      <c r="X429" s="63"/>
      <c r="Y429" s="63"/>
      <c r="Z429" s="295"/>
      <c r="AA429" s="295"/>
      <c r="AB429" s="295"/>
      <c r="AC429" s="295"/>
      <c r="AD429" s="295"/>
      <c r="AE429" s="295"/>
      <c r="AF429" s="295"/>
      <c r="AG429" s="295"/>
      <c r="AH429" s="295"/>
      <c r="AI429" s="295"/>
      <c r="AJ429" s="295"/>
      <c r="AK429" s="295"/>
      <c r="AL429" s="295"/>
      <c r="AM429" s="295"/>
      <c r="AN429" s="295"/>
      <c r="AO429" s="295"/>
      <c r="AP429" s="295"/>
      <c r="AQ429" s="295"/>
      <c r="AR429" s="295"/>
      <c r="AS429" s="295"/>
      <c r="AT429" s="295"/>
      <c r="AU429" s="295"/>
      <c r="AV429" s="295"/>
      <c r="AW429" s="295"/>
      <c r="AX429" s="295"/>
      <c r="AY429" s="295"/>
      <c r="AZ429" s="295"/>
      <c r="BA429" s="295"/>
      <c r="BB429" s="295"/>
      <c r="BC429" s="295"/>
      <c r="BD429" s="295"/>
      <c r="BE429" s="295"/>
    </row>
    <row r="430">
      <c r="A430" s="413">
        <v>1.0</v>
      </c>
      <c r="B430" s="409" t="s">
        <v>5511</v>
      </c>
      <c r="C430" s="79">
        <v>426.0</v>
      </c>
      <c r="D430" s="79">
        <v>6.0</v>
      </c>
      <c r="E430" s="79" t="s">
        <v>944</v>
      </c>
      <c r="F430" s="293" t="str">
        <f>HYPERLINK("https://lifestyle.kompas.com/read/2019/11/21/123720920/jeli-menemukan-dan-mengembangkan-bakat-anak-autisme ","sumber")</f>
        <v>sumber</v>
      </c>
      <c r="G430" s="79" t="s">
        <v>33</v>
      </c>
      <c r="H430" s="410">
        <v>238.0</v>
      </c>
      <c r="I430" s="79">
        <v>2.0</v>
      </c>
      <c r="J430" s="79">
        <v>2.0</v>
      </c>
      <c r="K430" s="191" t="s">
        <v>5512</v>
      </c>
      <c r="L430" s="79">
        <v>0.0</v>
      </c>
      <c r="M430" s="79">
        <v>0.0</v>
      </c>
      <c r="N430" s="364">
        <v>0.0</v>
      </c>
      <c r="O430" s="364">
        <v>0.0</v>
      </c>
      <c r="P430" s="79">
        <v>0.0</v>
      </c>
      <c r="Q430" s="79">
        <v>0.0</v>
      </c>
      <c r="R430" s="79">
        <v>1.0</v>
      </c>
      <c r="S430" s="368"/>
      <c r="T430" s="79">
        <v>0.0</v>
      </c>
      <c r="U430" s="79">
        <v>0.0</v>
      </c>
      <c r="V430" s="79">
        <v>1.0</v>
      </c>
      <c r="W430" s="63"/>
      <c r="X430" s="63"/>
      <c r="Y430" s="63"/>
      <c r="Z430" s="295"/>
      <c r="AA430" s="295"/>
      <c r="AB430" s="295"/>
      <c r="AC430" s="295"/>
      <c r="AD430" s="295"/>
      <c r="AE430" s="295"/>
      <c r="AF430" s="295"/>
      <c r="AG430" s="295"/>
      <c r="AH430" s="295"/>
      <c r="AI430" s="295"/>
      <c r="AJ430" s="295"/>
      <c r="AK430" s="295"/>
      <c r="AL430" s="295"/>
      <c r="AM430" s="295"/>
      <c r="AN430" s="295"/>
      <c r="AO430" s="295"/>
      <c r="AP430" s="295"/>
      <c r="AQ430" s="295"/>
      <c r="AR430" s="295"/>
      <c r="AS430" s="295"/>
      <c r="AT430" s="295"/>
      <c r="AU430" s="295"/>
      <c r="AV430" s="295"/>
      <c r="AW430" s="295"/>
      <c r="AX430" s="295"/>
      <c r="AY430" s="295"/>
      <c r="AZ430" s="295"/>
      <c r="BA430" s="295"/>
      <c r="BB430" s="295"/>
      <c r="BC430" s="295"/>
      <c r="BD430" s="295"/>
      <c r="BE430" s="295"/>
    </row>
    <row r="431">
      <c r="A431" s="222">
        <v>2.0</v>
      </c>
      <c r="B431" s="411" t="s">
        <v>5513</v>
      </c>
      <c r="C431" s="47">
        <v>427.0</v>
      </c>
      <c r="D431" s="48"/>
      <c r="E431" s="47" t="s">
        <v>944</v>
      </c>
      <c r="F431" s="156" t="str">
        <f>HYPERLINK("https://hot.liputan6.com/read/4116129/kumpulan-gambar-kata-kata-lucu-gokil-yang-bikin-ketawa-ngakak ","sumber")</f>
        <v>sumber</v>
      </c>
      <c r="G431" s="47" t="s">
        <v>33</v>
      </c>
      <c r="H431" s="412">
        <v>669.0</v>
      </c>
      <c r="I431" s="48"/>
      <c r="J431" s="48"/>
      <c r="K431" s="165"/>
      <c r="L431" s="48"/>
      <c r="M431" s="48"/>
      <c r="N431" s="48"/>
      <c r="O431" s="48"/>
      <c r="P431" s="48"/>
      <c r="Q431" s="48"/>
      <c r="R431" s="48"/>
      <c r="S431" s="165"/>
      <c r="T431" s="48"/>
      <c r="U431" s="48"/>
      <c r="V431" s="48"/>
      <c r="W431" s="48"/>
      <c r="X431" s="48"/>
      <c r="Y431" s="48"/>
      <c r="Z431" s="338"/>
      <c r="AA431" s="51"/>
      <c r="AB431" s="51"/>
      <c r="AC431" s="51"/>
      <c r="AD431" s="51"/>
      <c r="AE431" s="51"/>
      <c r="AF431" s="51"/>
      <c r="AG431" s="51"/>
      <c r="AH431" s="51"/>
      <c r="AI431" s="51"/>
      <c r="AJ431" s="51"/>
      <c r="AK431" s="51"/>
      <c r="AL431" s="51"/>
      <c r="AM431" s="51"/>
      <c r="AN431" s="51"/>
      <c r="AO431" s="51"/>
      <c r="AP431" s="51"/>
      <c r="AQ431" s="51"/>
      <c r="AR431" s="51"/>
      <c r="AS431" s="51"/>
      <c r="AT431" s="51"/>
      <c r="AU431" s="51"/>
      <c r="AV431" s="51"/>
      <c r="AW431" s="51"/>
      <c r="AX431" s="51"/>
      <c r="AY431" s="51"/>
      <c r="AZ431" s="51"/>
      <c r="BA431" s="51"/>
      <c r="BB431" s="51"/>
      <c r="BC431" s="51"/>
      <c r="BD431" s="51"/>
      <c r="BE431" s="51"/>
    </row>
    <row r="432">
      <c r="A432" s="413">
        <v>1.0</v>
      </c>
      <c r="B432" s="409" t="s">
        <v>5514</v>
      </c>
      <c r="C432" s="79">
        <v>428.0</v>
      </c>
      <c r="D432" s="79">
        <v>10.0</v>
      </c>
      <c r="E432" s="79" t="s">
        <v>944</v>
      </c>
      <c r="F432" s="293" t="str">
        <f>HYPERLINK("https://nasional.tempo.co/read/1275066/jokowi-tunjuk-insan-tuli-angkie-yudistia-jadi-juru-bicara ","sumber")</f>
        <v>sumber</v>
      </c>
      <c r="G432" s="79" t="s">
        <v>33</v>
      </c>
      <c r="H432" s="410">
        <v>289.0</v>
      </c>
      <c r="I432" s="79">
        <v>4.0</v>
      </c>
      <c r="J432" s="79">
        <v>2.0</v>
      </c>
      <c r="K432" s="191" t="s">
        <v>5515</v>
      </c>
      <c r="L432" s="79">
        <v>0.0</v>
      </c>
      <c r="M432" s="79">
        <v>0.0</v>
      </c>
      <c r="N432" s="364">
        <v>0.0</v>
      </c>
      <c r="O432" s="364">
        <v>0.0</v>
      </c>
      <c r="P432" s="79">
        <v>0.0</v>
      </c>
      <c r="Q432" s="79" t="s">
        <v>119</v>
      </c>
      <c r="R432" s="79" t="s">
        <v>192</v>
      </c>
      <c r="S432" s="368"/>
      <c r="T432" s="79">
        <v>0.0</v>
      </c>
      <c r="U432" s="79">
        <v>0.0</v>
      </c>
      <c r="V432" s="79">
        <v>1.0</v>
      </c>
      <c r="W432" s="63"/>
      <c r="X432" s="63"/>
      <c r="Y432" s="63"/>
      <c r="Z432" s="295"/>
      <c r="AA432" s="295"/>
      <c r="AB432" s="295"/>
      <c r="AC432" s="295"/>
      <c r="AD432" s="295"/>
      <c r="AE432" s="295"/>
      <c r="AF432" s="295"/>
      <c r="AG432" s="295"/>
      <c r="AH432" s="295"/>
      <c r="AI432" s="295"/>
      <c r="AJ432" s="295"/>
      <c r="AK432" s="295"/>
      <c r="AL432" s="295"/>
      <c r="AM432" s="295"/>
      <c r="AN432" s="295"/>
      <c r="AO432" s="295"/>
      <c r="AP432" s="295"/>
      <c r="AQ432" s="295"/>
      <c r="AR432" s="295"/>
      <c r="AS432" s="295"/>
      <c r="AT432" s="295"/>
      <c r="AU432" s="295"/>
      <c r="AV432" s="295"/>
      <c r="AW432" s="295"/>
      <c r="AX432" s="295"/>
      <c r="AY432" s="295"/>
      <c r="AZ432" s="295"/>
      <c r="BA432" s="295"/>
      <c r="BB432" s="295"/>
      <c r="BC432" s="295"/>
      <c r="BD432" s="295"/>
      <c r="BE432" s="295"/>
    </row>
    <row r="433">
      <c r="A433" s="426">
        <v>1.0</v>
      </c>
      <c r="B433" s="414" t="s">
        <v>5516</v>
      </c>
      <c r="C433" s="55">
        <v>429.0</v>
      </c>
      <c r="D433" s="55">
        <v>5.0</v>
      </c>
      <c r="E433" s="55" t="s">
        <v>944</v>
      </c>
      <c r="F433" s="171" t="str">
        <f>HYPERLINK("https://tirto.id/menpanrb-buka-formasi-cpns-khusus-difabel-el34","sumber")</f>
        <v>sumber</v>
      </c>
      <c r="G433" s="55" t="s">
        <v>33</v>
      </c>
      <c r="H433" s="415">
        <v>685.0</v>
      </c>
      <c r="I433" s="55">
        <v>4.0</v>
      </c>
      <c r="J433" s="55">
        <v>2.0</v>
      </c>
      <c r="K433" s="172" t="s">
        <v>5517</v>
      </c>
      <c r="L433" s="55">
        <v>0.0</v>
      </c>
      <c r="M433" s="55">
        <v>0.0</v>
      </c>
      <c r="N433" s="173">
        <v>0.0</v>
      </c>
      <c r="O433" s="173">
        <v>0.0</v>
      </c>
      <c r="P433" s="55">
        <v>0.0</v>
      </c>
      <c r="Q433" s="55">
        <v>0.0</v>
      </c>
      <c r="R433" s="55">
        <v>1.0</v>
      </c>
      <c r="S433" s="174"/>
      <c r="T433" s="55">
        <v>0.0</v>
      </c>
      <c r="U433" s="55">
        <v>0.0</v>
      </c>
      <c r="V433" s="55">
        <v>1.0</v>
      </c>
      <c r="W433" s="46"/>
      <c r="X433" s="46"/>
      <c r="Y433" s="46"/>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c r="BA433" s="31"/>
      <c r="BB433" s="31"/>
      <c r="BC433" s="31"/>
      <c r="BD433" s="31"/>
      <c r="BE433" s="31"/>
    </row>
    <row r="434">
      <c r="A434" s="413">
        <v>1.0</v>
      </c>
      <c r="B434" s="409" t="s">
        <v>5518</v>
      </c>
      <c r="C434" s="79">
        <v>430.0</v>
      </c>
      <c r="D434" s="79">
        <v>9.0</v>
      </c>
      <c r="E434" s="79" t="s">
        <v>884</v>
      </c>
      <c r="F434" s="293" t="str">
        <f>HYPERLINK("https://bola.republika.co.id/berita/q1bv4o438/karisma-evi-penyandang-difabel-yang-ukir-prestasi-dunia ","sumber")</f>
        <v>sumber</v>
      </c>
      <c r="G434" s="79" t="s">
        <v>33</v>
      </c>
      <c r="H434" s="410">
        <v>548.0</v>
      </c>
      <c r="I434" s="79">
        <v>2.0</v>
      </c>
      <c r="J434" s="79">
        <v>2.0</v>
      </c>
      <c r="K434" s="191" t="s">
        <v>5519</v>
      </c>
      <c r="L434" s="79">
        <v>0.0</v>
      </c>
      <c r="M434" s="79">
        <v>0.0</v>
      </c>
      <c r="N434" s="364">
        <v>0.0</v>
      </c>
      <c r="O434" s="364">
        <v>0.0</v>
      </c>
      <c r="P434" s="79">
        <v>0.0</v>
      </c>
      <c r="Q434" s="79">
        <v>2.0</v>
      </c>
      <c r="R434" s="79">
        <v>1.0</v>
      </c>
      <c r="S434" s="368"/>
      <c r="T434" s="79">
        <v>0.0</v>
      </c>
      <c r="U434" s="79">
        <v>0.0</v>
      </c>
      <c r="V434" s="79">
        <v>1.0</v>
      </c>
      <c r="W434" s="63"/>
      <c r="X434" s="63"/>
      <c r="Y434" s="63"/>
      <c r="Z434" s="295"/>
      <c r="AA434" s="295"/>
      <c r="AB434" s="295"/>
      <c r="AC434" s="295"/>
      <c r="AD434" s="295"/>
      <c r="AE434" s="295"/>
      <c r="AF434" s="295"/>
      <c r="AG434" s="295"/>
      <c r="AH434" s="295"/>
      <c r="AI434" s="295"/>
      <c r="AJ434" s="295"/>
      <c r="AK434" s="295"/>
      <c r="AL434" s="295"/>
      <c r="AM434" s="295"/>
      <c r="AN434" s="295"/>
      <c r="AO434" s="295"/>
      <c r="AP434" s="295"/>
      <c r="AQ434" s="295"/>
      <c r="AR434" s="295"/>
      <c r="AS434" s="295"/>
      <c r="AT434" s="295"/>
      <c r="AU434" s="295"/>
      <c r="AV434" s="295"/>
      <c r="AW434" s="295"/>
      <c r="AX434" s="295"/>
      <c r="AY434" s="295"/>
      <c r="AZ434" s="295"/>
      <c r="BA434" s="295"/>
      <c r="BB434" s="295"/>
      <c r="BC434" s="295"/>
      <c r="BD434" s="295"/>
      <c r="BE434" s="295"/>
    </row>
    <row r="435">
      <c r="A435" s="222">
        <v>2.0</v>
      </c>
      <c r="B435" s="411" t="s">
        <v>5520</v>
      </c>
      <c r="C435" s="47">
        <v>431.0</v>
      </c>
      <c r="D435" s="48"/>
      <c r="E435" s="47" t="s">
        <v>884</v>
      </c>
      <c r="F435" s="156" t="str">
        <f>HYPERLINK("https://dunia.tempo.co/read/1275400/murid-sma-di-amerika-lakukan-penembakan-dengan-senjata-rakitan ","sumber")</f>
        <v>sumber</v>
      </c>
      <c r="G435" s="47" t="s">
        <v>33</v>
      </c>
      <c r="H435" s="412">
        <v>302.0</v>
      </c>
      <c r="I435" s="48"/>
      <c r="J435" s="48"/>
      <c r="K435" s="165"/>
      <c r="L435" s="48"/>
      <c r="M435" s="48"/>
      <c r="N435" s="48"/>
      <c r="O435" s="48"/>
      <c r="P435" s="48"/>
      <c r="Q435" s="48"/>
      <c r="R435" s="48"/>
      <c r="S435" s="165"/>
      <c r="T435" s="48"/>
      <c r="U435" s="48"/>
      <c r="V435" s="48"/>
      <c r="W435" s="48"/>
      <c r="X435" s="48"/>
      <c r="Y435" s="48"/>
      <c r="Z435" s="338"/>
      <c r="AA435" s="51"/>
      <c r="AB435" s="51"/>
      <c r="AC435" s="51"/>
      <c r="AD435" s="51"/>
      <c r="AE435" s="51"/>
      <c r="AF435" s="51"/>
      <c r="AG435" s="51"/>
      <c r="AH435" s="51"/>
      <c r="AI435" s="51"/>
      <c r="AJ435" s="51"/>
      <c r="AK435" s="51"/>
      <c r="AL435" s="51"/>
      <c r="AM435" s="51"/>
      <c r="AN435" s="51"/>
      <c r="AO435" s="51"/>
      <c r="AP435" s="51"/>
      <c r="AQ435" s="51"/>
      <c r="AR435" s="51"/>
      <c r="AS435" s="51"/>
      <c r="AT435" s="51"/>
      <c r="AU435" s="51"/>
      <c r="AV435" s="51"/>
      <c r="AW435" s="51"/>
      <c r="AX435" s="51"/>
      <c r="AY435" s="51"/>
      <c r="AZ435" s="51"/>
      <c r="BA435" s="51"/>
      <c r="BB435" s="51"/>
      <c r="BC435" s="51"/>
      <c r="BD435" s="51"/>
      <c r="BE435" s="51"/>
    </row>
    <row r="436">
      <c r="A436" s="222">
        <v>2.0</v>
      </c>
      <c r="B436" s="411" t="s">
        <v>4728</v>
      </c>
      <c r="C436" s="47">
        <v>432.0</v>
      </c>
      <c r="D436" s="48"/>
      <c r="E436" s="47" t="s">
        <v>950</v>
      </c>
      <c r="F436" s="156" t="str">
        <f>HYPERLINK("https://www.liputan6.com/global/read/4117145/bahan-makanan-warga-jawa-timur-tercemar-limbah-plastik-australia-jadi-sorotan ","sumber")</f>
        <v>sumber</v>
      </c>
      <c r="G436" s="47" t="s">
        <v>33</v>
      </c>
      <c r="H436" s="412">
        <v>808.0</v>
      </c>
      <c r="I436" s="48"/>
      <c r="J436" s="48"/>
      <c r="K436" s="165"/>
      <c r="L436" s="48"/>
      <c r="M436" s="48"/>
      <c r="N436" s="48"/>
      <c r="O436" s="48"/>
      <c r="P436" s="48"/>
      <c r="Q436" s="48"/>
      <c r="R436" s="48"/>
      <c r="S436" s="165"/>
      <c r="T436" s="48"/>
      <c r="U436" s="48"/>
      <c r="V436" s="48"/>
      <c r="W436" s="48"/>
      <c r="X436" s="48"/>
      <c r="Y436" s="48"/>
      <c r="Z436" s="338"/>
      <c r="AA436" s="51"/>
      <c r="AB436" s="51"/>
      <c r="AC436" s="51"/>
      <c r="AD436" s="51"/>
      <c r="AE436" s="51"/>
      <c r="AF436" s="51"/>
      <c r="AG436" s="51"/>
      <c r="AH436" s="51"/>
      <c r="AI436" s="51"/>
      <c r="AJ436" s="51"/>
      <c r="AK436" s="51"/>
      <c r="AL436" s="51"/>
      <c r="AM436" s="51"/>
      <c r="AN436" s="51"/>
      <c r="AO436" s="51"/>
      <c r="AP436" s="51"/>
      <c r="AQ436" s="51"/>
      <c r="AR436" s="51"/>
      <c r="AS436" s="51"/>
      <c r="AT436" s="51"/>
      <c r="AU436" s="51"/>
      <c r="AV436" s="51"/>
      <c r="AW436" s="51"/>
      <c r="AX436" s="51"/>
      <c r="AY436" s="51"/>
      <c r="AZ436" s="51"/>
      <c r="BA436" s="51"/>
      <c r="BB436" s="51"/>
      <c r="BC436" s="51"/>
      <c r="BD436" s="51"/>
      <c r="BE436" s="51"/>
    </row>
    <row r="437">
      <c r="A437" s="426">
        <v>1.0</v>
      </c>
      <c r="B437" s="414" t="s">
        <v>5521</v>
      </c>
      <c r="C437" s="55">
        <v>433.0</v>
      </c>
      <c r="D437" s="55">
        <v>7.0</v>
      </c>
      <c r="E437" s="55" t="s">
        <v>950</v>
      </c>
      <c r="F437" s="171" t="str">
        <f>HYPERLINK("https://www.tribunnews.com/internasional/2019/11/23/911-sempat-abaikan-perempuan-yang-pesan-pizza-akhirnya-selamatkan-ibu-yang-jadi-korban-kdrt","sumber")</f>
        <v>sumber</v>
      </c>
      <c r="G437" s="55" t="s">
        <v>33</v>
      </c>
      <c r="H437" s="415">
        <v>189.0</v>
      </c>
      <c r="I437" s="55">
        <v>2.0</v>
      </c>
      <c r="J437" s="55">
        <v>1.0</v>
      </c>
      <c r="K437" s="172"/>
      <c r="L437" s="55">
        <v>0.0</v>
      </c>
      <c r="M437" s="55">
        <v>0.0</v>
      </c>
      <c r="N437" s="173">
        <v>0.0</v>
      </c>
      <c r="O437" s="173">
        <v>0.0</v>
      </c>
      <c r="P437" s="55">
        <v>0.0</v>
      </c>
      <c r="Q437" s="55"/>
      <c r="R437" s="55"/>
      <c r="S437" s="174"/>
      <c r="T437" s="55">
        <v>0.0</v>
      </c>
      <c r="U437" s="55">
        <v>0.0</v>
      </c>
      <c r="V437" s="55">
        <v>1.0</v>
      </c>
      <c r="W437" s="46"/>
      <c r="X437" s="46"/>
      <c r="Y437" s="46"/>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c r="BA437" s="31"/>
      <c r="BB437" s="31"/>
      <c r="BC437" s="31"/>
      <c r="BD437" s="31"/>
      <c r="BE437" s="31"/>
    </row>
    <row r="438">
      <c r="A438" s="222">
        <v>2.0</v>
      </c>
      <c r="B438" s="411" t="s">
        <v>5522</v>
      </c>
      <c r="C438" s="47">
        <v>434.0</v>
      </c>
      <c r="D438" s="48"/>
      <c r="E438" s="47" t="s">
        <v>958</v>
      </c>
      <c r="F438" s="156" t="str">
        <f>HYPERLINK("https://khazanah.republika.co.id/berita/q1gtab313/menjadi-imam-shalat-apa-kriterianya ","sumber")</f>
        <v>sumber</v>
      </c>
      <c r="G438" s="47" t="s">
        <v>33</v>
      </c>
      <c r="H438" s="412">
        <v>721.0</v>
      </c>
      <c r="I438" s="48"/>
      <c r="J438" s="48"/>
      <c r="K438" s="165"/>
      <c r="L438" s="48"/>
      <c r="M438" s="48"/>
      <c r="N438" s="48"/>
      <c r="O438" s="48"/>
      <c r="P438" s="48"/>
      <c r="Q438" s="48"/>
      <c r="R438" s="48"/>
      <c r="S438" s="165"/>
      <c r="T438" s="48"/>
      <c r="U438" s="48"/>
      <c r="V438" s="48"/>
      <c r="W438" s="48"/>
      <c r="X438" s="48"/>
      <c r="Y438" s="48"/>
      <c r="Z438" s="338"/>
      <c r="AA438" s="51"/>
      <c r="AB438" s="51"/>
      <c r="AC438" s="51"/>
      <c r="AD438" s="51"/>
      <c r="AE438" s="51"/>
      <c r="AF438" s="51"/>
      <c r="AG438" s="51"/>
      <c r="AH438" s="51"/>
      <c r="AI438" s="51"/>
      <c r="AJ438" s="51"/>
      <c r="AK438" s="51"/>
      <c r="AL438" s="51"/>
      <c r="AM438" s="51"/>
      <c r="AN438" s="51"/>
      <c r="AO438" s="51"/>
      <c r="AP438" s="51"/>
      <c r="AQ438" s="51"/>
      <c r="AR438" s="51"/>
      <c r="AS438" s="51"/>
      <c r="AT438" s="51"/>
      <c r="AU438" s="51"/>
      <c r="AV438" s="51"/>
      <c r="AW438" s="51"/>
      <c r="AX438" s="51"/>
      <c r="AY438" s="51"/>
      <c r="AZ438" s="51"/>
      <c r="BA438" s="51"/>
      <c r="BB438" s="51"/>
      <c r="BC438" s="51"/>
      <c r="BD438" s="51"/>
      <c r="BE438" s="51"/>
    </row>
    <row r="439">
      <c r="A439" s="222">
        <v>2.0</v>
      </c>
      <c r="B439" s="411" t="s">
        <v>5523</v>
      </c>
      <c r="C439" s="47">
        <v>435.0</v>
      </c>
      <c r="D439" s="48"/>
      <c r="E439" s="47" t="s">
        <v>958</v>
      </c>
      <c r="F439" s="156" t="str">
        <f>HYPERLINK("https://tirto.id/apakah-vagabond-ada-season-2-usai-episode-16-raih-rating-tinggi-emeG ","sumber")</f>
        <v>sumber</v>
      </c>
      <c r="G439" s="47" t="s">
        <v>33</v>
      </c>
      <c r="H439" s="412">
        <v>485.0</v>
      </c>
      <c r="I439" s="48"/>
      <c r="J439" s="48"/>
      <c r="K439" s="165"/>
      <c r="L439" s="48"/>
      <c r="M439" s="48"/>
      <c r="N439" s="48"/>
      <c r="O439" s="48"/>
      <c r="P439" s="48"/>
      <c r="Q439" s="48"/>
      <c r="R439" s="48"/>
      <c r="S439" s="165"/>
      <c r="T439" s="48"/>
      <c r="U439" s="48"/>
      <c r="V439" s="48"/>
      <c r="W439" s="48"/>
      <c r="X439" s="48"/>
      <c r="Y439" s="48"/>
      <c r="Z439" s="338"/>
      <c r="AA439" s="51"/>
      <c r="AB439" s="51"/>
      <c r="AC439" s="51"/>
      <c r="AD439" s="51"/>
      <c r="AE439" s="51"/>
      <c r="AF439" s="51"/>
      <c r="AG439" s="51"/>
      <c r="AH439" s="51"/>
      <c r="AI439" s="51"/>
      <c r="AJ439" s="51"/>
      <c r="AK439" s="51"/>
      <c r="AL439" s="51"/>
      <c r="AM439" s="51"/>
      <c r="AN439" s="51"/>
      <c r="AO439" s="51"/>
      <c r="AP439" s="51"/>
      <c r="AQ439" s="51"/>
      <c r="AR439" s="51"/>
      <c r="AS439" s="51"/>
      <c r="AT439" s="51"/>
      <c r="AU439" s="51"/>
      <c r="AV439" s="51"/>
      <c r="AW439" s="51"/>
      <c r="AX439" s="51"/>
      <c r="AY439" s="51"/>
      <c r="AZ439" s="51"/>
      <c r="BA439" s="51"/>
      <c r="BB439" s="51"/>
      <c r="BC439" s="51"/>
      <c r="BD439" s="51"/>
      <c r="BE439" s="51"/>
    </row>
    <row r="440">
      <c r="A440" s="222">
        <v>2.0</v>
      </c>
      <c r="B440" s="411" t="s">
        <v>5524</v>
      </c>
      <c r="C440" s="47">
        <v>436.0</v>
      </c>
      <c r="D440" s="48"/>
      <c r="E440" s="354">
        <v>43811.0</v>
      </c>
      <c r="F440" s="156" t="str">
        <f>HYPERLINK("https://www.cnnindonesia.com/olahraga/20191212195653-142-456501/ronaldo-bentak-fan-penyusup-di-liga-champions ","sumber")</f>
        <v>sumber</v>
      </c>
      <c r="G440" s="47" t="s">
        <v>33</v>
      </c>
      <c r="H440" s="412">
        <v>249.0</v>
      </c>
      <c r="I440" s="48"/>
      <c r="J440" s="48"/>
      <c r="K440" s="165"/>
      <c r="L440" s="48"/>
      <c r="M440" s="48"/>
      <c r="N440" s="48"/>
      <c r="O440" s="48"/>
      <c r="P440" s="48"/>
      <c r="Q440" s="48"/>
      <c r="R440" s="48"/>
      <c r="S440" s="165"/>
      <c r="T440" s="48"/>
      <c r="U440" s="48"/>
      <c r="V440" s="48"/>
      <c r="W440" s="48"/>
      <c r="X440" s="48"/>
      <c r="Y440" s="48"/>
      <c r="Z440" s="338"/>
      <c r="AA440" s="51"/>
      <c r="AB440" s="51"/>
      <c r="AC440" s="51"/>
      <c r="AD440" s="51"/>
      <c r="AE440" s="51"/>
      <c r="AF440" s="51"/>
      <c r="AG440" s="51"/>
      <c r="AH440" s="51"/>
      <c r="AI440" s="51"/>
      <c r="AJ440" s="51"/>
      <c r="AK440" s="51"/>
      <c r="AL440" s="51"/>
      <c r="AM440" s="51"/>
      <c r="AN440" s="51"/>
      <c r="AO440" s="51"/>
      <c r="AP440" s="51"/>
      <c r="AQ440" s="51"/>
      <c r="AR440" s="51"/>
      <c r="AS440" s="51"/>
      <c r="AT440" s="51"/>
      <c r="AU440" s="51"/>
      <c r="AV440" s="51"/>
      <c r="AW440" s="51"/>
      <c r="AX440" s="51"/>
      <c r="AY440" s="51"/>
      <c r="AZ440" s="51"/>
      <c r="BA440" s="51"/>
      <c r="BB440" s="51"/>
      <c r="BC440" s="51"/>
      <c r="BD440" s="51"/>
      <c r="BE440" s="51"/>
    </row>
    <row r="441">
      <c r="A441" s="416">
        <v>1.0</v>
      </c>
      <c r="B441" s="417" t="s">
        <v>5525</v>
      </c>
      <c r="C441" s="79">
        <v>437.0</v>
      </c>
      <c r="D441" s="418">
        <v>8.0</v>
      </c>
      <c r="E441" s="418" t="s">
        <v>4783</v>
      </c>
      <c r="F441" s="419" t="str">
        <f>HYPERLINK("https://www.suara.com/lifestyle/2019/12/13/142610/menolak-dikasihani-penjual-makanan-berkursi-roda-saya-bukan-pengemis ","sumber")</f>
        <v>sumber</v>
      </c>
      <c r="G441" s="418" t="s">
        <v>33</v>
      </c>
      <c r="H441" s="420">
        <v>171.0</v>
      </c>
      <c r="I441" s="418">
        <v>2.0</v>
      </c>
      <c r="J441" s="418">
        <v>2.0</v>
      </c>
      <c r="K441" s="421"/>
      <c r="L441" s="418">
        <v>0.0</v>
      </c>
      <c r="M441" s="418">
        <v>0.0</v>
      </c>
      <c r="N441" s="422">
        <v>0.0</v>
      </c>
      <c r="O441" s="422">
        <v>0.0</v>
      </c>
      <c r="P441" s="418">
        <v>0.0</v>
      </c>
      <c r="Q441" s="418"/>
      <c r="R441" s="418"/>
      <c r="S441" s="423"/>
      <c r="T441" s="418">
        <v>0.0</v>
      </c>
      <c r="U441" s="418">
        <v>0.0</v>
      </c>
      <c r="V441" s="418">
        <v>0.0</v>
      </c>
      <c r="W441" s="424"/>
      <c r="X441" s="424"/>
      <c r="Y441" s="424"/>
      <c r="Z441" s="425"/>
      <c r="AA441" s="425"/>
      <c r="AB441" s="425"/>
      <c r="AC441" s="425"/>
      <c r="AD441" s="425"/>
      <c r="AE441" s="425"/>
      <c r="AF441" s="425"/>
      <c r="AG441" s="425"/>
      <c r="AH441" s="425"/>
      <c r="AI441" s="425"/>
      <c r="AJ441" s="425"/>
      <c r="AK441" s="425"/>
      <c r="AL441" s="425"/>
      <c r="AM441" s="425"/>
      <c r="AN441" s="425"/>
      <c r="AO441" s="425"/>
      <c r="AP441" s="425"/>
      <c r="AQ441" s="425"/>
      <c r="AR441" s="425"/>
      <c r="AS441" s="425"/>
      <c r="AT441" s="425"/>
      <c r="AU441" s="425"/>
      <c r="AV441" s="425"/>
      <c r="AW441" s="425"/>
      <c r="AX441" s="425"/>
      <c r="AY441" s="425"/>
      <c r="AZ441" s="425"/>
      <c r="BA441" s="425"/>
      <c r="BB441" s="425"/>
      <c r="BC441" s="425"/>
      <c r="BD441" s="425"/>
      <c r="BE441" s="425"/>
    </row>
    <row r="442">
      <c r="A442" s="426">
        <v>1.0</v>
      </c>
      <c r="B442" s="414" t="s">
        <v>5526</v>
      </c>
      <c r="C442" s="55">
        <v>438.0</v>
      </c>
      <c r="D442" s="55">
        <v>4.0</v>
      </c>
      <c r="E442" s="55" t="s">
        <v>970</v>
      </c>
      <c r="F442" s="171" t="str">
        <f>HYPERLINK("https://www.liputan6.com/health/read/4138750/penyandang-autisme-memiliki-kesehatan-yang-rentan","sumber")</f>
        <v>sumber</v>
      </c>
      <c r="G442" s="55" t="s">
        <v>33</v>
      </c>
      <c r="H442" s="415">
        <v>868.0</v>
      </c>
      <c r="I442" s="55">
        <v>2.0</v>
      </c>
      <c r="J442" s="55">
        <v>2.0</v>
      </c>
      <c r="K442" s="172" t="s">
        <v>5527</v>
      </c>
      <c r="L442" s="55">
        <v>0.0</v>
      </c>
      <c r="M442" s="55">
        <v>0.0</v>
      </c>
      <c r="N442" s="173">
        <v>0.0</v>
      </c>
      <c r="O442" s="173">
        <v>0.0</v>
      </c>
      <c r="P442" s="55">
        <v>0.0</v>
      </c>
      <c r="Q442" s="55">
        <v>0.0</v>
      </c>
      <c r="R442" s="55">
        <v>0.0</v>
      </c>
      <c r="S442" s="174"/>
      <c r="T442" s="55">
        <v>0.0</v>
      </c>
      <c r="U442" s="55">
        <v>0.0</v>
      </c>
      <c r="V442" s="55">
        <v>0.0</v>
      </c>
      <c r="W442" s="46"/>
      <c r="X442" s="46"/>
      <c r="Y442" s="46"/>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c r="BA442" s="31"/>
      <c r="BB442" s="31"/>
      <c r="BC442" s="31"/>
      <c r="BD442" s="31"/>
      <c r="BE442" s="31"/>
    </row>
    <row r="443">
      <c r="A443" s="416">
        <v>1.0</v>
      </c>
      <c r="B443" s="417" t="s">
        <v>3903</v>
      </c>
      <c r="C443" s="79">
        <v>439.0</v>
      </c>
      <c r="D443" s="418">
        <v>1.0</v>
      </c>
      <c r="E443" s="418" t="s">
        <v>4787</v>
      </c>
      <c r="F443" s="419" t="str">
        <f>HYPERLINK("https://hot.detik.com/art/d-4824356/seniman-perempuan-irak-bangkit-bikin-mural-di-tembok-baghdad ","sumber")</f>
        <v>sumber</v>
      </c>
      <c r="G443" s="418" t="s">
        <v>33</v>
      </c>
      <c r="H443" s="420">
        <v>1883.0</v>
      </c>
      <c r="I443" s="418">
        <v>2.0</v>
      </c>
      <c r="J443" s="418">
        <v>1.0</v>
      </c>
      <c r="K443" s="421"/>
      <c r="L443" s="418">
        <v>0.0</v>
      </c>
      <c r="M443" s="418">
        <v>0.0</v>
      </c>
      <c r="N443" s="422">
        <v>0.0</v>
      </c>
      <c r="O443" s="422">
        <v>0.0</v>
      </c>
      <c r="P443" s="418">
        <v>0.0</v>
      </c>
      <c r="Q443" s="418"/>
      <c r="R443" s="418"/>
      <c r="S443" s="423"/>
      <c r="T443" s="418">
        <v>0.0</v>
      </c>
      <c r="U443" s="418">
        <v>0.0</v>
      </c>
      <c r="V443" s="418">
        <v>1.0</v>
      </c>
      <c r="W443" s="424"/>
      <c r="X443" s="424"/>
      <c r="Y443" s="424"/>
      <c r="Z443" s="425"/>
      <c r="AA443" s="425"/>
      <c r="AB443" s="425"/>
      <c r="AC443" s="425"/>
      <c r="AD443" s="425"/>
      <c r="AE443" s="425"/>
      <c r="AF443" s="425"/>
      <c r="AG443" s="425"/>
      <c r="AH443" s="425"/>
      <c r="AI443" s="425"/>
      <c r="AJ443" s="425"/>
      <c r="AK443" s="425"/>
      <c r="AL443" s="425"/>
      <c r="AM443" s="425"/>
      <c r="AN443" s="425"/>
      <c r="AO443" s="425"/>
      <c r="AP443" s="425"/>
      <c r="AQ443" s="425"/>
      <c r="AR443" s="425"/>
      <c r="AS443" s="425"/>
      <c r="AT443" s="425"/>
      <c r="AU443" s="425"/>
      <c r="AV443" s="425"/>
      <c r="AW443" s="425"/>
      <c r="AX443" s="425"/>
      <c r="AY443" s="425"/>
      <c r="AZ443" s="425"/>
      <c r="BA443" s="425"/>
      <c r="BB443" s="425"/>
      <c r="BC443" s="425"/>
      <c r="BD443" s="425"/>
      <c r="BE443" s="425"/>
    </row>
    <row r="444">
      <c r="A444" s="426">
        <v>1.0</v>
      </c>
      <c r="B444" s="414" t="s">
        <v>5528</v>
      </c>
      <c r="C444" s="55">
        <v>440.0</v>
      </c>
      <c r="D444" s="55">
        <v>1.0</v>
      </c>
      <c r="E444" s="55" t="s">
        <v>907</v>
      </c>
      <c r="F444" s="171" t="str">
        <f>HYPERLINK("https://sport.detik.com/sport-lain/d-4826645/bonus-dari-pemkab-batal-cair-8-atlet-difabel-cianjur-pindah-daerah","sumber")</f>
        <v>sumber</v>
      </c>
      <c r="G444" s="55" t="s">
        <v>33</v>
      </c>
      <c r="H444" s="415">
        <v>225.0</v>
      </c>
      <c r="I444" s="55">
        <v>2.0</v>
      </c>
      <c r="J444" s="55">
        <v>2.0</v>
      </c>
      <c r="K444" s="172" t="s">
        <v>5529</v>
      </c>
      <c r="L444" s="55">
        <v>0.0</v>
      </c>
      <c r="M444" s="55">
        <v>0.0</v>
      </c>
      <c r="N444" s="173">
        <v>0.0</v>
      </c>
      <c r="O444" s="173">
        <v>0.0</v>
      </c>
      <c r="P444" s="55">
        <v>0.0</v>
      </c>
      <c r="Q444" s="55">
        <v>0.0</v>
      </c>
      <c r="R444" s="55">
        <v>1.0</v>
      </c>
      <c r="S444" s="174"/>
      <c r="T444" s="55">
        <v>0.0</v>
      </c>
      <c r="U444" s="55">
        <v>0.0</v>
      </c>
      <c r="V444" s="55">
        <v>1.0</v>
      </c>
      <c r="W444" s="46"/>
      <c r="X444" s="46"/>
      <c r="Y444" s="46"/>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c r="BA444" s="31"/>
      <c r="BB444" s="31"/>
      <c r="BC444" s="31"/>
      <c r="BD444" s="31"/>
      <c r="BE444" s="31"/>
    </row>
    <row r="445">
      <c r="A445" s="426">
        <v>1.0</v>
      </c>
      <c r="B445" s="414" t="s">
        <v>5530</v>
      </c>
      <c r="C445" s="55">
        <v>441.0</v>
      </c>
      <c r="D445" s="55">
        <v>9.0</v>
      </c>
      <c r="E445" s="55" t="s">
        <v>893</v>
      </c>
      <c r="F445" s="171" t="str">
        <f>HYPERLINK("https://republika.co.id/berita/q329lh366/wanita-dengan-gangguan-jiwa-ditemukan-tenggelam","sumber")</f>
        <v>sumber</v>
      </c>
      <c r="G445" s="55" t="s">
        <v>33</v>
      </c>
      <c r="H445" s="415">
        <v>162.0</v>
      </c>
      <c r="I445" s="55">
        <v>2.0</v>
      </c>
      <c r="J445" s="55">
        <v>2.0</v>
      </c>
      <c r="K445" s="172" t="s">
        <v>5531</v>
      </c>
      <c r="L445" s="55">
        <v>0.0</v>
      </c>
      <c r="M445" s="55">
        <v>0.0</v>
      </c>
      <c r="N445" s="173">
        <v>0.0</v>
      </c>
      <c r="O445" s="173">
        <v>0.0</v>
      </c>
      <c r="P445" s="55">
        <v>0.0</v>
      </c>
      <c r="Q445" s="55" t="s">
        <v>61</v>
      </c>
      <c r="R445" s="55" t="s">
        <v>685</v>
      </c>
      <c r="S445" s="172" t="s">
        <v>5532</v>
      </c>
      <c r="T445" s="55">
        <v>2.0</v>
      </c>
      <c r="U445" s="55">
        <v>-1.0</v>
      </c>
      <c r="V445" s="55">
        <v>0.0</v>
      </c>
      <c r="W445" s="46"/>
      <c r="X445" s="46"/>
      <c r="Y445" s="46"/>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c r="BA445" s="31"/>
      <c r="BB445" s="31"/>
      <c r="BC445" s="31"/>
      <c r="BD445" s="31"/>
      <c r="BE445" s="31"/>
    </row>
    <row r="446">
      <c r="A446" s="413">
        <v>1.0</v>
      </c>
      <c r="B446" s="409" t="s">
        <v>5533</v>
      </c>
      <c r="C446" s="79">
        <v>442.0</v>
      </c>
      <c r="D446" s="79">
        <v>2.0</v>
      </c>
      <c r="E446" s="79" t="s">
        <v>896</v>
      </c>
      <c r="F446" s="293" t="str">
        <f>HYPERLINK("https://www.cnnindonesia.com/gaya-hidup/20191218144122-277-458053/miss-universe-2019-sempat-tak-pede-saat-tampil ","sumber")</f>
        <v>sumber</v>
      </c>
      <c r="G446" s="79" t="s">
        <v>33</v>
      </c>
      <c r="H446" s="410">
        <v>392.0</v>
      </c>
      <c r="I446" s="79">
        <v>2.0</v>
      </c>
      <c r="J446" s="79">
        <v>2.0</v>
      </c>
      <c r="K446" s="191" t="s">
        <v>5534</v>
      </c>
      <c r="L446" s="79">
        <v>0.0</v>
      </c>
      <c r="M446" s="79">
        <v>0.0</v>
      </c>
      <c r="N446" s="364">
        <v>0.0</v>
      </c>
      <c r="O446" s="364">
        <v>0.0</v>
      </c>
      <c r="P446" s="79">
        <v>0.0</v>
      </c>
      <c r="Q446" s="79">
        <v>2.0</v>
      </c>
      <c r="R446" s="79">
        <v>1.0</v>
      </c>
      <c r="S446" s="191" t="s">
        <v>5532</v>
      </c>
      <c r="T446" s="79">
        <v>2.0</v>
      </c>
      <c r="U446" s="79">
        <v>-1.0</v>
      </c>
      <c r="V446" s="79">
        <v>0.0</v>
      </c>
      <c r="W446" s="63"/>
      <c r="X446" s="63"/>
      <c r="Y446" s="63"/>
      <c r="Z446" s="295"/>
      <c r="AA446" s="295"/>
      <c r="AB446" s="295"/>
      <c r="AC446" s="295"/>
      <c r="AD446" s="295"/>
      <c r="AE446" s="295"/>
      <c r="AF446" s="295"/>
      <c r="AG446" s="295"/>
      <c r="AH446" s="295"/>
      <c r="AI446" s="295"/>
      <c r="AJ446" s="295"/>
      <c r="AK446" s="295"/>
      <c r="AL446" s="295"/>
      <c r="AM446" s="295"/>
      <c r="AN446" s="295"/>
      <c r="AO446" s="295"/>
      <c r="AP446" s="295"/>
      <c r="AQ446" s="295"/>
      <c r="AR446" s="295"/>
      <c r="AS446" s="295"/>
      <c r="AT446" s="295"/>
      <c r="AU446" s="295"/>
      <c r="AV446" s="295"/>
      <c r="AW446" s="295"/>
      <c r="AX446" s="295"/>
      <c r="AY446" s="295"/>
      <c r="AZ446" s="295"/>
      <c r="BA446" s="295"/>
      <c r="BB446" s="295"/>
      <c r="BC446" s="295"/>
      <c r="BD446" s="295"/>
      <c r="BE446" s="295"/>
    </row>
    <row r="447">
      <c r="A447" s="416">
        <v>1.0</v>
      </c>
      <c r="B447" s="417" t="s">
        <v>2759</v>
      </c>
      <c r="C447" s="79">
        <v>443.0</v>
      </c>
      <c r="D447" s="418">
        <v>9.0</v>
      </c>
      <c r="E447" s="418" t="s">
        <v>896</v>
      </c>
      <c r="F447" s="419" t="str">
        <f>HYPERLINK("https://nasional.republika.co.id/berita/q2taox409/perusak-quran-jadi-tersangka-didiagnosis-idap-skizofrenia ","sumber")</f>
        <v>sumber</v>
      </c>
      <c r="G447" s="418" t="s">
        <v>33</v>
      </c>
      <c r="H447" s="420">
        <v>9.0</v>
      </c>
      <c r="I447" s="418">
        <v>1.0</v>
      </c>
      <c r="J447" s="418">
        <v>2.0</v>
      </c>
      <c r="K447" s="421" t="s">
        <v>5535</v>
      </c>
      <c r="L447" s="418">
        <v>0.0</v>
      </c>
      <c r="M447" s="418">
        <v>0.0</v>
      </c>
      <c r="N447" s="422">
        <v>0.0</v>
      </c>
      <c r="O447" s="422">
        <v>0.0</v>
      </c>
      <c r="P447" s="418">
        <v>0.0</v>
      </c>
      <c r="Q447" s="418" t="s">
        <v>53</v>
      </c>
      <c r="R447" s="418" t="s">
        <v>2230</v>
      </c>
      <c r="S447" s="421" t="s">
        <v>5532</v>
      </c>
      <c r="T447" s="418">
        <v>2.0</v>
      </c>
      <c r="U447" s="418">
        <v>0.0</v>
      </c>
      <c r="V447" s="418">
        <v>0.0</v>
      </c>
      <c r="W447" s="424"/>
      <c r="X447" s="424"/>
      <c r="Y447" s="424"/>
      <c r="Z447" s="425"/>
      <c r="AA447" s="425"/>
      <c r="AB447" s="425"/>
      <c r="AC447" s="425"/>
      <c r="AD447" s="425"/>
      <c r="AE447" s="425"/>
      <c r="AF447" s="425"/>
      <c r="AG447" s="425"/>
      <c r="AH447" s="425"/>
      <c r="AI447" s="425"/>
      <c r="AJ447" s="425"/>
      <c r="AK447" s="425"/>
      <c r="AL447" s="425"/>
      <c r="AM447" s="425"/>
      <c r="AN447" s="425"/>
      <c r="AO447" s="425"/>
      <c r="AP447" s="425"/>
      <c r="AQ447" s="425"/>
      <c r="AR447" s="425"/>
      <c r="AS447" s="425"/>
      <c r="AT447" s="425"/>
      <c r="AU447" s="425"/>
      <c r="AV447" s="425"/>
      <c r="AW447" s="425"/>
      <c r="AX447" s="425"/>
      <c r="AY447" s="425"/>
      <c r="AZ447" s="425"/>
      <c r="BA447" s="425"/>
      <c r="BB447" s="425"/>
      <c r="BC447" s="425"/>
      <c r="BD447" s="425"/>
      <c r="BE447" s="425"/>
    </row>
    <row r="448">
      <c r="A448" s="254">
        <v>1.0</v>
      </c>
      <c r="B448" s="68" t="s">
        <v>5536</v>
      </c>
      <c r="C448" s="55">
        <v>444.0</v>
      </c>
      <c r="D448" s="55">
        <v>2.0</v>
      </c>
      <c r="E448" s="55" t="s">
        <v>899</v>
      </c>
      <c r="F448" s="171" t="str">
        <f>HYPERLINK("https://www.cnnindonesia.com/olahraga/20191220181755-178-458793/filipina-tunda-asean-para-games-menjadi-maret-2020 ","sumber")</f>
        <v>sumber</v>
      </c>
      <c r="G448" s="55" t="s">
        <v>33</v>
      </c>
      <c r="H448" s="415">
        <v>355.0</v>
      </c>
      <c r="I448" s="55">
        <v>3.0</v>
      </c>
      <c r="J448" s="55">
        <v>2.0</v>
      </c>
      <c r="K448" s="172" t="s">
        <v>5537</v>
      </c>
      <c r="L448" s="55">
        <v>0.0</v>
      </c>
      <c r="M448" s="55">
        <v>0.0</v>
      </c>
      <c r="N448" s="55">
        <v>0.0</v>
      </c>
      <c r="O448" s="55">
        <v>0.0</v>
      </c>
      <c r="P448" s="55">
        <v>0.0</v>
      </c>
      <c r="Q448" s="55" t="s">
        <v>61</v>
      </c>
      <c r="R448" s="55" t="s">
        <v>61</v>
      </c>
      <c r="S448" s="174"/>
      <c r="T448" s="55">
        <v>0.0</v>
      </c>
      <c r="U448" s="55">
        <v>0.0</v>
      </c>
      <c r="V448" s="55">
        <v>0.0</v>
      </c>
      <c r="W448" s="46"/>
      <c r="X448" s="46"/>
      <c r="Y448" s="46"/>
      <c r="Z448" s="31"/>
      <c r="AA448" s="31"/>
      <c r="AB448" s="31"/>
      <c r="AC448" s="31"/>
      <c r="AD448" s="31"/>
      <c r="AE448" s="31"/>
      <c r="AF448" s="31"/>
      <c r="AG448" s="31"/>
      <c r="AH448" s="437"/>
      <c r="AI448" s="31"/>
      <c r="AJ448" s="31"/>
      <c r="AK448" s="31"/>
      <c r="AL448" s="31"/>
      <c r="AM448" s="31"/>
      <c r="AN448" s="31"/>
      <c r="AO448" s="31"/>
      <c r="AP448" s="31"/>
      <c r="AQ448" s="31"/>
      <c r="AR448" s="31"/>
      <c r="AS448" s="31"/>
      <c r="AT448" s="31"/>
      <c r="AU448" s="31"/>
      <c r="AV448" s="31"/>
      <c r="AW448" s="31"/>
      <c r="AX448" s="31"/>
      <c r="AY448" s="31"/>
      <c r="AZ448" s="31"/>
      <c r="BA448" s="31"/>
      <c r="BB448" s="31"/>
      <c r="BC448" s="31"/>
      <c r="BD448" s="31"/>
      <c r="BE448" s="31"/>
    </row>
    <row r="449">
      <c r="A449" s="222">
        <v>2.0</v>
      </c>
      <c r="B449" s="411" t="s">
        <v>5538</v>
      </c>
      <c r="C449" s="47">
        <v>445.0</v>
      </c>
      <c r="D449" s="48"/>
      <c r="E449" s="47" t="s">
        <v>902</v>
      </c>
      <c r="F449" s="156" t="str">
        <f>HYPERLINK("https://www.liputan6.com/showbiz/read/4139743/maudy-ayunda-deg-degan-disuruh-menyanyi-di-meet-and-greet-habibie-amp-ainun-3 ","sumber")</f>
        <v>sumber</v>
      </c>
      <c r="G449" s="47" t="s">
        <v>33</v>
      </c>
      <c r="H449" s="412">
        <v>284.0</v>
      </c>
      <c r="I449" s="48"/>
      <c r="J449" s="48"/>
      <c r="K449" s="165"/>
      <c r="L449" s="48"/>
      <c r="M449" s="48"/>
      <c r="N449" s="48"/>
      <c r="O449" s="48"/>
      <c r="P449" s="48"/>
      <c r="Q449" s="48"/>
      <c r="R449" s="48"/>
      <c r="S449" s="165"/>
      <c r="T449" s="48"/>
      <c r="U449" s="48"/>
      <c r="V449" s="48"/>
      <c r="W449" s="48"/>
      <c r="X449" s="48"/>
      <c r="Y449" s="48"/>
      <c r="Z449" s="338"/>
      <c r="AA449" s="51"/>
      <c r="AB449" s="51"/>
      <c r="AC449" s="51"/>
      <c r="AD449" s="51"/>
      <c r="AE449" s="51"/>
      <c r="AF449" s="51"/>
      <c r="AG449" s="51"/>
      <c r="AH449" s="51"/>
      <c r="AI449" s="51"/>
      <c r="AJ449" s="51"/>
      <c r="AK449" s="51"/>
      <c r="AL449" s="51"/>
      <c r="AM449" s="51"/>
      <c r="AN449" s="51"/>
      <c r="AO449" s="51"/>
      <c r="AP449" s="51"/>
      <c r="AQ449" s="51"/>
      <c r="AR449" s="51"/>
      <c r="AS449" s="51"/>
      <c r="AT449" s="51"/>
      <c r="AU449" s="51"/>
      <c r="AV449" s="51"/>
      <c r="AW449" s="51"/>
      <c r="AX449" s="51"/>
      <c r="AY449" s="51"/>
      <c r="AZ449" s="51"/>
      <c r="BA449" s="51"/>
      <c r="BB449" s="51"/>
      <c r="BC449" s="51"/>
      <c r="BD449" s="51"/>
      <c r="BE449" s="51"/>
    </row>
    <row r="450">
      <c r="A450" s="426">
        <v>1.0</v>
      </c>
      <c r="B450" s="414" t="s">
        <v>5539</v>
      </c>
      <c r="C450" s="55">
        <v>446.0</v>
      </c>
      <c r="D450" s="55">
        <v>8.0</v>
      </c>
      <c r="E450" s="55" t="s">
        <v>5481</v>
      </c>
      <c r="F450" s="171" t="str">
        <f>HYPERLINK("https://www.suara.com/yoursay/2019/12/19/151548/kurangnya-kesadaran-masyarakat-terhadap-fasilitas-disabilitas","sumber")</f>
        <v>sumber</v>
      </c>
      <c r="G450" s="55" t="s">
        <v>33</v>
      </c>
      <c r="H450" s="415">
        <v>661.0</v>
      </c>
      <c r="I450" s="55">
        <v>4.0</v>
      </c>
      <c r="J450" s="55">
        <v>2.0</v>
      </c>
      <c r="K450" s="172" t="s">
        <v>5540</v>
      </c>
      <c r="L450" s="55">
        <v>0.0</v>
      </c>
      <c r="M450" s="55">
        <v>0.0</v>
      </c>
      <c r="N450" s="173">
        <v>0.0</v>
      </c>
      <c r="O450" s="173">
        <v>0.0</v>
      </c>
      <c r="P450" s="55">
        <v>0.0</v>
      </c>
      <c r="Q450" s="55">
        <v>0.0</v>
      </c>
      <c r="R450" s="55">
        <v>1.0</v>
      </c>
      <c r="S450" s="174"/>
      <c r="T450" s="55">
        <v>0.0</v>
      </c>
      <c r="U450" s="55">
        <v>0.0</v>
      </c>
      <c r="V450" s="55">
        <v>1.0</v>
      </c>
      <c r="W450" s="46"/>
      <c r="X450" s="46"/>
      <c r="Y450" s="46"/>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c r="BA450" s="31"/>
      <c r="BB450" s="31"/>
      <c r="BC450" s="31"/>
      <c r="BD450" s="31"/>
      <c r="BE450" s="31"/>
    </row>
    <row r="451">
      <c r="A451" s="416">
        <v>1.0</v>
      </c>
      <c r="B451" s="417" t="s">
        <v>5541</v>
      </c>
      <c r="C451" s="79">
        <v>447.0</v>
      </c>
      <c r="D451" s="418">
        <v>1.0</v>
      </c>
      <c r="E451" s="427">
        <v>43534.0</v>
      </c>
      <c r="F451" s="419" t="str">
        <f>HYPERLINK("https://hot.detik.com/celeb/d-4732064/seram-dua-hari-usai-bunuh-diri-aktris-ini-berkicau-di-twitter ","sumber")</f>
        <v>sumber</v>
      </c>
      <c r="G451" s="418" t="s">
        <v>33</v>
      </c>
      <c r="H451" s="420">
        <v>1551.0</v>
      </c>
      <c r="I451" s="418">
        <v>2.0</v>
      </c>
      <c r="J451" s="418">
        <v>1.0</v>
      </c>
      <c r="K451" s="421" t="s">
        <v>5542</v>
      </c>
      <c r="L451" s="418">
        <v>0.0</v>
      </c>
      <c r="M451" s="418">
        <v>0.0</v>
      </c>
      <c r="N451" s="422">
        <v>0.0</v>
      </c>
      <c r="O451" s="422">
        <v>0.0</v>
      </c>
      <c r="P451" s="418">
        <v>0.0</v>
      </c>
      <c r="Q451" s="418">
        <v>0.0</v>
      </c>
      <c r="R451" s="418">
        <v>0.0</v>
      </c>
      <c r="S451" s="423"/>
      <c r="T451" s="418">
        <v>0.0</v>
      </c>
      <c r="U451" s="418">
        <v>0.0</v>
      </c>
      <c r="V451" s="418">
        <v>1.0</v>
      </c>
      <c r="W451" s="424"/>
      <c r="X451" s="424"/>
      <c r="Y451" s="424"/>
      <c r="Z451" s="425"/>
      <c r="AA451" s="425"/>
      <c r="AB451" s="425"/>
      <c r="AC451" s="425"/>
      <c r="AD451" s="425"/>
      <c r="AE451" s="425"/>
      <c r="AF451" s="425"/>
      <c r="AG451" s="425"/>
      <c r="AH451" s="425"/>
      <c r="AI451" s="425"/>
      <c r="AJ451" s="425"/>
      <c r="AK451" s="425"/>
      <c r="AL451" s="425"/>
      <c r="AM451" s="425"/>
      <c r="AN451" s="425"/>
      <c r="AO451" s="425"/>
      <c r="AP451" s="425"/>
      <c r="AQ451" s="425"/>
      <c r="AR451" s="425"/>
      <c r="AS451" s="425"/>
      <c r="AT451" s="425"/>
      <c r="AU451" s="425"/>
      <c r="AV451" s="425"/>
      <c r="AW451" s="425"/>
      <c r="AX451" s="425"/>
      <c r="AY451" s="425"/>
      <c r="AZ451" s="425"/>
      <c r="BA451" s="425"/>
      <c r="BB451" s="425"/>
      <c r="BC451" s="425"/>
      <c r="BD451" s="425"/>
      <c r="BE451" s="425"/>
    </row>
    <row r="452">
      <c r="A452" s="222">
        <v>2.0</v>
      </c>
      <c r="B452" s="411" t="s">
        <v>1884</v>
      </c>
      <c r="C452" s="47">
        <v>448.0</v>
      </c>
      <c r="D452" s="48"/>
      <c r="E452" s="280">
        <v>43534.0</v>
      </c>
      <c r="F452" s="156" t="str">
        <f>HYPERLINK("https://www.liputan6.com/showbiz/read/4077715/sebelum-joaquin-phoenix-joker-diperankan-3-aktor-kaliber-oscar-ini ","sumber")</f>
        <v>sumber</v>
      </c>
      <c r="G452" s="47" t="s">
        <v>33</v>
      </c>
      <c r="H452" s="412">
        <v>418.0</v>
      </c>
      <c r="I452" s="48"/>
      <c r="J452" s="48"/>
      <c r="K452" s="165"/>
      <c r="L452" s="48"/>
      <c r="M452" s="48"/>
      <c r="N452" s="48"/>
      <c r="O452" s="48"/>
      <c r="P452" s="48"/>
      <c r="Q452" s="48"/>
      <c r="R452" s="48"/>
      <c r="S452" s="165"/>
      <c r="T452" s="48"/>
      <c r="U452" s="48"/>
      <c r="V452" s="48"/>
      <c r="W452" s="48"/>
      <c r="X452" s="48"/>
      <c r="Y452" s="48"/>
      <c r="Z452" s="338"/>
      <c r="AA452" s="51"/>
      <c r="AB452" s="51"/>
      <c r="AC452" s="51"/>
      <c r="AD452" s="51"/>
      <c r="AE452" s="51"/>
      <c r="AF452" s="51"/>
      <c r="AG452" s="51"/>
      <c r="AH452" s="51"/>
      <c r="AI452" s="51"/>
      <c r="AJ452" s="51"/>
      <c r="AK452" s="51"/>
      <c r="AL452" s="51"/>
      <c r="AM452" s="51"/>
      <c r="AN452" s="51"/>
      <c r="AO452" s="51"/>
      <c r="AP452" s="51"/>
      <c r="AQ452" s="51"/>
      <c r="AR452" s="51"/>
      <c r="AS452" s="51"/>
      <c r="AT452" s="51"/>
      <c r="AU452" s="51"/>
      <c r="AV452" s="51"/>
      <c r="AW452" s="51"/>
      <c r="AX452" s="51"/>
      <c r="AY452" s="51"/>
      <c r="AZ452" s="51"/>
      <c r="BA452" s="51"/>
      <c r="BB452" s="51"/>
      <c r="BC452" s="51"/>
      <c r="BD452" s="51"/>
      <c r="BE452" s="51"/>
    </row>
    <row r="453">
      <c r="A453" s="426">
        <v>1.0</v>
      </c>
      <c r="B453" s="414" t="s">
        <v>5543</v>
      </c>
      <c r="C453" s="55">
        <v>449.0</v>
      </c>
      <c r="D453" s="55">
        <v>3.0</v>
      </c>
      <c r="E453" s="344">
        <v>43534.0</v>
      </c>
      <c r="F453" s="171" t="str">
        <f>HYPERLINK("https://news.okezone.com/read/2019/10/03/340/2112194/bocah-6-tahun-tewas-dianiaya-pacar-sesama-jenis-tantenya-di-samarinda","sumber")</f>
        <v>sumber</v>
      </c>
      <c r="G453" s="55" t="s">
        <v>33</v>
      </c>
      <c r="H453" s="415">
        <v>368.0</v>
      </c>
      <c r="I453" s="55">
        <v>1.0</v>
      </c>
      <c r="J453" s="55">
        <v>3.0</v>
      </c>
      <c r="K453" s="172" t="s">
        <v>5544</v>
      </c>
      <c r="L453" s="55">
        <v>0.0</v>
      </c>
      <c r="M453" s="55">
        <v>0.0</v>
      </c>
      <c r="N453" s="173">
        <v>0.0</v>
      </c>
      <c r="O453" s="173">
        <v>0.0</v>
      </c>
      <c r="P453" s="55">
        <v>0.0</v>
      </c>
      <c r="Q453" s="55" t="s">
        <v>210</v>
      </c>
      <c r="R453" s="55" t="s">
        <v>62</v>
      </c>
      <c r="S453" s="174"/>
      <c r="T453" s="55">
        <v>0.0</v>
      </c>
      <c r="U453" s="55">
        <v>0.0</v>
      </c>
      <c r="V453" s="55">
        <v>0.0</v>
      </c>
      <c r="W453" s="46"/>
      <c r="X453" s="46"/>
      <c r="Y453" s="46"/>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c r="BA453" s="31"/>
      <c r="BB453" s="31"/>
      <c r="BC453" s="31"/>
      <c r="BD453" s="31"/>
      <c r="BE453" s="31"/>
    </row>
    <row r="454">
      <c r="A454" s="413">
        <v>1.0</v>
      </c>
      <c r="B454" s="409" t="s">
        <v>5545</v>
      </c>
      <c r="C454" s="79">
        <v>450.0</v>
      </c>
      <c r="D454" s="79">
        <v>5.0</v>
      </c>
      <c r="E454" s="363">
        <v>43534.0</v>
      </c>
      <c r="F454" s="293" t="str">
        <f>HYPERLINK("https://tirto.id/sidang-gugatan-suara-usu-okky-madasari-cerpen-bukan-pornografi-ejaa ","sumber")</f>
        <v>sumber</v>
      </c>
      <c r="G454" s="79" t="s">
        <v>33</v>
      </c>
      <c r="H454" s="410">
        <v>556.0</v>
      </c>
      <c r="I454" s="79">
        <v>4.0</v>
      </c>
      <c r="J454" s="79">
        <v>1.0</v>
      </c>
      <c r="K454" s="191" t="s">
        <v>5546</v>
      </c>
      <c r="L454" s="79">
        <v>0.0</v>
      </c>
      <c r="M454" s="79">
        <v>0.0</v>
      </c>
      <c r="N454" s="364">
        <v>0.0</v>
      </c>
      <c r="O454" s="364">
        <v>0.0</v>
      </c>
      <c r="P454" s="79">
        <v>0.0</v>
      </c>
      <c r="Q454" s="79">
        <v>0.0</v>
      </c>
      <c r="R454" s="79">
        <v>1.0</v>
      </c>
      <c r="S454" s="368"/>
      <c r="T454" s="79">
        <v>0.0</v>
      </c>
      <c r="U454" s="79">
        <v>0.0</v>
      </c>
      <c r="V454" s="79">
        <v>1.0</v>
      </c>
      <c r="W454" s="63"/>
      <c r="X454" s="63"/>
      <c r="Y454" s="63"/>
      <c r="Z454" s="295"/>
      <c r="AA454" s="295"/>
      <c r="AB454" s="295"/>
      <c r="AC454" s="295"/>
      <c r="AD454" s="295"/>
      <c r="AE454" s="295"/>
      <c r="AF454" s="295"/>
      <c r="AG454" s="295"/>
      <c r="AH454" s="295"/>
      <c r="AI454" s="295"/>
      <c r="AJ454" s="295"/>
      <c r="AK454" s="295"/>
      <c r="AL454" s="295"/>
      <c r="AM454" s="295"/>
      <c r="AN454" s="295"/>
      <c r="AO454" s="295"/>
      <c r="AP454" s="295"/>
      <c r="AQ454" s="295"/>
      <c r="AR454" s="295"/>
      <c r="AS454" s="295"/>
      <c r="AT454" s="295"/>
      <c r="AU454" s="295"/>
      <c r="AV454" s="295"/>
      <c r="AW454" s="295"/>
      <c r="AX454" s="295"/>
      <c r="AY454" s="295"/>
      <c r="AZ454" s="295"/>
      <c r="BA454" s="295"/>
      <c r="BB454" s="295"/>
      <c r="BC454" s="295"/>
      <c r="BD454" s="295"/>
      <c r="BE454" s="295"/>
    </row>
    <row r="455">
      <c r="A455" s="416">
        <v>1.0</v>
      </c>
      <c r="B455" s="417" t="s">
        <v>5547</v>
      </c>
      <c r="C455" s="79">
        <v>451.0</v>
      </c>
      <c r="D455" s="418">
        <v>1.0</v>
      </c>
      <c r="E455" s="427">
        <v>43595.0</v>
      </c>
      <c r="F455" s="419" t="str">
        <f>HYPERLINK("https://hot.detik.com/celeb/d-4734442/nyangka-nggak-tessy-bekas-anggota-tni-lo ","sumber")</f>
        <v>sumber</v>
      </c>
      <c r="G455" s="418" t="s">
        <v>33</v>
      </c>
      <c r="H455" s="420">
        <v>316.0</v>
      </c>
      <c r="I455" s="418">
        <v>2.0</v>
      </c>
      <c r="J455" s="418">
        <v>3.0</v>
      </c>
      <c r="K455" s="421"/>
      <c r="L455" s="418">
        <v>-1.0</v>
      </c>
      <c r="M455" s="418">
        <v>0.0</v>
      </c>
      <c r="N455" s="422">
        <v>0.0</v>
      </c>
      <c r="O455" s="422">
        <v>0.0</v>
      </c>
      <c r="P455" s="418">
        <v>0.0</v>
      </c>
      <c r="Q455" s="418"/>
      <c r="R455" s="418"/>
      <c r="S455" s="421" t="s">
        <v>1567</v>
      </c>
      <c r="T455" s="418">
        <v>1.0</v>
      </c>
      <c r="U455" s="418">
        <v>-1.0</v>
      </c>
      <c r="V455" s="418">
        <v>0.0</v>
      </c>
      <c r="W455" s="424"/>
      <c r="X455" s="424"/>
      <c r="Y455" s="424"/>
      <c r="Z455" s="425"/>
      <c r="AA455" s="425"/>
      <c r="AB455" s="425"/>
      <c r="AC455" s="425"/>
      <c r="AD455" s="425"/>
      <c r="AE455" s="425"/>
      <c r="AF455" s="425"/>
      <c r="AG455" s="425"/>
      <c r="AH455" s="425"/>
      <c r="AI455" s="425"/>
      <c r="AJ455" s="425"/>
      <c r="AK455" s="425"/>
      <c r="AL455" s="425"/>
      <c r="AM455" s="425"/>
      <c r="AN455" s="425"/>
      <c r="AO455" s="425"/>
      <c r="AP455" s="425"/>
      <c r="AQ455" s="425"/>
      <c r="AR455" s="425"/>
      <c r="AS455" s="425"/>
      <c r="AT455" s="425"/>
      <c r="AU455" s="425"/>
      <c r="AV455" s="425"/>
      <c r="AW455" s="425"/>
      <c r="AX455" s="425"/>
      <c r="AY455" s="425"/>
      <c r="AZ455" s="425"/>
      <c r="BA455" s="425"/>
      <c r="BB455" s="425"/>
      <c r="BC455" s="425"/>
      <c r="BD455" s="425"/>
      <c r="BE455" s="425"/>
    </row>
    <row r="456">
      <c r="A456" s="413">
        <v>1.0</v>
      </c>
      <c r="B456" s="409" t="s">
        <v>5548</v>
      </c>
      <c r="C456" s="79">
        <v>452.0</v>
      </c>
      <c r="D456" s="79">
        <v>4.0</v>
      </c>
      <c r="E456" s="363">
        <v>43656.0</v>
      </c>
      <c r="F456" s="293" t="str">
        <f>HYPERLINK("https://www.liputan6.com/global/read/4080304/ruu-bayi-tabung-untuk-lesbian-di-prancis-menuai-demonstrasi-ribuan-orang ","sumber")</f>
        <v>sumber</v>
      </c>
      <c r="G456" s="79" t="s">
        <v>33</v>
      </c>
      <c r="H456" s="410">
        <v>431.0</v>
      </c>
      <c r="I456" s="79">
        <v>4.0</v>
      </c>
      <c r="J456" s="79">
        <v>3.0</v>
      </c>
      <c r="K456" s="191"/>
      <c r="L456" s="79">
        <v>0.0</v>
      </c>
      <c r="M456" s="79">
        <v>0.0</v>
      </c>
      <c r="N456" s="364">
        <v>0.0</v>
      </c>
      <c r="O456" s="364">
        <v>0.0</v>
      </c>
      <c r="P456" s="79">
        <v>0.0</v>
      </c>
      <c r="Q456" s="79"/>
      <c r="R456" s="79"/>
      <c r="S456" s="368"/>
      <c r="T456" s="79">
        <v>0.0</v>
      </c>
      <c r="U456" s="79">
        <v>0.0</v>
      </c>
      <c r="V456" s="79">
        <v>1.0</v>
      </c>
      <c r="W456" s="63"/>
      <c r="X456" s="63"/>
      <c r="Y456" s="63"/>
      <c r="Z456" s="295"/>
      <c r="AA456" s="295"/>
      <c r="AB456" s="295"/>
      <c r="AC456" s="295"/>
      <c r="AD456" s="295"/>
      <c r="AE456" s="295"/>
      <c r="AF456" s="295"/>
      <c r="AG456" s="295"/>
      <c r="AH456" s="295"/>
      <c r="AI456" s="295"/>
      <c r="AJ456" s="295"/>
      <c r="AK456" s="295"/>
      <c r="AL456" s="295"/>
      <c r="AM456" s="295"/>
      <c r="AN456" s="295"/>
      <c r="AO456" s="295"/>
      <c r="AP456" s="295"/>
      <c r="AQ456" s="295"/>
      <c r="AR456" s="295"/>
      <c r="AS456" s="295"/>
      <c r="AT456" s="295"/>
      <c r="AU456" s="295"/>
      <c r="AV456" s="295"/>
      <c r="AW456" s="295"/>
      <c r="AX456" s="295"/>
      <c r="AY456" s="295"/>
      <c r="AZ456" s="295"/>
      <c r="BA456" s="295"/>
      <c r="BB456" s="295"/>
      <c r="BC456" s="295"/>
      <c r="BD456" s="295"/>
      <c r="BE456" s="295"/>
    </row>
    <row r="457">
      <c r="A457" s="416">
        <v>1.0</v>
      </c>
      <c r="B457" s="417" t="s">
        <v>5549</v>
      </c>
      <c r="C457" s="79">
        <v>453.0</v>
      </c>
      <c r="D457" s="418">
        <v>4.0</v>
      </c>
      <c r="E457" s="427">
        <v>43687.0</v>
      </c>
      <c r="F457" s="419" t="str">
        <f>HYPERLINK("https://www.liputan6.com/global/read/4081296/video-demonstrasi-menolak-ruu-bayi-tabung-di-paris ","sumber")</f>
        <v>sumber</v>
      </c>
      <c r="G457" s="418" t="s">
        <v>33</v>
      </c>
      <c r="H457" s="420">
        <v>25.0</v>
      </c>
      <c r="I457" s="418">
        <v>4.0</v>
      </c>
      <c r="J457" s="418">
        <v>3.0</v>
      </c>
      <c r="K457" s="421"/>
      <c r="L457" s="418">
        <v>0.0</v>
      </c>
      <c r="M457" s="418">
        <v>0.0</v>
      </c>
      <c r="N457" s="422">
        <v>0.0</v>
      </c>
      <c r="O457" s="422">
        <v>0.0</v>
      </c>
      <c r="P457" s="418">
        <v>0.0</v>
      </c>
      <c r="Q457" s="418"/>
      <c r="R457" s="418"/>
      <c r="S457" s="423"/>
      <c r="T457" s="418">
        <v>0.0</v>
      </c>
      <c r="U457" s="418">
        <v>0.0</v>
      </c>
      <c r="V457" s="418">
        <v>1.0</v>
      </c>
      <c r="W457" s="424"/>
      <c r="X457" s="424"/>
      <c r="Y457" s="424"/>
      <c r="Z457" s="425"/>
      <c r="AA457" s="425"/>
      <c r="AB457" s="425"/>
      <c r="AC457" s="425"/>
      <c r="AD457" s="425"/>
      <c r="AE457" s="425"/>
      <c r="AF457" s="425"/>
      <c r="AG457" s="425"/>
      <c r="AH457" s="425"/>
      <c r="AI457" s="425"/>
      <c r="AJ457" s="425"/>
      <c r="AK457" s="425"/>
      <c r="AL457" s="425"/>
      <c r="AM457" s="425"/>
      <c r="AN457" s="425"/>
      <c r="AO457" s="425"/>
      <c r="AP457" s="425"/>
      <c r="AQ457" s="425"/>
      <c r="AR457" s="425"/>
      <c r="AS457" s="425"/>
      <c r="AT457" s="425"/>
      <c r="AU457" s="425"/>
      <c r="AV457" s="425"/>
      <c r="AW457" s="425"/>
      <c r="AX457" s="425"/>
      <c r="AY457" s="425"/>
      <c r="AZ457" s="425"/>
      <c r="BA457" s="425"/>
      <c r="BB457" s="425"/>
      <c r="BC457" s="425"/>
      <c r="BD457" s="425"/>
      <c r="BE457" s="425"/>
    </row>
    <row r="458">
      <c r="A458" s="413">
        <v>1.0</v>
      </c>
      <c r="B458" s="409" t="s">
        <v>976</v>
      </c>
      <c r="C458" s="79">
        <v>454.0</v>
      </c>
      <c r="D458" s="79">
        <v>3.0</v>
      </c>
      <c r="E458" s="363">
        <v>43687.0</v>
      </c>
      <c r="F458" s="293" t="str">
        <f>HYPERLINK("https://news.okezone.com/read/2019/10/08/18/2114456/akui-habisi-93-korbannya-samuel-little-jadi-pembunuh-paling-produktif-di-as ","sumber")</f>
        <v>sumber</v>
      </c>
      <c r="G458" s="79" t="s">
        <v>33</v>
      </c>
      <c r="H458" s="410">
        <v>486.0</v>
      </c>
      <c r="I458" s="79">
        <v>2.0</v>
      </c>
      <c r="J458" s="79">
        <v>1.0</v>
      </c>
      <c r="K458" s="191" t="s">
        <v>5550</v>
      </c>
      <c r="L458" s="79">
        <v>0.0</v>
      </c>
      <c r="M458" s="79">
        <v>0.0</v>
      </c>
      <c r="N458" s="364">
        <v>0.0</v>
      </c>
      <c r="O458" s="364">
        <v>0.0</v>
      </c>
      <c r="P458" s="79">
        <v>0.0</v>
      </c>
      <c r="Q458" s="79">
        <v>0.0</v>
      </c>
      <c r="R458" s="79">
        <v>-1.0</v>
      </c>
      <c r="S458" s="368"/>
      <c r="T458" s="79">
        <v>0.0</v>
      </c>
      <c r="U458" s="79">
        <v>0.0</v>
      </c>
      <c r="V458" s="79">
        <v>0.0</v>
      </c>
      <c r="W458" s="63"/>
      <c r="X458" s="63"/>
      <c r="Y458" s="63"/>
      <c r="Z458" s="295"/>
      <c r="AA458" s="295"/>
      <c r="AB458" s="295"/>
      <c r="AC458" s="295"/>
      <c r="AD458" s="295"/>
      <c r="AE458" s="295"/>
      <c r="AF458" s="295"/>
      <c r="AG458" s="295"/>
      <c r="AH458" s="295"/>
      <c r="AI458" s="295"/>
      <c r="AJ458" s="295"/>
      <c r="AK458" s="295"/>
      <c r="AL458" s="295"/>
      <c r="AM458" s="295"/>
      <c r="AN458" s="295"/>
      <c r="AO458" s="295"/>
      <c r="AP458" s="295"/>
      <c r="AQ458" s="295"/>
      <c r="AR458" s="295"/>
      <c r="AS458" s="295"/>
      <c r="AT458" s="295"/>
      <c r="AU458" s="295"/>
      <c r="AV458" s="295"/>
      <c r="AW458" s="295"/>
      <c r="AX458" s="295"/>
      <c r="AY458" s="295"/>
      <c r="AZ458" s="295"/>
      <c r="BA458" s="295"/>
      <c r="BB458" s="295"/>
      <c r="BC458" s="295"/>
      <c r="BD458" s="295"/>
      <c r="BE458" s="295"/>
    </row>
    <row r="459">
      <c r="A459" s="416">
        <v>1.0</v>
      </c>
      <c r="B459" s="417" t="s">
        <v>5551</v>
      </c>
      <c r="C459" s="79">
        <v>455.0</v>
      </c>
      <c r="D459" s="418">
        <v>8.0</v>
      </c>
      <c r="E459" s="427">
        <v>43718.0</v>
      </c>
      <c r="F459" s="419" t="str">
        <f>HYPERLINK("https://www.suara.com/lifestyle/2019/10/09/114324/tunjuk-model-ukuran-plus-victorias-secret-justru-tuai-kontroversi ","sumber")</f>
        <v>sumber</v>
      </c>
      <c r="G459" s="418" t="s">
        <v>33</v>
      </c>
      <c r="H459" s="420">
        <v>330.0</v>
      </c>
      <c r="I459" s="418">
        <v>1.0</v>
      </c>
      <c r="J459" s="418">
        <v>1.0</v>
      </c>
      <c r="K459" s="421"/>
      <c r="L459" s="418">
        <v>0.0</v>
      </c>
      <c r="M459" s="418">
        <v>0.0</v>
      </c>
      <c r="N459" s="422">
        <v>0.0</v>
      </c>
      <c r="O459" s="422">
        <v>0.0</v>
      </c>
      <c r="P459" s="418">
        <v>0.0</v>
      </c>
      <c r="Q459" s="418"/>
      <c r="R459" s="418"/>
      <c r="S459" s="423"/>
      <c r="T459" s="418">
        <v>0.0</v>
      </c>
      <c r="U459" s="418">
        <v>0.0</v>
      </c>
      <c r="V459" s="418">
        <v>0.0</v>
      </c>
      <c r="W459" s="424"/>
      <c r="X459" s="424"/>
      <c r="Y459" s="424"/>
      <c r="Z459" s="425"/>
      <c r="AA459" s="425"/>
      <c r="AB459" s="425"/>
      <c r="AC459" s="425"/>
      <c r="AD459" s="425"/>
      <c r="AE459" s="425"/>
      <c r="AF459" s="425"/>
      <c r="AG459" s="425"/>
      <c r="AH459" s="425"/>
      <c r="AI459" s="425"/>
      <c r="AJ459" s="425"/>
      <c r="AK459" s="425"/>
      <c r="AL459" s="425"/>
      <c r="AM459" s="425"/>
      <c r="AN459" s="425"/>
      <c r="AO459" s="425"/>
      <c r="AP459" s="425"/>
      <c r="AQ459" s="425"/>
      <c r="AR459" s="425"/>
      <c r="AS459" s="425"/>
      <c r="AT459" s="425"/>
      <c r="AU459" s="425"/>
      <c r="AV459" s="425"/>
      <c r="AW459" s="425"/>
      <c r="AX459" s="425"/>
      <c r="AY459" s="425"/>
      <c r="AZ459" s="425"/>
      <c r="BA459" s="425"/>
      <c r="BB459" s="425"/>
      <c r="BC459" s="425"/>
      <c r="BD459" s="425"/>
      <c r="BE459" s="425"/>
    </row>
    <row r="460">
      <c r="A460" s="413">
        <v>1.0</v>
      </c>
      <c r="B460" s="409" t="s">
        <v>5552</v>
      </c>
      <c r="C460" s="79">
        <v>456.0</v>
      </c>
      <c r="D460" s="79">
        <v>7.0</v>
      </c>
      <c r="E460" s="363">
        <v>43718.0</v>
      </c>
      <c r="F460" s="293" t="str">
        <f>HYPERLINK("https://www.tribunnews.com/regional/2019/10/09/pengakuan-mengejutkan-ladyboy-cipanas-saat-disewa-wna-timur-tengah-di-vila ","sumber")</f>
        <v>sumber</v>
      </c>
      <c r="G460" s="79" t="s">
        <v>33</v>
      </c>
      <c r="H460" s="410">
        <v>185.0</v>
      </c>
      <c r="I460" s="79">
        <v>2.0</v>
      </c>
      <c r="J460" s="79">
        <v>3.0</v>
      </c>
      <c r="K460" s="191" t="s">
        <v>5553</v>
      </c>
      <c r="L460" s="79">
        <v>0.0</v>
      </c>
      <c r="M460" s="79">
        <v>0.0</v>
      </c>
      <c r="N460" s="364">
        <v>0.0</v>
      </c>
      <c r="O460" s="364">
        <v>0.0</v>
      </c>
      <c r="P460" s="79">
        <v>0.0</v>
      </c>
      <c r="Q460" s="79" t="s">
        <v>210</v>
      </c>
      <c r="R460" s="79" t="s">
        <v>85</v>
      </c>
      <c r="S460" s="368"/>
      <c r="T460" s="79">
        <v>0.0</v>
      </c>
      <c r="U460" s="79">
        <v>0.0</v>
      </c>
      <c r="V460" s="79">
        <v>0.0</v>
      </c>
      <c r="W460" s="63"/>
      <c r="X460" s="63"/>
      <c r="Y460" s="63"/>
      <c r="Z460" s="295"/>
      <c r="AA460" s="295"/>
      <c r="AB460" s="295"/>
      <c r="AC460" s="295"/>
      <c r="AD460" s="295"/>
      <c r="AE460" s="295"/>
      <c r="AF460" s="295"/>
      <c r="AG460" s="295"/>
      <c r="AH460" s="295"/>
      <c r="AI460" s="295"/>
      <c r="AJ460" s="295"/>
      <c r="AK460" s="295"/>
      <c r="AL460" s="295"/>
      <c r="AM460" s="295"/>
      <c r="AN460" s="295"/>
      <c r="AO460" s="295"/>
      <c r="AP460" s="295"/>
      <c r="AQ460" s="295"/>
      <c r="AR460" s="295"/>
      <c r="AS460" s="295"/>
      <c r="AT460" s="295"/>
      <c r="AU460" s="295"/>
      <c r="AV460" s="295"/>
      <c r="AW460" s="295"/>
      <c r="AX460" s="295"/>
      <c r="AY460" s="295"/>
      <c r="AZ460" s="295"/>
      <c r="BA460" s="295"/>
      <c r="BB460" s="295"/>
      <c r="BC460" s="295"/>
      <c r="BD460" s="295"/>
      <c r="BE460" s="295"/>
    </row>
    <row r="461">
      <c r="A461" s="416">
        <v>1.0</v>
      </c>
      <c r="B461" s="417" t="s">
        <v>2306</v>
      </c>
      <c r="C461" s="79">
        <v>457.0</v>
      </c>
      <c r="D461" s="418">
        <v>8.0</v>
      </c>
      <c r="E461" s="418" t="s">
        <v>5554</v>
      </c>
      <c r="F461" s="419" t="str">
        <f>HYPERLINK("https://www.suara.com/news/2019/11/16/133507/bunuh-putranya-ayah-lebih-baik-mati-daripada-punya-anak-gay ","sumber")</f>
        <v>sumber</v>
      </c>
      <c r="G461" s="418" t="s">
        <v>33</v>
      </c>
      <c r="H461" s="420">
        <v>226.0</v>
      </c>
      <c r="I461" s="418">
        <v>1.0</v>
      </c>
      <c r="J461" s="418">
        <v>3.0</v>
      </c>
      <c r="K461" s="421" t="s">
        <v>5555</v>
      </c>
      <c r="L461" s="418">
        <v>0.0</v>
      </c>
      <c r="M461" s="418">
        <v>0.0</v>
      </c>
      <c r="N461" s="422">
        <v>0.0</v>
      </c>
      <c r="O461" s="422">
        <v>0.0</v>
      </c>
      <c r="P461" s="418">
        <v>0.0</v>
      </c>
      <c r="Q461" s="418" t="s">
        <v>61</v>
      </c>
      <c r="R461" s="418" t="s">
        <v>214</v>
      </c>
      <c r="S461" s="423"/>
      <c r="T461" s="418">
        <v>0.0</v>
      </c>
      <c r="U461" s="418">
        <v>0.0</v>
      </c>
      <c r="V461" s="418">
        <v>0.0</v>
      </c>
      <c r="W461" s="424"/>
      <c r="X461" s="424"/>
      <c r="Y461" s="424"/>
      <c r="Z461" s="425"/>
      <c r="AA461" s="425"/>
      <c r="AB461" s="425"/>
      <c r="AC461" s="425"/>
      <c r="AD461" s="425"/>
      <c r="AE461" s="425"/>
      <c r="AF461" s="425"/>
      <c r="AG461" s="425"/>
      <c r="AH461" s="425"/>
      <c r="AI461" s="425"/>
      <c r="AJ461" s="425"/>
      <c r="AK461" s="425"/>
      <c r="AL461" s="425"/>
      <c r="AM461" s="425"/>
      <c r="AN461" s="425"/>
      <c r="AO461" s="425"/>
      <c r="AP461" s="425"/>
      <c r="AQ461" s="425"/>
      <c r="AR461" s="425"/>
      <c r="AS461" s="425"/>
      <c r="AT461" s="425"/>
      <c r="AU461" s="425"/>
      <c r="AV461" s="425"/>
      <c r="AW461" s="425"/>
      <c r="AX461" s="425"/>
      <c r="AY461" s="425"/>
      <c r="AZ461" s="425"/>
      <c r="BA461" s="425"/>
      <c r="BB461" s="425"/>
      <c r="BC461" s="425"/>
      <c r="BD461" s="425"/>
      <c r="BE461" s="425"/>
    </row>
    <row r="462">
      <c r="A462" s="413">
        <v>1.0</v>
      </c>
      <c r="B462" s="409" t="s">
        <v>5556</v>
      </c>
      <c r="C462" s="79">
        <v>458.0</v>
      </c>
      <c r="D462" s="79">
        <v>9.0</v>
      </c>
      <c r="E462" s="79" t="s">
        <v>932</v>
      </c>
      <c r="F462" s="293" t="str">
        <f>HYPERLINK("https://senggang.republika.co.id/berita/q15tzs414/diterpa-isu-lgbt-emfrozen-iiem-jawab-aneka-misteri-tentang-elsa ","sumber")</f>
        <v>sumber</v>
      </c>
      <c r="G462" s="79" t="s">
        <v>33</v>
      </c>
      <c r="H462" s="410">
        <v>312.0</v>
      </c>
      <c r="I462" s="79">
        <v>3.0</v>
      </c>
      <c r="J462" s="79">
        <v>3.0</v>
      </c>
      <c r="K462" s="191"/>
      <c r="L462" s="79">
        <v>0.0</v>
      </c>
      <c r="M462" s="79">
        <v>0.0</v>
      </c>
      <c r="N462" s="364">
        <v>0.0</v>
      </c>
      <c r="O462" s="364">
        <v>0.0</v>
      </c>
      <c r="P462" s="79">
        <v>0.0</v>
      </c>
      <c r="Q462" s="79"/>
      <c r="R462" s="79"/>
      <c r="S462" s="368"/>
      <c r="T462" s="79">
        <v>0.0</v>
      </c>
      <c r="U462" s="79">
        <v>0.0</v>
      </c>
      <c r="V462" s="79">
        <v>0.0</v>
      </c>
      <c r="W462" s="63"/>
      <c r="X462" s="63"/>
      <c r="Y462" s="63"/>
      <c r="Z462" s="295"/>
      <c r="AA462" s="295"/>
      <c r="AB462" s="295"/>
      <c r="AC462" s="295"/>
      <c r="AD462" s="295"/>
      <c r="AE462" s="295"/>
      <c r="AF462" s="295"/>
      <c r="AG462" s="295"/>
      <c r="AH462" s="295"/>
      <c r="AI462" s="295"/>
      <c r="AJ462" s="295"/>
      <c r="AK462" s="295"/>
      <c r="AL462" s="295"/>
      <c r="AM462" s="295"/>
      <c r="AN462" s="295"/>
      <c r="AO462" s="295"/>
      <c r="AP462" s="295"/>
      <c r="AQ462" s="295"/>
      <c r="AR462" s="295"/>
      <c r="AS462" s="295"/>
      <c r="AT462" s="295"/>
      <c r="AU462" s="295"/>
      <c r="AV462" s="295"/>
      <c r="AW462" s="295"/>
      <c r="AX462" s="295"/>
      <c r="AY462" s="295"/>
      <c r="AZ462" s="295"/>
      <c r="BA462" s="295"/>
      <c r="BB462" s="295"/>
      <c r="BC462" s="295"/>
      <c r="BD462" s="295"/>
      <c r="BE462" s="295"/>
    </row>
    <row r="463">
      <c r="A463" s="426">
        <v>1.0</v>
      </c>
      <c r="B463" s="414" t="s">
        <v>5557</v>
      </c>
      <c r="C463" s="55">
        <v>459.0</v>
      </c>
      <c r="D463" s="55">
        <v>6.0</v>
      </c>
      <c r="E463" s="55" t="s">
        <v>944</v>
      </c>
      <c r="F463" s="171" t="str">
        <f>HYPERLINK("https://www.kompas.com/hype/read/2019/11/21/173140566/kata-mondo-gascaro-soal-kontroversi-film-kucumbu-tubuh-indahku","sumber")</f>
        <v>sumber</v>
      </c>
      <c r="G463" s="55" t="s">
        <v>33</v>
      </c>
      <c r="H463" s="415">
        <v>320.0</v>
      </c>
      <c r="I463" s="55">
        <v>1.0</v>
      </c>
      <c r="J463" s="55">
        <v>3.0</v>
      </c>
      <c r="K463" s="172" t="s">
        <v>5558</v>
      </c>
      <c r="L463" s="55">
        <v>0.0</v>
      </c>
      <c r="M463" s="55">
        <v>0.0</v>
      </c>
      <c r="N463" s="173">
        <v>0.0</v>
      </c>
      <c r="O463" s="173">
        <v>0.0</v>
      </c>
      <c r="P463" s="55">
        <v>0.0</v>
      </c>
      <c r="Q463" s="55">
        <v>0.0</v>
      </c>
      <c r="R463" s="55">
        <v>1.0</v>
      </c>
      <c r="S463" s="174"/>
      <c r="T463" s="55">
        <v>0.0</v>
      </c>
      <c r="U463" s="55">
        <v>0.0</v>
      </c>
      <c r="V463" s="55">
        <v>1.0</v>
      </c>
      <c r="W463" s="46"/>
      <c r="X463" s="46"/>
      <c r="Y463" s="46"/>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c r="BA463" s="31"/>
      <c r="BB463" s="31"/>
      <c r="BC463" s="31"/>
      <c r="BD463" s="31"/>
      <c r="BE463" s="31"/>
    </row>
    <row r="464">
      <c r="A464" s="413">
        <v>1.0</v>
      </c>
      <c r="B464" s="409" t="s">
        <v>5559</v>
      </c>
      <c r="C464" s="79">
        <v>460.0</v>
      </c>
      <c r="D464" s="79">
        <v>9.0</v>
      </c>
      <c r="E464" s="79" t="s">
        <v>944</v>
      </c>
      <c r="F464" s="293" t="str">
        <f>HYPERLINK("https://bola.republika.co.id/berita/q1b2j3438/presiden-fifa-yakin-piala-dunia-di-qatar-bebas-diskriminasi ","sumber")</f>
        <v>sumber</v>
      </c>
      <c r="G464" s="79" t="s">
        <v>33</v>
      </c>
      <c r="H464" s="410">
        <v>317.0</v>
      </c>
      <c r="I464" s="79">
        <v>4.0</v>
      </c>
      <c r="J464" s="79">
        <v>3.0</v>
      </c>
      <c r="K464" s="191" t="s">
        <v>5560</v>
      </c>
      <c r="L464" s="79">
        <v>0.0</v>
      </c>
      <c r="M464" s="79">
        <v>0.0</v>
      </c>
      <c r="N464" s="364">
        <v>0.0</v>
      </c>
      <c r="O464" s="364">
        <v>0.0</v>
      </c>
      <c r="P464" s="79">
        <v>0.0</v>
      </c>
      <c r="Q464" s="79">
        <v>0.0</v>
      </c>
      <c r="R464" s="79">
        <v>1.0</v>
      </c>
      <c r="S464" s="368"/>
      <c r="T464" s="79">
        <v>0.0</v>
      </c>
      <c r="U464" s="79">
        <v>0.0</v>
      </c>
      <c r="V464" s="79">
        <v>1.0</v>
      </c>
      <c r="W464" s="63"/>
      <c r="X464" s="63"/>
      <c r="Y464" s="63"/>
      <c r="Z464" s="295"/>
      <c r="AA464" s="295"/>
      <c r="AB464" s="295"/>
      <c r="AC464" s="295"/>
      <c r="AD464" s="295"/>
      <c r="AE464" s="295"/>
      <c r="AF464" s="295"/>
      <c r="AG464" s="295"/>
      <c r="AH464" s="295"/>
      <c r="AI464" s="295"/>
      <c r="AJ464" s="295"/>
      <c r="AK464" s="295"/>
      <c r="AL464" s="295"/>
      <c r="AM464" s="295"/>
      <c r="AN464" s="295"/>
      <c r="AO464" s="295"/>
      <c r="AP464" s="295"/>
      <c r="AQ464" s="295"/>
      <c r="AR464" s="295"/>
      <c r="AS464" s="295"/>
      <c r="AT464" s="295"/>
      <c r="AU464" s="295"/>
      <c r="AV464" s="295"/>
      <c r="AW464" s="295"/>
      <c r="AX464" s="295"/>
      <c r="AY464" s="295"/>
      <c r="AZ464" s="295"/>
      <c r="BA464" s="295"/>
      <c r="BB464" s="295"/>
      <c r="BC464" s="295"/>
      <c r="BD464" s="295"/>
      <c r="BE464" s="295"/>
    </row>
    <row r="465">
      <c r="A465" s="416">
        <v>1.0</v>
      </c>
      <c r="B465" s="417" t="s">
        <v>5561</v>
      </c>
      <c r="C465" s="79">
        <v>461.0</v>
      </c>
      <c r="D465" s="418">
        <v>2.0</v>
      </c>
      <c r="E465" s="418" t="s">
        <v>884</v>
      </c>
      <c r="F465" s="419" t="str">
        <f>HYPERLINK("https://www.cnnindonesia.com/hiburan/20191121163949-234-450385/billie-eilish-remaja-cuek-yang-raih-sukses-gemilang ","sumber")</f>
        <v>sumber</v>
      </c>
      <c r="G465" s="418" t="s">
        <v>33</v>
      </c>
      <c r="H465" s="420">
        <v>617.0</v>
      </c>
      <c r="I465" s="418">
        <v>2.0</v>
      </c>
      <c r="J465" s="418">
        <v>2.0</v>
      </c>
      <c r="K465" s="421"/>
      <c r="L465" s="418">
        <v>0.0</v>
      </c>
      <c r="M465" s="418">
        <v>0.0</v>
      </c>
      <c r="N465" s="422">
        <v>0.0</v>
      </c>
      <c r="O465" s="422">
        <v>0.0</v>
      </c>
      <c r="P465" s="418">
        <v>0.0</v>
      </c>
      <c r="Q465" s="418"/>
      <c r="R465" s="418"/>
      <c r="S465" s="421" t="s">
        <v>5562</v>
      </c>
      <c r="T465" s="418">
        <v>1.0</v>
      </c>
      <c r="U465" s="418">
        <v>-1.0</v>
      </c>
      <c r="V465" s="418">
        <v>0.0</v>
      </c>
      <c r="W465" s="424"/>
      <c r="X465" s="424"/>
      <c r="Y465" s="424"/>
      <c r="Z465" s="425"/>
      <c r="AA465" s="425"/>
      <c r="AB465" s="425"/>
      <c r="AC465" s="425"/>
      <c r="AD465" s="425"/>
      <c r="AE465" s="425"/>
      <c r="AF465" s="425"/>
      <c r="AG465" s="425"/>
      <c r="AH465" s="425"/>
      <c r="AI465" s="425"/>
      <c r="AJ465" s="425"/>
      <c r="AK465" s="425"/>
      <c r="AL465" s="425"/>
      <c r="AM465" s="425"/>
      <c r="AN465" s="425"/>
      <c r="AO465" s="425"/>
      <c r="AP465" s="425"/>
      <c r="AQ465" s="425"/>
      <c r="AR465" s="425"/>
      <c r="AS465" s="425"/>
      <c r="AT465" s="425"/>
      <c r="AU465" s="425"/>
      <c r="AV465" s="425"/>
      <c r="AW465" s="425"/>
      <c r="AX465" s="425"/>
      <c r="AY465" s="425"/>
      <c r="AZ465" s="425"/>
      <c r="BA465" s="425"/>
      <c r="BB465" s="425"/>
      <c r="BC465" s="425"/>
      <c r="BD465" s="425"/>
      <c r="BE465" s="425"/>
    </row>
    <row r="466">
      <c r="A466" s="413">
        <v>1.0</v>
      </c>
      <c r="B466" s="409" t="s">
        <v>2312</v>
      </c>
      <c r="C466" s="79">
        <v>462.0</v>
      </c>
      <c r="D466" s="79">
        <v>6.0</v>
      </c>
      <c r="E466" s="79" t="s">
        <v>950</v>
      </c>
      <c r="F466" s="293" t="str">
        <f>HYPERLINK("https://nasional.kompas.com/read/2019/11/23/19214001/lgbt-dilarang-ikut-tes-cpns-pdi-p-jangan-mengotak-ngotakkan-perbedaan ","sumber")</f>
        <v>sumber</v>
      </c>
      <c r="G466" s="79" t="s">
        <v>33</v>
      </c>
      <c r="H466" s="410">
        <v>225.0</v>
      </c>
      <c r="I466" s="79">
        <v>4.0</v>
      </c>
      <c r="J466" s="79">
        <v>3.0</v>
      </c>
      <c r="K466" s="191" t="s">
        <v>5563</v>
      </c>
      <c r="L466" s="79">
        <v>0.0</v>
      </c>
      <c r="M466" s="79">
        <v>0.0</v>
      </c>
      <c r="N466" s="364">
        <v>0.0</v>
      </c>
      <c r="O466" s="364">
        <v>0.0</v>
      </c>
      <c r="P466" s="79">
        <v>0.0</v>
      </c>
      <c r="Q466" s="79" t="s">
        <v>61</v>
      </c>
      <c r="R466" s="79" t="s">
        <v>780</v>
      </c>
      <c r="S466" s="368"/>
      <c r="T466" s="79">
        <v>0.0</v>
      </c>
      <c r="U466" s="79">
        <v>0.0</v>
      </c>
      <c r="V466" s="79">
        <v>1.0</v>
      </c>
      <c r="W466" s="63"/>
      <c r="X466" s="63"/>
      <c r="Y466" s="63"/>
      <c r="Z466" s="295"/>
      <c r="AA466" s="295"/>
      <c r="AB466" s="295"/>
      <c r="AC466" s="295"/>
      <c r="AD466" s="295"/>
      <c r="AE466" s="295"/>
      <c r="AF466" s="295"/>
      <c r="AG466" s="295"/>
      <c r="AH466" s="295"/>
      <c r="AI466" s="295"/>
      <c r="AJ466" s="295"/>
      <c r="AK466" s="295"/>
      <c r="AL466" s="295"/>
      <c r="AM466" s="295"/>
      <c r="AN466" s="295"/>
      <c r="AO466" s="295"/>
      <c r="AP466" s="295"/>
      <c r="AQ466" s="295"/>
      <c r="AR466" s="295"/>
      <c r="AS466" s="295"/>
      <c r="AT466" s="295"/>
      <c r="AU466" s="295"/>
      <c r="AV466" s="295"/>
      <c r="AW466" s="295"/>
      <c r="AX466" s="295"/>
      <c r="AY466" s="295"/>
      <c r="AZ466" s="295"/>
      <c r="BA466" s="295"/>
      <c r="BB466" s="295"/>
      <c r="BC466" s="295"/>
      <c r="BD466" s="295"/>
      <c r="BE466" s="295"/>
    </row>
    <row r="467">
      <c r="A467" s="416">
        <v>1.0</v>
      </c>
      <c r="B467" s="417" t="s">
        <v>5564</v>
      </c>
      <c r="C467" s="79">
        <v>463.0</v>
      </c>
      <c r="D467" s="418">
        <v>3.0</v>
      </c>
      <c r="E467" s="418" t="s">
        <v>958</v>
      </c>
      <c r="F467" s="419" t="str">
        <f>HYPERLINK("https://nasional.okezone.com/read/2019/11/24/337/2133717/ppp-dukung-larangan-lgbt-daftar-cpns ","sumber")</f>
        <v>sumber</v>
      </c>
      <c r="G467" s="418" t="s">
        <v>33</v>
      </c>
      <c r="H467" s="420">
        <v>206.0</v>
      </c>
      <c r="I467" s="418">
        <v>4.0</v>
      </c>
      <c r="J467" s="418">
        <v>3.0</v>
      </c>
      <c r="K467" s="421" t="s">
        <v>5565</v>
      </c>
      <c r="L467" s="418">
        <v>0.0</v>
      </c>
      <c r="M467" s="418">
        <v>0.0</v>
      </c>
      <c r="N467" s="422">
        <v>0.0</v>
      </c>
      <c r="O467" s="422">
        <v>0.0</v>
      </c>
      <c r="P467" s="418">
        <v>0.0</v>
      </c>
      <c r="Q467" s="418">
        <v>0.0</v>
      </c>
      <c r="R467" s="418">
        <v>-1.0</v>
      </c>
      <c r="S467" s="423"/>
      <c r="T467" s="418">
        <v>0.0</v>
      </c>
      <c r="U467" s="418">
        <v>0.0</v>
      </c>
      <c r="V467" s="418">
        <v>1.0</v>
      </c>
      <c r="W467" s="424"/>
      <c r="X467" s="424"/>
      <c r="Y467" s="424"/>
      <c r="Z467" s="425"/>
      <c r="AA467" s="425"/>
      <c r="AB467" s="425"/>
      <c r="AC467" s="425"/>
      <c r="AD467" s="425"/>
      <c r="AE467" s="425"/>
      <c r="AF467" s="425"/>
      <c r="AG467" s="425"/>
      <c r="AH467" s="425"/>
      <c r="AI467" s="425"/>
      <c r="AJ467" s="425"/>
      <c r="AK467" s="425"/>
      <c r="AL467" s="425"/>
      <c r="AM467" s="425"/>
      <c r="AN467" s="425"/>
      <c r="AO467" s="425"/>
      <c r="AP467" s="425"/>
      <c r="AQ467" s="425"/>
      <c r="AR467" s="425"/>
      <c r="AS467" s="425"/>
      <c r="AT467" s="425"/>
      <c r="AU467" s="425"/>
      <c r="AV467" s="425"/>
      <c r="AW467" s="425"/>
      <c r="AX467" s="425"/>
      <c r="AY467" s="425"/>
      <c r="AZ467" s="425"/>
      <c r="BA467" s="425"/>
      <c r="BB467" s="425"/>
      <c r="BC467" s="425"/>
      <c r="BD467" s="425"/>
      <c r="BE467" s="425"/>
    </row>
    <row r="468">
      <c r="A468" s="413">
        <v>1.0</v>
      </c>
      <c r="B468" s="409" t="s">
        <v>5566</v>
      </c>
      <c r="C468" s="79">
        <v>464.0</v>
      </c>
      <c r="D468" s="79">
        <v>10.0</v>
      </c>
      <c r="E468" s="79" t="s">
        <v>960</v>
      </c>
      <c r="F468" s="293" t="str">
        <f>HYPERLINK("https://kolom.tempo.co/read/1276140/darurat-homofobia-di-lembaga-negara ","sumber")</f>
        <v>sumber</v>
      </c>
      <c r="G468" s="79" t="s">
        <v>33</v>
      </c>
      <c r="H468" s="410">
        <v>398.0</v>
      </c>
      <c r="I468" s="79">
        <v>2.0</v>
      </c>
      <c r="J468" s="79">
        <v>3.0</v>
      </c>
      <c r="K468" s="191"/>
      <c r="L468" s="79">
        <v>0.0</v>
      </c>
      <c r="M468" s="79">
        <v>0.0</v>
      </c>
      <c r="N468" s="364">
        <v>0.0</v>
      </c>
      <c r="O468" s="364">
        <v>0.0</v>
      </c>
      <c r="P468" s="79">
        <v>0.0</v>
      </c>
      <c r="Q468" s="79"/>
      <c r="R468" s="79"/>
      <c r="S468" s="368"/>
      <c r="T468" s="79">
        <v>0.0</v>
      </c>
      <c r="U468" s="79">
        <v>0.0</v>
      </c>
      <c r="V468" s="79">
        <v>1.0</v>
      </c>
      <c r="W468" s="63"/>
      <c r="X468" s="63"/>
      <c r="Y468" s="63"/>
      <c r="Z468" s="295"/>
      <c r="AA468" s="295"/>
      <c r="AB468" s="295"/>
      <c r="AC468" s="295"/>
      <c r="AD468" s="295"/>
      <c r="AE468" s="295"/>
      <c r="AF468" s="295"/>
      <c r="AG468" s="295"/>
      <c r="AH468" s="295"/>
      <c r="AI468" s="295"/>
      <c r="AJ468" s="295"/>
      <c r="AK468" s="295"/>
      <c r="AL468" s="295"/>
      <c r="AM468" s="295"/>
      <c r="AN468" s="295"/>
      <c r="AO468" s="295"/>
      <c r="AP468" s="295"/>
      <c r="AQ468" s="295"/>
      <c r="AR468" s="295"/>
      <c r="AS468" s="295"/>
      <c r="AT468" s="295"/>
      <c r="AU468" s="295"/>
      <c r="AV468" s="295"/>
      <c r="AW468" s="295"/>
      <c r="AX468" s="295"/>
      <c r="AY468" s="295"/>
      <c r="AZ468" s="295"/>
      <c r="BA468" s="295"/>
      <c r="BB468" s="295"/>
      <c r="BC468" s="295"/>
      <c r="BD468" s="295"/>
      <c r="BE468" s="295"/>
    </row>
    <row r="469">
      <c r="A469" s="426">
        <v>1.0</v>
      </c>
      <c r="B469" s="414" t="s">
        <v>5567</v>
      </c>
      <c r="C469" s="55">
        <v>465.0</v>
      </c>
      <c r="D469" s="55">
        <v>7.0</v>
      </c>
      <c r="E469" s="55" t="s">
        <v>4739</v>
      </c>
      <c r="F469" s="171" t="str">
        <f>HYPERLINK("https://www.tribunnews.com/regional/2019/11/19/pensiunan-pns-di-binjai-meninggal-dunia-usai-kencani-waria-langganannya","sumber")</f>
        <v>sumber</v>
      </c>
      <c r="G469" s="55" t="s">
        <v>33</v>
      </c>
      <c r="H469" s="415">
        <v>291.0</v>
      </c>
      <c r="I469" s="55">
        <v>2.0</v>
      </c>
      <c r="J469" s="55">
        <v>3.0</v>
      </c>
      <c r="K469" s="172" t="s">
        <v>5568</v>
      </c>
      <c r="L469" s="55">
        <v>0.0</v>
      </c>
      <c r="M469" s="55">
        <v>0.0</v>
      </c>
      <c r="N469" s="173">
        <v>0.0</v>
      </c>
      <c r="O469" s="173">
        <v>0.0</v>
      </c>
      <c r="P469" s="55">
        <v>0.0</v>
      </c>
      <c r="Q469" s="55">
        <v>0.0</v>
      </c>
      <c r="R469" s="55">
        <v>0.0</v>
      </c>
      <c r="S469" s="174"/>
      <c r="T469" s="55">
        <v>0.0</v>
      </c>
      <c r="U469" s="55">
        <v>0.0</v>
      </c>
      <c r="V469" s="55">
        <v>0.0</v>
      </c>
      <c r="W469" s="46"/>
      <c r="X469" s="46"/>
      <c r="Y469" s="46"/>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c r="BA469" s="31"/>
      <c r="BB469" s="31"/>
      <c r="BC469" s="31"/>
      <c r="BD469" s="31"/>
      <c r="BE469" s="31"/>
    </row>
    <row r="470">
      <c r="A470" s="413">
        <v>1.0</v>
      </c>
      <c r="B470" s="409" t="s">
        <v>5569</v>
      </c>
      <c r="C470" s="79">
        <v>466.0</v>
      </c>
      <c r="D470" s="79">
        <v>6.0</v>
      </c>
      <c r="E470" s="79" t="s">
        <v>4783</v>
      </c>
      <c r="F470" s="293" t="str">
        <f>HYPERLINK("https://sains.kompas.com/read/2019/12/13/165558423/apa-isi-riset-lgbt-yang-bikin-dwi-estiningsih-ditegur-peneliti-asing ","sumber")</f>
        <v>sumber</v>
      </c>
      <c r="G470" s="79" t="s">
        <v>33</v>
      </c>
      <c r="H470" s="410">
        <v>292.0</v>
      </c>
      <c r="I470" s="79">
        <v>1.0</v>
      </c>
      <c r="J470" s="79">
        <v>3.0</v>
      </c>
      <c r="K470" s="191" t="s">
        <v>5570</v>
      </c>
      <c r="L470" s="79">
        <v>0.0</v>
      </c>
      <c r="M470" s="79">
        <v>0.0</v>
      </c>
      <c r="N470" s="364">
        <v>0.0</v>
      </c>
      <c r="O470" s="364">
        <v>0.0</v>
      </c>
      <c r="P470" s="79">
        <v>0.0</v>
      </c>
      <c r="Q470" s="79" t="s">
        <v>53</v>
      </c>
      <c r="R470" s="79" t="s">
        <v>771</v>
      </c>
      <c r="S470" s="368"/>
      <c r="T470" s="79">
        <v>0.0</v>
      </c>
      <c r="U470" s="79">
        <v>0.0</v>
      </c>
      <c r="V470" s="79">
        <v>1.0</v>
      </c>
      <c r="W470" s="63"/>
      <c r="X470" s="63"/>
      <c r="Y470" s="63"/>
      <c r="Z470" s="295"/>
      <c r="AA470" s="295"/>
      <c r="AB470" s="295"/>
      <c r="AC470" s="295"/>
      <c r="AD470" s="295"/>
      <c r="AE470" s="295"/>
      <c r="AF470" s="295"/>
      <c r="AG470" s="295"/>
      <c r="AH470" s="295"/>
      <c r="AI470" s="295"/>
      <c r="AJ470" s="295"/>
      <c r="AK470" s="295"/>
      <c r="AL470" s="295"/>
      <c r="AM470" s="295"/>
      <c r="AN470" s="295"/>
      <c r="AO470" s="295"/>
      <c r="AP470" s="295"/>
      <c r="AQ470" s="295"/>
      <c r="AR470" s="295"/>
      <c r="AS470" s="295"/>
      <c r="AT470" s="295"/>
      <c r="AU470" s="295"/>
      <c r="AV470" s="295"/>
      <c r="AW470" s="295"/>
      <c r="AX470" s="295"/>
      <c r="AY470" s="295"/>
      <c r="AZ470" s="295"/>
      <c r="BA470" s="295"/>
      <c r="BB470" s="295"/>
      <c r="BC470" s="295"/>
      <c r="BD470" s="295"/>
      <c r="BE470" s="295"/>
    </row>
    <row r="471">
      <c r="A471" s="426">
        <v>1.0</v>
      </c>
      <c r="B471" s="414" t="s">
        <v>5571</v>
      </c>
      <c r="C471" s="55">
        <v>467.0</v>
      </c>
      <c r="D471" s="55">
        <v>10.0</v>
      </c>
      <c r="E471" s="55" t="s">
        <v>4783</v>
      </c>
      <c r="F471" s="171" t="str">
        <f>HYPERLINK("https://seleb.tempo.co/read/1288392/dituduh-transgender-istri-jerinx-sid-tak-terima","sumber")</f>
        <v>sumber</v>
      </c>
      <c r="G471" s="55" t="s">
        <v>33</v>
      </c>
      <c r="H471" s="415">
        <v>399.0</v>
      </c>
      <c r="I471" s="55">
        <v>2.0</v>
      </c>
      <c r="J471" s="55">
        <v>3.0</v>
      </c>
      <c r="K471" s="172" t="s">
        <v>5572</v>
      </c>
      <c r="L471" s="55">
        <v>0.0</v>
      </c>
      <c r="M471" s="55">
        <v>0.0</v>
      </c>
      <c r="N471" s="173">
        <v>0.0</v>
      </c>
      <c r="O471" s="173">
        <v>0.0</v>
      </c>
      <c r="P471" s="55">
        <v>0.0</v>
      </c>
      <c r="Q471" s="55">
        <v>0.0</v>
      </c>
      <c r="R471" s="55">
        <v>1.0</v>
      </c>
      <c r="S471" s="174"/>
      <c r="T471" s="55">
        <v>0.0</v>
      </c>
      <c r="U471" s="55">
        <v>0.0</v>
      </c>
      <c r="V471" s="55">
        <v>0.0</v>
      </c>
      <c r="W471" s="46"/>
      <c r="X471" s="46"/>
      <c r="Y471" s="46"/>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c r="BA471" s="31"/>
      <c r="BB471" s="31"/>
      <c r="BC471" s="31"/>
      <c r="BD471" s="31"/>
      <c r="BE471" s="31"/>
    </row>
    <row r="472">
      <c r="A472" s="413">
        <v>1.0</v>
      </c>
      <c r="B472" s="409" t="s">
        <v>5573</v>
      </c>
      <c r="C472" s="79">
        <v>468.0</v>
      </c>
      <c r="D472" s="79">
        <v>2.0</v>
      </c>
      <c r="E472" s="79" t="s">
        <v>907</v>
      </c>
      <c r="F472" s="293" t="str">
        <f>HYPERLINK("https://www.cnnindonesia.com/hiburan/20191217121552-220-457664/sejuta-orang-teken-petisi-tolak-film-yesus-gay-di-netflix ","sumber")</f>
        <v>sumber</v>
      </c>
      <c r="G472" s="79" t="s">
        <v>33</v>
      </c>
      <c r="H472" s="410">
        <v>286.0</v>
      </c>
      <c r="I472" s="79">
        <v>1.0</v>
      </c>
      <c r="J472" s="79">
        <v>3.0</v>
      </c>
      <c r="K472" s="191" t="s">
        <v>5574</v>
      </c>
      <c r="L472" s="79">
        <v>0.0</v>
      </c>
      <c r="M472" s="79">
        <v>0.0</v>
      </c>
      <c r="N472" s="364">
        <v>0.0</v>
      </c>
      <c r="O472" s="364">
        <v>0.0</v>
      </c>
      <c r="P472" s="79">
        <v>0.0</v>
      </c>
      <c r="Q472" s="79">
        <v>0.0</v>
      </c>
      <c r="R472" s="79">
        <v>0.0</v>
      </c>
      <c r="S472" s="368"/>
      <c r="T472" s="79">
        <v>0.0</v>
      </c>
      <c r="U472" s="79">
        <v>0.0</v>
      </c>
      <c r="V472" s="79">
        <v>0.0</v>
      </c>
      <c r="W472" s="63"/>
      <c r="X472" s="63"/>
      <c r="Y472" s="63"/>
      <c r="Z472" s="295"/>
      <c r="AA472" s="295"/>
      <c r="AB472" s="295"/>
      <c r="AC472" s="295"/>
      <c r="AD472" s="295"/>
      <c r="AE472" s="295"/>
      <c r="AF472" s="295"/>
      <c r="AG472" s="295"/>
      <c r="AH472" s="295"/>
      <c r="AI472" s="295"/>
      <c r="AJ472" s="295"/>
      <c r="AK472" s="295"/>
      <c r="AL472" s="295"/>
      <c r="AM472" s="295"/>
      <c r="AN472" s="295"/>
      <c r="AO472" s="295"/>
      <c r="AP472" s="295"/>
      <c r="AQ472" s="295"/>
      <c r="AR472" s="295"/>
      <c r="AS472" s="295"/>
      <c r="AT472" s="295"/>
      <c r="AU472" s="295"/>
      <c r="AV472" s="295"/>
      <c r="AW472" s="295"/>
      <c r="AX472" s="295"/>
      <c r="AY472" s="295"/>
      <c r="AZ472" s="295"/>
      <c r="BA472" s="295"/>
      <c r="BB472" s="295"/>
      <c r="BC472" s="295"/>
      <c r="BD472" s="295"/>
      <c r="BE472" s="295"/>
    </row>
    <row r="473">
      <c r="A473" s="416">
        <v>1.0</v>
      </c>
      <c r="B473" s="417" t="s">
        <v>5575</v>
      </c>
      <c r="C473" s="79">
        <v>469.0</v>
      </c>
      <c r="D473" s="418">
        <v>3.0</v>
      </c>
      <c r="E473" s="418" t="s">
        <v>893</v>
      </c>
      <c r="F473" s="419" t="str">
        <f>HYPERLINK("https://celebrity.okezone.com/read/2019/12/18/33/2143490/pernah-ditanya-soal-transgender-oleh-bule-lucinta-luna-cerita-sambil-gebrak-meja ","sumber")</f>
        <v>sumber</v>
      </c>
      <c r="G473" s="418" t="s">
        <v>33</v>
      </c>
      <c r="H473" s="420">
        <v>348.0</v>
      </c>
      <c r="I473" s="418">
        <v>2.0</v>
      </c>
      <c r="J473" s="418">
        <v>3.0</v>
      </c>
      <c r="K473" s="421" t="s">
        <v>4354</v>
      </c>
      <c r="L473" s="418">
        <v>0.0</v>
      </c>
      <c r="M473" s="418">
        <v>0.0</v>
      </c>
      <c r="N473" s="422">
        <v>0.0</v>
      </c>
      <c r="O473" s="422">
        <v>0.0</v>
      </c>
      <c r="P473" s="418">
        <v>0.0</v>
      </c>
      <c r="Q473" s="418">
        <v>2.0</v>
      </c>
      <c r="R473" s="418">
        <v>-1.0</v>
      </c>
      <c r="S473" s="423"/>
      <c r="T473" s="418">
        <v>0.0</v>
      </c>
      <c r="U473" s="418">
        <v>0.0</v>
      </c>
      <c r="V473" s="418">
        <v>0.0</v>
      </c>
      <c r="W473" s="424"/>
      <c r="X473" s="424"/>
      <c r="Y473" s="424"/>
      <c r="Z473" s="425"/>
      <c r="AA473" s="425"/>
      <c r="AB473" s="425"/>
      <c r="AC473" s="425"/>
      <c r="AD473" s="425"/>
      <c r="AE473" s="425"/>
      <c r="AF473" s="425"/>
      <c r="AG473" s="425"/>
      <c r="AH473" s="425"/>
      <c r="AI473" s="425"/>
      <c r="AJ473" s="425"/>
      <c r="AK473" s="425"/>
      <c r="AL473" s="425"/>
      <c r="AM473" s="425"/>
      <c r="AN473" s="425"/>
      <c r="AO473" s="425"/>
      <c r="AP473" s="425"/>
      <c r="AQ473" s="425"/>
      <c r="AR473" s="425"/>
      <c r="AS473" s="425"/>
      <c r="AT473" s="425"/>
      <c r="AU473" s="425"/>
      <c r="AV473" s="425"/>
      <c r="AW473" s="425"/>
      <c r="AX473" s="425"/>
      <c r="AY473" s="425"/>
      <c r="AZ473" s="425"/>
      <c r="BA473" s="425"/>
      <c r="BB473" s="425"/>
      <c r="BC473" s="425"/>
      <c r="BD473" s="425"/>
      <c r="BE473" s="425"/>
    </row>
    <row r="474">
      <c r="A474" s="413">
        <v>1.0</v>
      </c>
      <c r="B474" s="409" t="s">
        <v>5576</v>
      </c>
      <c r="C474" s="79">
        <v>470.0</v>
      </c>
      <c r="D474" s="79">
        <v>10.0</v>
      </c>
      <c r="E474" s="79" t="s">
        <v>905</v>
      </c>
      <c r="F474" s="293" t="str">
        <f>HYPERLINK("https://kolom.tempo.co/read/1287552/kisah-rasa-dari-pojok-shinjuku ","sumber")</f>
        <v>sumber</v>
      </c>
      <c r="G474" s="79" t="s">
        <v>33</v>
      </c>
      <c r="H474" s="410">
        <v>695.0</v>
      </c>
      <c r="I474" s="79">
        <v>2.0</v>
      </c>
      <c r="J474" s="79">
        <v>1.0</v>
      </c>
      <c r="K474" s="191"/>
      <c r="L474" s="79">
        <v>0.0</v>
      </c>
      <c r="M474" s="79">
        <v>0.0</v>
      </c>
      <c r="N474" s="364">
        <v>0.0</v>
      </c>
      <c r="O474" s="364">
        <v>0.0</v>
      </c>
      <c r="P474" s="79">
        <v>0.0</v>
      </c>
      <c r="Q474" s="79"/>
      <c r="R474" s="79"/>
      <c r="S474" s="368"/>
      <c r="T474" s="79">
        <v>0.0</v>
      </c>
      <c r="U474" s="79">
        <v>0.0</v>
      </c>
      <c r="V474" s="79">
        <v>0.0</v>
      </c>
      <c r="W474" s="63"/>
      <c r="X474" s="63"/>
      <c r="Y474" s="63"/>
      <c r="Z474" s="295"/>
      <c r="AA474" s="295"/>
      <c r="AB474" s="295"/>
      <c r="AC474" s="295"/>
      <c r="AD474" s="295"/>
      <c r="AE474" s="295"/>
      <c r="AF474" s="295"/>
      <c r="AG474" s="295"/>
      <c r="AH474" s="295"/>
      <c r="AI474" s="295"/>
      <c r="AJ474" s="295"/>
      <c r="AK474" s="295"/>
      <c r="AL474" s="295"/>
      <c r="AM474" s="295"/>
      <c r="AN474" s="295"/>
      <c r="AO474" s="295"/>
      <c r="AP474" s="295"/>
      <c r="AQ474" s="295"/>
      <c r="AR474" s="295"/>
      <c r="AS474" s="295"/>
      <c r="AT474" s="295"/>
      <c r="AU474" s="295"/>
      <c r="AV474" s="295"/>
      <c r="AW474" s="295"/>
      <c r="AX474" s="295"/>
      <c r="AY474" s="295"/>
      <c r="AZ474" s="295"/>
      <c r="BA474" s="295"/>
      <c r="BB474" s="295"/>
      <c r="BC474" s="295"/>
      <c r="BD474" s="295"/>
      <c r="BE474" s="295"/>
    </row>
    <row r="475">
      <c r="A475" s="416">
        <v>1.0</v>
      </c>
      <c r="B475" s="417" t="s">
        <v>5577</v>
      </c>
      <c r="C475" s="79">
        <v>471.0</v>
      </c>
      <c r="D475" s="418">
        <v>4.0</v>
      </c>
      <c r="E475" s="418" t="s">
        <v>5481</v>
      </c>
      <c r="F475" s="419" t="str">
        <f>HYPERLINK("https://www.liputan6.com/global/read/4142049/video-presiden-brasil-sebut-jurnalis-berwajah-homoseksual ","sumber")</f>
        <v>sumber</v>
      </c>
      <c r="G475" s="418" t="s">
        <v>33</v>
      </c>
      <c r="H475" s="420">
        <v>23.0</v>
      </c>
      <c r="I475" s="418">
        <v>1.0</v>
      </c>
      <c r="J475" s="418">
        <v>3.0</v>
      </c>
      <c r="K475" s="421" t="s">
        <v>5578</v>
      </c>
      <c r="L475" s="418">
        <v>0.0</v>
      </c>
      <c r="M475" s="418">
        <v>0.0</v>
      </c>
      <c r="N475" s="422">
        <v>0.0</v>
      </c>
      <c r="O475" s="422">
        <v>0.0</v>
      </c>
      <c r="P475" s="418">
        <v>0.0</v>
      </c>
      <c r="Q475" s="418">
        <v>0.0</v>
      </c>
      <c r="R475" s="418">
        <v>-1.0</v>
      </c>
      <c r="S475" s="423"/>
      <c r="T475" s="418">
        <v>0.0</v>
      </c>
      <c r="U475" s="418">
        <v>0.0</v>
      </c>
      <c r="V475" s="418">
        <v>1.0</v>
      </c>
      <c r="W475" s="424"/>
      <c r="X475" s="424"/>
      <c r="Y475" s="424"/>
      <c r="Z475" s="425"/>
      <c r="AA475" s="425"/>
      <c r="AB475" s="425"/>
      <c r="AC475" s="425"/>
      <c r="AD475" s="425"/>
      <c r="AE475" s="425"/>
      <c r="AF475" s="425"/>
      <c r="AG475" s="425"/>
      <c r="AH475" s="425"/>
      <c r="AI475" s="425"/>
      <c r="AJ475" s="425"/>
      <c r="AK475" s="425"/>
      <c r="AL475" s="425"/>
      <c r="AM475" s="425"/>
      <c r="AN475" s="425"/>
      <c r="AO475" s="425"/>
      <c r="AP475" s="425"/>
      <c r="AQ475" s="425"/>
      <c r="AR475" s="425"/>
      <c r="AS475" s="425"/>
      <c r="AT475" s="425"/>
      <c r="AU475" s="425"/>
      <c r="AV475" s="425"/>
      <c r="AW475" s="425"/>
      <c r="AX475" s="425"/>
      <c r="AY475" s="425"/>
      <c r="AZ475" s="425"/>
      <c r="BA475" s="425"/>
      <c r="BB475" s="425"/>
      <c r="BC475" s="425"/>
      <c r="BD475" s="425"/>
      <c r="BE475" s="425"/>
    </row>
    <row r="476">
      <c r="A476" s="413">
        <v>1.0</v>
      </c>
      <c r="B476" s="409" t="s">
        <v>5579</v>
      </c>
      <c r="C476" s="79">
        <v>472.0</v>
      </c>
      <c r="D476" s="79">
        <v>3.0</v>
      </c>
      <c r="E476" s="79" t="s">
        <v>5481</v>
      </c>
      <c r="F476" s="293" t="str">
        <f>HYPERLINK("https://news.okezone.com/read/2019/12/26/18/2146214/markas-komedian-brasil-diserang-molotov-setelah-tampilkan-yesus-sebagai-homoseksual ","sumber")</f>
        <v>sumber</v>
      </c>
      <c r="G476" s="79" t="s">
        <v>33</v>
      </c>
      <c r="H476" s="410">
        <v>364.0</v>
      </c>
      <c r="I476" s="79">
        <v>1.0</v>
      </c>
      <c r="J476" s="79">
        <v>3.0</v>
      </c>
      <c r="K476" s="191" t="s">
        <v>5580</v>
      </c>
      <c r="L476" s="79">
        <v>0.0</v>
      </c>
      <c r="M476" s="79">
        <v>0.0</v>
      </c>
      <c r="N476" s="364">
        <v>0.0</v>
      </c>
      <c r="O476" s="364">
        <v>0.0</v>
      </c>
      <c r="P476" s="79">
        <v>0.0</v>
      </c>
      <c r="Q476" s="79">
        <v>0.0</v>
      </c>
      <c r="R476" s="79">
        <v>0.0</v>
      </c>
      <c r="S476" s="368"/>
      <c r="T476" s="79">
        <v>0.0</v>
      </c>
      <c r="U476" s="79">
        <v>0.0</v>
      </c>
      <c r="V476" s="79">
        <v>1.0</v>
      </c>
      <c r="W476" s="63"/>
      <c r="X476" s="63"/>
      <c r="Y476" s="63"/>
      <c r="Z476" s="295"/>
      <c r="AA476" s="295"/>
      <c r="AB476" s="295"/>
      <c r="AC476" s="295"/>
      <c r="AD476" s="295"/>
      <c r="AE476" s="295"/>
      <c r="AF476" s="295"/>
      <c r="AG476" s="295"/>
      <c r="AH476" s="295"/>
      <c r="AI476" s="295"/>
      <c r="AJ476" s="295"/>
      <c r="AK476" s="295"/>
      <c r="AL476" s="295"/>
      <c r="AM476" s="295"/>
      <c r="AN476" s="295"/>
      <c r="AO476" s="295"/>
      <c r="AP476" s="295"/>
      <c r="AQ476" s="295"/>
      <c r="AR476" s="295"/>
      <c r="AS476" s="295"/>
      <c r="AT476" s="295"/>
      <c r="AU476" s="295"/>
      <c r="AV476" s="295"/>
      <c r="AW476" s="295"/>
      <c r="AX476" s="295"/>
      <c r="AY476" s="295"/>
      <c r="AZ476" s="295"/>
      <c r="BA476" s="295"/>
      <c r="BB476" s="295"/>
      <c r="BC476" s="295"/>
      <c r="BD476" s="295"/>
      <c r="BE476" s="295"/>
    </row>
    <row r="477">
      <c r="A477" s="416">
        <v>1.0</v>
      </c>
      <c r="B477" s="417" t="s">
        <v>5581</v>
      </c>
      <c r="C477" s="79">
        <v>473.0</v>
      </c>
      <c r="D477" s="418">
        <v>10.0</v>
      </c>
      <c r="E477" s="418" t="s">
        <v>5481</v>
      </c>
      <c r="F477" s="419" t="str">
        <f>HYPERLINK("https://dunia.tempo.co/read/1287879/transgender-di-cina-sulit-ubah-identitas-kelamin-di-ijazah ","sumber")</f>
        <v>sumber</v>
      </c>
      <c r="G477" s="418" t="s">
        <v>33</v>
      </c>
      <c r="H477" s="420">
        <v>290.0</v>
      </c>
      <c r="I477" s="418">
        <v>2.0</v>
      </c>
      <c r="J477" s="418">
        <v>3.0</v>
      </c>
      <c r="K477" s="421" t="s">
        <v>5582</v>
      </c>
      <c r="L477" s="418">
        <v>0.0</v>
      </c>
      <c r="M477" s="418">
        <v>0.0</v>
      </c>
      <c r="N477" s="422">
        <v>0.0</v>
      </c>
      <c r="O477" s="422">
        <v>0.0</v>
      </c>
      <c r="P477" s="418">
        <v>0.0</v>
      </c>
      <c r="Q477" s="418">
        <v>-1.0</v>
      </c>
      <c r="R477" s="418">
        <v>1.0</v>
      </c>
      <c r="S477" s="423"/>
      <c r="T477" s="418">
        <v>0.0</v>
      </c>
      <c r="U477" s="418">
        <v>0.0</v>
      </c>
      <c r="V477" s="418">
        <v>1.0</v>
      </c>
      <c r="W477" s="424"/>
      <c r="X477" s="424"/>
      <c r="Y477" s="424"/>
      <c r="Z477" s="425"/>
      <c r="AA477" s="425"/>
      <c r="AB477" s="425"/>
      <c r="AC477" s="425"/>
      <c r="AD477" s="425"/>
      <c r="AE477" s="425"/>
      <c r="AF477" s="425"/>
      <c r="AG477" s="425"/>
      <c r="AH477" s="425"/>
      <c r="AI477" s="425"/>
      <c r="AJ477" s="425"/>
      <c r="AK477" s="425"/>
      <c r="AL477" s="425"/>
      <c r="AM477" s="425"/>
      <c r="AN477" s="425"/>
      <c r="AO477" s="425"/>
      <c r="AP477" s="425"/>
      <c r="AQ477" s="425"/>
      <c r="AR477" s="425"/>
      <c r="AS477" s="425"/>
      <c r="AT477" s="425"/>
      <c r="AU477" s="425"/>
      <c r="AV477" s="425"/>
      <c r="AW477" s="425"/>
      <c r="AX477" s="425"/>
      <c r="AY477" s="425"/>
      <c r="AZ477" s="425"/>
      <c r="BA477" s="425"/>
      <c r="BB477" s="425"/>
      <c r="BC477" s="425"/>
      <c r="BD477" s="425"/>
      <c r="BE477" s="425"/>
    </row>
    <row r="478">
      <c r="A478" s="413">
        <v>1.0</v>
      </c>
      <c r="B478" s="409" t="s">
        <v>1023</v>
      </c>
      <c r="C478" s="79">
        <v>474.0</v>
      </c>
      <c r="D478" s="79">
        <v>7.0</v>
      </c>
      <c r="E478" s="363">
        <v>43534.0</v>
      </c>
      <c r="F478" s="293" t="str">
        <f>HYPERLINK("https://www.tribunnews.com/regional/2019/10/03/p2tp2a-garut-beri-pendampingan-psikologi-pada-korban-rudapaksa-siswi-smp-di-cisompet ","sumber")</f>
        <v>sumber</v>
      </c>
      <c r="G478" s="79" t="s">
        <v>33</v>
      </c>
      <c r="H478" s="410">
        <v>168.0</v>
      </c>
      <c r="I478" s="79">
        <v>1.0</v>
      </c>
      <c r="J478" s="79">
        <v>1.0</v>
      </c>
      <c r="K478" s="191" t="s">
        <v>5583</v>
      </c>
      <c r="L478" s="79">
        <v>0.0</v>
      </c>
      <c r="M478" s="79">
        <v>1.0</v>
      </c>
      <c r="N478" s="364">
        <v>0.0</v>
      </c>
      <c r="O478" s="79">
        <v>1.0</v>
      </c>
      <c r="P478" s="79">
        <v>0.0</v>
      </c>
      <c r="Q478" s="79" t="s">
        <v>61</v>
      </c>
      <c r="R478" s="79" t="s">
        <v>214</v>
      </c>
      <c r="S478" s="368"/>
      <c r="T478" s="79">
        <v>0.0</v>
      </c>
      <c r="U478" s="79">
        <v>0.0</v>
      </c>
      <c r="V478" s="79">
        <v>0.0</v>
      </c>
      <c r="W478" s="63"/>
      <c r="X478" s="63"/>
      <c r="Y478" s="63"/>
      <c r="Z478" s="295"/>
      <c r="AA478" s="295"/>
      <c r="AB478" s="295"/>
      <c r="AC478" s="295"/>
      <c r="AD478" s="295"/>
      <c r="AE478" s="295"/>
      <c r="AF478" s="295"/>
      <c r="AG478" s="295"/>
      <c r="AH478" s="295"/>
      <c r="AI478" s="295"/>
      <c r="AJ478" s="295"/>
      <c r="AK478" s="295"/>
      <c r="AL478" s="295"/>
      <c r="AM478" s="295"/>
      <c r="AN478" s="295"/>
      <c r="AO478" s="295"/>
      <c r="AP478" s="295"/>
      <c r="AQ478" s="295"/>
      <c r="AR478" s="295"/>
      <c r="AS478" s="295"/>
      <c r="AT478" s="295"/>
      <c r="AU478" s="295"/>
      <c r="AV478" s="295"/>
      <c r="AW478" s="295"/>
      <c r="AX478" s="295"/>
      <c r="AY478" s="295"/>
      <c r="AZ478" s="295"/>
      <c r="BA478" s="295"/>
      <c r="BB478" s="295"/>
      <c r="BC478" s="295"/>
      <c r="BD478" s="295"/>
      <c r="BE478" s="295"/>
    </row>
    <row r="479">
      <c r="A479" s="227">
        <v>1.0</v>
      </c>
      <c r="B479" s="438" t="s">
        <v>5584</v>
      </c>
      <c r="C479" s="79">
        <v>475.0</v>
      </c>
      <c r="D479" s="44">
        <v>4.0</v>
      </c>
      <c r="E479" s="268">
        <v>43565.0</v>
      </c>
      <c r="F479" s="162" t="str">
        <f>HYPERLINK("https://www.liputan6.com/news/read/4079057/asa-bocah-makassar-korban-trauma-kekerasan-rumah-tangga-di-pohon-harapan ","sumber")</f>
        <v>sumber</v>
      </c>
      <c r="G479" s="44" t="s">
        <v>33</v>
      </c>
      <c r="H479" s="439">
        <v>600.0</v>
      </c>
      <c r="I479" s="44">
        <v>2.0</v>
      </c>
      <c r="J479" s="44">
        <v>0.0</v>
      </c>
      <c r="K479" s="44" t="s">
        <v>5585</v>
      </c>
      <c r="L479" s="44">
        <v>0.0</v>
      </c>
      <c r="M479" s="44">
        <v>0.0</v>
      </c>
      <c r="N479" s="166">
        <v>0.0</v>
      </c>
      <c r="O479" s="166">
        <v>0.0</v>
      </c>
      <c r="P479" s="44">
        <v>0.0</v>
      </c>
      <c r="Q479" s="44" t="s">
        <v>1027</v>
      </c>
      <c r="R479" s="44" t="s">
        <v>1058</v>
      </c>
      <c r="S479" s="45"/>
      <c r="T479" s="44">
        <v>0.0</v>
      </c>
      <c r="U479" s="44">
        <v>0.0</v>
      </c>
      <c r="V479" s="44">
        <v>1.0</v>
      </c>
      <c r="W479" s="45"/>
      <c r="X479" s="45"/>
      <c r="Y479" s="45"/>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row>
    <row r="480">
      <c r="A480" s="222">
        <v>2.0</v>
      </c>
      <c r="B480" s="411" t="s">
        <v>5586</v>
      </c>
      <c r="C480" s="47">
        <v>476.0</v>
      </c>
      <c r="D480" s="48"/>
      <c r="E480" s="280">
        <v>43565.0</v>
      </c>
      <c r="F480" s="156" t="str">
        <f>HYPERLINK("https://tekno.tempo.co/read/1255700/komnas-ham-sebut-polusi-udara-adalah-pelanggaran-ham ","sumber")</f>
        <v>sumber</v>
      </c>
      <c r="G480" s="47" t="s">
        <v>33</v>
      </c>
      <c r="H480" s="412">
        <v>421.0</v>
      </c>
      <c r="I480" s="48"/>
      <c r="J480" s="48"/>
      <c r="K480" s="48"/>
      <c r="L480" s="48"/>
      <c r="M480" s="48"/>
      <c r="N480" s="48"/>
      <c r="O480" s="48"/>
      <c r="P480" s="48"/>
      <c r="Q480" s="48"/>
      <c r="R480" s="48"/>
      <c r="S480" s="48"/>
      <c r="T480" s="48"/>
      <c r="U480" s="48"/>
      <c r="V480" s="48"/>
      <c r="W480" s="48"/>
      <c r="X480" s="48"/>
      <c r="Y480" s="48"/>
      <c r="Z480" s="338"/>
      <c r="AA480" s="51"/>
      <c r="AB480" s="51"/>
      <c r="AC480" s="51"/>
      <c r="AD480" s="51"/>
      <c r="AE480" s="51"/>
      <c r="AF480" s="51"/>
      <c r="AG480" s="51"/>
      <c r="AH480" s="51"/>
      <c r="AI480" s="51"/>
      <c r="AJ480" s="51"/>
      <c r="AK480" s="51"/>
      <c r="AL480" s="51"/>
      <c r="AM480" s="51"/>
      <c r="AN480" s="51"/>
      <c r="AO480" s="51"/>
      <c r="AP480" s="51"/>
      <c r="AQ480" s="51"/>
      <c r="AR480" s="51"/>
      <c r="AS480" s="51"/>
      <c r="AT480" s="51"/>
      <c r="AU480" s="51"/>
      <c r="AV480" s="51"/>
      <c r="AW480" s="51"/>
      <c r="AX480" s="51"/>
      <c r="AY480" s="51"/>
      <c r="AZ480" s="51"/>
      <c r="BA480" s="51"/>
      <c r="BB480" s="51"/>
      <c r="BC480" s="51"/>
      <c r="BD480" s="51"/>
      <c r="BE480" s="51"/>
    </row>
    <row r="481">
      <c r="A481" s="227">
        <v>1.0</v>
      </c>
      <c r="B481" s="438" t="s">
        <v>5587</v>
      </c>
      <c r="C481" s="79">
        <v>477.0</v>
      </c>
      <c r="D481" s="44">
        <v>6.0</v>
      </c>
      <c r="E481" s="268">
        <v>43656.0</v>
      </c>
      <c r="F481" s="162" t="str">
        <f>HYPERLINK("https://regional.kompas.com/read/2019/10/07/16192711/pelaku-pemerkosaan-dibebaskan-hakim-polisi-tangkap-lagi-dan-selidiki-ulang ","sumber")</f>
        <v>sumber</v>
      </c>
      <c r="G481" s="44" t="s">
        <v>33</v>
      </c>
      <c r="H481" s="439">
        <v>247.0</v>
      </c>
      <c r="I481" s="44">
        <v>4.0</v>
      </c>
      <c r="J481" s="44">
        <v>1.0</v>
      </c>
      <c r="K481" s="44" t="s">
        <v>5588</v>
      </c>
      <c r="L481" s="44">
        <v>0.0</v>
      </c>
      <c r="M481" s="44">
        <v>0.0</v>
      </c>
      <c r="N481" s="166">
        <v>0.0</v>
      </c>
      <c r="O481" s="44">
        <v>1.0</v>
      </c>
      <c r="P481" s="44">
        <v>0.0</v>
      </c>
      <c r="Q481" s="44" t="s">
        <v>53</v>
      </c>
      <c r="R481" s="44" t="s">
        <v>341</v>
      </c>
      <c r="S481" s="45"/>
      <c r="T481" s="44">
        <v>0.0</v>
      </c>
      <c r="U481" s="44">
        <v>0.0</v>
      </c>
      <c r="V481" s="44">
        <v>1.0</v>
      </c>
      <c r="W481" s="45"/>
      <c r="X481" s="45"/>
      <c r="Y481" s="45"/>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row>
    <row r="482">
      <c r="A482" s="227">
        <v>1.0</v>
      </c>
      <c r="B482" s="438" t="s">
        <v>5589</v>
      </c>
      <c r="C482" s="79">
        <v>478.0</v>
      </c>
      <c r="D482" s="44">
        <v>4.0</v>
      </c>
      <c r="E482" s="268">
        <v>43656.0</v>
      </c>
      <c r="F482" s="162" t="str">
        <f>HYPERLINK("https://www.liputan6.com/health/read/4079713/tren-curhat-sadfishing-di-medsos-rawan-ganggu-kesehatan-mental-remaja ","sumber")</f>
        <v>sumber</v>
      </c>
      <c r="G482" s="44" t="s">
        <v>33</v>
      </c>
      <c r="H482" s="439">
        <v>245.0</v>
      </c>
      <c r="I482" s="44">
        <v>2.0</v>
      </c>
      <c r="J482" s="44">
        <v>2.0</v>
      </c>
      <c r="K482" s="44"/>
      <c r="L482" s="44">
        <v>0.0</v>
      </c>
      <c r="M482" s="44">
        <v>0.0</v>
      </c>
      <c r="N482" s="166">
        <v>0.0</v>
      </c>
      <c r="O482" s="166">
        <v>0.0</v>
      </c>
      <c r="P482" s="44">
        <v>0.0</v>
      </c>
      <c r="Q482" s="44"/>
      <c r="R482" s="44"/>
      <c r="S482" s="45"/>
      <c r="T482" s="44">
        <v>0.0</v>
      </c>
      <c r="U482" s="44">
        <v>0.0</v>
      </c>
      <c r="V482" s="44">
        <v>0.0</v>
      </c>
      <c r="W482" s="45"/>
      <c r="X482" s="45"/>
      <c r="Y482" s="45"/>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row>
    <row r="483">
      <c r="A483" s="227">
        <v>1.0</v>
      </c>
      <c r="B483" s="438" t="s">
        <v>5590</v>
      </c>
      <c r="C483" s="79">
        <v>479.0</v>
      </c>
      <c r="D483" s="44">
        <v>10.0</v>
      </c>
      <c r="E483" s="268">
        <v>43656.0</v>
      </c>
      <c r="F483" s="162" t="str">
        <f>HYPERLINK("https://dunia.tempo.co/read/1256626/wni-di-kuwait-jadi-korban-kdrt ","sumber")</f>
        <v>sumber</v>
      </c>
      <c r="G483" s="44" t="s">
        <v>33</v>
      </c>
      <c r="H483" s="439">
        <v>214.0</v>
      </c>
      <c r="I483" s="44">
        <v>1.0</v>
      </c>
      <c r="J483" s="44">
        <v>1.0</v>
      </c>
      <c r="K483" s="44" t="s">
        <v>5591</v>
      </c>
      <c r="L483" s="44">
        <v>0.0</v>
      </c>
      <c r="M483" s="44">
        <v>0.0</v>
      </c>
      <c r="N483" s="166">
        <v>0.0</v>
      </c>
      <c r="O483" s="166">
        <v>0.0</v>
      </c>
      <c r="P483" s="44">
        <v>0.0</v>
      </c>
      <c r="Q483" s="44">
        <v>0.0</v>
      </c>
      <c r="R483" s="44">
        <v>1.0</v>
      </c>
      <c r="S483" s="45"/>
      <c r="T483" s="44">
        <v>0.0</v>
      </c>
      <c r="U483" s="44">
        <v>0.0</v>
      </c>
      <c r="V483" s="44">
        <v>1.0</v>
      </c>
      <c r="W483" s="45"/>
      <c r="X483" s="45"/>
      <c r="Y483" s="45"/>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row>
    <row r="484">
      <c r="A484" s="227">
        <v>1.0</v>
      </c>
      <c r="B484" s="438" t="s">
        <v>5592</v>
      </c>
      <c r="C484" s="79">
        <v>480.0</v>
      </c>
      <c r="D484" s="44">
        <v>7.0</v>
      </c>
      <c r="E484" s="268">
        <v>43656.0</v>
      </c>
      <c r="F484" s="162" t="str">
        <f>HYPERLINK("https://www.tribunnews.com/metropolitan/2019/10/07/bermodus-praktik-perdukunan-pria-asal-tangerang-berbuat-bejat-terhadap-anak-di-bawah-umur ","sumber")</f>
        <v>sumber</v>
      </c>
      <c r="G484" s="44" t="s">
        <v>33</v>
      </c>
      <c r="H484" s="439">
        <v>262.0</v>
      </c>
      <c r="I484" s="44">
        <v>1.0</v>
      </c>
      <c r="J484" s="44">
        <v>1.0</v>
      </c>
      <c r="K484" s="44" t="s">
        <v>5593</v>
      </c>
      <c r="L484" s="44">
        <v>0.0</v>
      </c>
      <c r="M484" s="44">
        <v>0.0</v>
      </c>
      <c r="N484" s="166">
        <v>0.0</v>
      </c>
      <c r="O484" s="166">
        <v>0.0</v>
      </c>
      <c r="P484" s="44">
        <v>0.0</v>
      </c>
      <c r="Q484" s="44">
        <v>0.0</v>
      </c>
      <c r="R484" s="44">
        <v>0.0</v>
      </c>
      <c r="S484" s="45"/>
      <c r="T484" s="44">
        <v>0.0</v>
      </c>
      <c r="U484" s="44">
        <v>0.0</v>
      </c>
      <c r="V484" s="44">
        <v>0.0</v>
      </c>
      <c r="W484" s="45"/>
      <c r="X484" s="45"/>
      <c r="Y484" s="45"/>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row>
    <row r="485">
      <c r="A485" s="227">
        <v>1.0</v>
      </c>
      <c r="B485" s="438" t="s">
        <v>3995</v>
      </c>
      <c r="C485" s="79">
        <v>481.0</v>
      </c>
      <c r="D485" s="44">
        <v>5.0</v>
      </c>
      <c r="E485" s="44" t="s">
        <v>932</v>
      </c>
      <c r="F485" s="162" t="str">
        <f>HYPERLINK("https://tirto.id/teror-sperma-di-tasikmalaya-adalah-pelecehan-seksual-serius-elTe ","sumber")</f>
        <v>sumber</v>
      </c>
      <c r="G485" s="44" t="s">
        <v>33</v>
      </c>
      <c r="H485" s="439">
        <v>366.0</v>
      </c>
      <c r="I485" s="44">
        <v>1.0</v>
      </c>
      <c r="J485" s="44">
        <v>1.0</v>
      </c>
      <c r="K485" s="44" t="s">
        <v>5594</v>
      </c>
      <c r="L485" s="44">
        <v>0.0</v>
      </c>
      <c r="M485" s="44">
        <v>0.0</v>
      </c>
      <c r="N485" s="166">
        <v>0.0</v>
      </c>
      <c r="O485" s="166">
        <v>0.0</v>
      </c>
      <c r="P485" s="44">
        <v>0.0</v>
      </c>
      <c r="Q485" s="44" t="s">
        <v>61</v>
      </c>
      <c r="R485" s="44" t="s">
        <v>192</v>
      </c>
      <c r="S485" s="45"/>
      <c r="T485" s="44">
        <v>0.0</v>
      </c>
      <c r="U485" s="44">
        <v>0.0</v>
      </c>
      <c r="V485" s="44">
        <v>1.0</v>
      </c>
      <c r="W485" s="45"/>
      <c r="X485" s="45"/>
      <c r="Y485" s="45"/>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row>
    <row r="486">
      <c r="A486" s="227">
        <v>1.0</v>
      </c>
      <c r="B486" s="438" t="s">
        <v>5595</v>
      </c>
      <c r="C486" s="79">
        <v>482.0</v>
      </c>
      <c r="D486" s="44">
        <v>6.0</v>
      </c>
      <c r="E486" s="44" t="s">
        <v>936</v>
      </c>
      <c r="F486" s="162" t="str">
        <f>HYPERLINK("https://news.detik.com/berita-jawa-tengah/d-4790443/awal-mula-lokalisasi-gambilangu-54-tahun-lalu-hingga-resmi-ditutup ","sumber")</f>
        <v>sumber</v>
      </c>
      <c r="G486" s="44" t="s">
        <v>33</v>
      </c>
      <c r="H486" s="439">
        <v>208.0</v>
      </c>
      <c r="I486" s="44">
        <v>2.0</v>
      </c>
      <c r="J486" s="44">
        <v>1.0</v>
      </c>
      <c r="K486" s="44" t="s">
        <v>5596</v>
      </c>
      <c r="L486" s="44">
        <v>0.0</v>
      </c>
      <c r="M486" s="44">
        <v>0.0</v>
      </c>
      <c r="N486" s="166">
        <v>0.0</v>
      </c>
      <c r="O486" s="166">
        <v>0.0</v>
      </c>
      <c r="P486" s="44">
        <v>0.0</v>
      </c>
      <c r="Q486" s="44">
        <v>0.0</v>
      </c>
      <c r="R486" s="44">
        <v>1.0</v>
      </c>
      <c r="S486" s="45"/>
      <c r="T486" s="44">
        <v>0.0</v>
      </c>
      <c r="U486" s="44">
        <v>0.0</v>
      </c>
      <c r="V486" s="44">
        <v>1.0</v>
      </c>
      <c r="W486" s="45"/>
      <c r="X486" s="45"/>
      <c r="Y486" s="45"/>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row>
    <row r="487">
      <c r="A487" s="227">
        <v>1.0</v>
      </c>
      <c r="B487" s="438" t="s">
        <v>1047</v>
      </c>
      <c r="C487" s="79">
        <v>483.0</v>
      </c>
      <c r="D487" s="44">
        <v>6.0</v>
      </c>
      <c r="E487" s="44" t="s">
        <v>936</v>
      </c>
      <c r="F487" s="162" t="str">
        <f>HYPERLINK("https://megapolitan.kompas.com/read/2019/11/19/18471421/imigrasi-soekarno-hatta-akui-sulit-deteksi-perdagangan-manusia-lewat ","sumber")</f>
        <v>sumber</v>
      </c>
      <c r="G487" s="44" t="s">
        <v>33</v>
      </c>
      <c r="H487" s="439">
        <v>317.0</v>
      </c>
      <c r="I487" s="44">
        <v>1.0</v>
      </c>
      <c r="J487" s="44">
        <v>1.0</v>
      </c>
      <c r="K487" s="44" t="s">
        <v>5597</v>
      </c>
      <c r="L487" s="44">
        <v>0.0</v>
      </c>
      <c r="M487" s="44">
        <v>0.0</v>
      </c>
      <c r="N487" s="166">
        <v>0.0</v>
      </c>
      <c r="O487" s="166">
        <v>0.0</v>
      </c>
      <c r="P487" s="44">
        <v>0.0</v>
      </c>
      <c r="Q487" s="44">
        <v>0.0</v>
      </c>
      <c r="R487" s="44">
        <v>-1.0</v>
      </c>
      <c r="S487" s="45"/>
      <c r="T487" s="44">
        <v>0.0</v>
      </c>
      <c r="U487" s="44">
        <v>0.0</v>
      </c>
      <c r="V487" s="44">
        <v>0.0</v>
      </c>
      <c r="W487" s="45"/>
      <c r="X487" s="45"/>
      <c r="Y487" s="45"/>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row>
    <row r="488">
      <c r="A488" s="426">
        <v>1.0</v>
      </c>
      <c r="B488" s="414" t="s">
        <v>5598</v>
      </c>
      <c r="C488" s="55">
        <v>484.0</v>
      </c>
      <c r="D488" s="55">
        <v>2.0</v>
      </c>
      <c r="E488" s="55" t="s">
        <v>882</v>
      </c>
      <c r="F488" s="171" t="str">
        <f>HYPERLINK("https://www.cnnindonesia.com/internasional/20191120085026-134-449863/swedia-hentikan-penyidikan-kasus-pemerkosaan-julian-assange","sumber")</f>
        <v>sumber</v>
      </c>
      <c r="G488" s="55" t="s">
        <v>33</v>
      </c>
      <c r="H488" s="415">
        <v>690.0</v>
      </c>
      <c r="I488" s="55">
        <v>4.0</v>
      </c>
      <c r="J488" s="55">
        <v>1.0</v>
      </c>
      <c r="K488" s="55" t="s">
        <v>5599</v>
      </c>
      <c r="L488" s="55">
        <v>0.0</v>
      </c>
      <c r="M488" s="55">
        <v>0.0</v>
      </c>
      <c r="N488" s="173">
        <v>0.0</v>
      </c>
      <c r="O488" s="173">
        <v>0.0</v>
      </c>
      <c r="P488" s="55">
        <v>0.0</v>
      </c>
      <c r="Q488" s="55" t="s">
        <v>61</v>
      </c>
      <c r="R488" s="55" t="s">
        <v>192</v>
      </c>
      <c r="S488" s="46"/>
      <c r="T488" s="55">
        <v>0.0</v>
      </c>
      <c r="U488" s="55">
        <v>0.0</v>
      </c>
      <c r="V488" s="55">
        <v>1.0</v>
      </c>
      <c r="W488" s="46"/>
      <c r="X488" s="46"/>
      <c r="Y488" s="46"/>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c r="BB488" s="31"/>
      <c r="BC488" s="31"/>
      <c r="BD488" s="31"/>
      <c r="BE488" s="31"/>
    </row>
    <row r="489">
      <c r="A489" s="227">
        <v>1.0</v>
      </c>
      <c r="B489" s="438" t="s">
        <v>4822</v>
      </c>
      <c r="C489" s="79">
        <v>485.0</v>
      </c>
      <c r="D489" s="44">
        <v>7.0</v>
      </c>
      <c r="E489" s="44" t="s">
        <v>882</v>
      </c>
      <c r="F489" s="162" t="str">
        <f>HYPERLINK("https://www.tribunnews.com/regional/2019/11/20/pasutri-di-gresik-jual-3-janda-via-whatsapp-tarif-sekali-kencan-rp-400-ribu ","sumber")</f>
        <v>sumber</v>
      </c>
      <c r="G489" s="44" t="s">
        <v>33</v>
      </c>
      <c r="H489" s="439">
        <v>159.0</v>
      </c>
      <c r="I489" s="44">
        <v>1.0</v>
      </c>
      <c r="J489" s="44">
        <v>1.0</v>
      </c>
      <c r="K489" s="44" t="s">
        <v>5600</v>
      </c>
      <c r="L489" s="44">
        <v>0.0</v>
      </c>
      <c r="M489" s="44">
        <v>0.0</v>
      </c>
      <c r="N489" s="166">
        <v>0.0</v>
      </c>
      <c r="O489" s="166">
        <v>0.0</v>
      </c>
      <c r="P489" s="44">
        <v>0.0</v>
      </c>
      <c r="Q489" s="44" t="s">
        <v>61</v>
      </c>
      <c r="R489" s="44" t="s">
        <v>685</v>
      </c>
      <c r="S489" s="44" t="s">
        <v>5601</v>
      </c>
      <c r="T489" s="44">
        <v>1.0</v>
      </c>
      <c r="U489" s="44">
        <v>-1.0</v>
      </c>
      <c r="V489" s="44">
        <v>0.0</v>
      </c>
      <c r="W489" s="45"/>
      <c r="X489" s="45"/>
      <c r="Y489" s="45"/>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row>
    <row r="490">
      <c r="A490" s="227">
        <v>1.0</v>
      </c>
      <c r="B490" s="438" t="s">
        <v>5602</v>
      </c>
      <c r="C490" s="79">
        <v>486.0</v>
      </c>
      <c r="D490" s="44">
        <v>1.0</v>
      </c>
      <c r="E490" s="44" t="s">
        <v>944</v>
      </c>
      <c r="F490" s="162" t="str">
        <f>HYPERLINK("https://news.detik.com/internasional/d-4792867/2-pria-di-spanyol-dihukum-3-tahun-penjara-karena-rekam-pemerkosaan ","sumber")</f>
        <v>sumber</v>
      </c>
      <c r="G490" s="44" t="s">
        <v>33</v>
      </c>
      <c r="H490" s="439">
        <v>186.0</v>
      </c>
      <c r="I490" s="44">
        <v>4.0</v>
      </c>
      <c r="J490" s="44">
        <v>1.0</v>
      </c>
      <c r="K490" s="44"/>
      <c r="L490" s="44">
        <v>0.0</v>
      </c>
      <c r="M490" s="44">
        <v>0.0</v>
      </c>
      <c r="N490" s="166">
        <v>0.0</v>
      </c>
      <c r="O490" s="44">
        <v>1.0</v>
      </c>
      <c r="P490" s="44">
        <v>0.0</v>
      </c>
      <c r="Q490" s="44"/>
      <c r="R490" s="44"/>
      <c r="S490" s="45"/>
      <c r="T490" s="44">
        <v>0.0</v>
      </c>
      <c r="U490" s="44">
        <v>0.0</v>
      </c>
      <c r="V490" s="44">
        <v>1.0</v>
      </c>
      <c r="W490" s="45"/>
      <c r="X490" s="45"/>
      <c r="Y490" s="45"/>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row>
    <row r="491">
      <c r="A491" s="227">
        <v>1.0</v>
      </c>
      <c r="B491" s="438" t="s">
        <v>5603</v>
      </c>
      <c r="C491" s="79">
        <v>487.0</v>
      </c>
      <c r="D491" s="44">
        <v>4.0</v>
      </c>
      <c r="E491" s="44" t="s">
        <v>944</v>
      </c>
      <c r="F491" s="162" t="str">
        <f>HYPERLINK("https://www.liputan6.com/news/read/4116045/lindungi-pekerja-perempuan-kiec-tandatangani-nota-kesepahaman-dengan-rp3 ","sumber")</f>
        <v>sumber</v>
      </c>
      <c r="G491" s="44" t="s">
        <v>33</v>
      </c>
      <c r="H491" s="439">
        <v>245.0</v>
      </c>
      <c r="I491" s="44">
        <v>4.0</v>
      </c>
      <c r="J491" s="44">
        <v>1.0</v>
      </c>
      <c r="K491" s="228" t="s">
        <v>5604</v>
      </c>
      <c r="L491" s="44">
        <v>0.0</v>
      </c>
      <c r="M491" s="44">
        <v>0.0</v>
      </c>
      <c r="N491" s="166">
        <v>0.0</v>
      </c>
      <c r="O491" s="166">
        <v>0.0</v>
      </c>
      <c r="P491" s="44">
        <v>0.0</v>
      </c>
      <c r="Q491" s="44">
        <v>0.0</v>
      </c>
      <c r="R491" s="44">
        <v>1.0</v>
      </c>
      <c r="S491" s="45"/>
      <c r="T491" s="44">
        <v>0.0</v>
      </c>
      <c r="U491" s="44">
        <v>0.0</v>
      </c>
      <c r="V491" s="44">
        <v>1.0</v>
      </c>
      <c r="W491" s="45"/>
      <c r="X491" s="45"/>
      <c r="Y491" s="45"/>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row>
    <row r="492">
      <c r="A492" s="426">
        <v>1.0</v>
      </c>
      <c r="B492" s="414" t="s">
        <v>5605</v>
      </c>
      <c r="C492" s="55">
        <v>488.0</v>
      </c>
      <c r="D492" s="55">
        <v>1.0</v>
      </c>
      <c r="E492" s="55" t="s">
        <v>950</v>
      </c>
      <c r="F492" s="171" t="str">
        <f>HYPERLINK("https://news.detik.com/berita-jawa-tengah/d-4795875/biar-dikira-korban-perkosaan-pelaku-lucuti-celana-lily","sumber")</f>
        <v>sumber</v>
      </c>
      <c r="G492" s="55" t="s">
        <v>33</v>
      </c>
      <c r="H492" s="415">
        <v>1492.0</v>
      </c>
      <c r="I492" s="55">
        <v>1.0</v>
      </c>
      <c r="J492" s="55">
        <v>1.0</v>
      </c>
      <c r="K492" s="55" t="s">
        <v>5606</v>
      </c>
      <c r="L492" s="55">
        <v>0.0</v>
      </c>
      <c r="M492" s="55">
        <v>0.0</v>
      </c>
      <c r="N492" s="55">
        <v>-1.0</v>
      </c>
      <c r="O492" s="55">
        <v>1.0</v>
      </c>
      <c r="P492" s="55">
        <v>0.0</v>
      </c>
      <c r="Q492" s="55">
        <v>0.0</v>
      </c>
      <c r="R492" s="55">
        <v>0.0</v>
      </c>
      <c r="S492" s="55" t="s">
        <v>5607</v>
      </c>
      <c r="T492" s="55">
        <v>1.0</v>
      </c>
      <c r="U492" s="55">
        <v>-1.0</v>
      </c>
      <c r="V492" s="55">
        <v>0.0</v>
      </c>
      <c r="W492" s="46"/>
      <c r="X492" s="46"/>
      <c r="Y492" s="46"/>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c r="BA492" s="31"/>
      <c r="BB492" s="31"/>
      <c r="BC492" s="31"/>
      <c r="BD492" s="31"/>
      <c r="BE492" s="31"/>
    </row>
    <row r="493">
      <c r="A493" s="227">
        <v>1.0</v>
      </c>
      <c r="B493" s="438" t="s">
        <v>5608</v>
      </c>
      <c r="C493" s="44">
        <v>489.0</v>
      </c>
      <c r="D493" s="44">
        <v>6.0</v>
      </c>
      <c r="E493" s="44" t="s">
        <v>950</v>
      </c>
      <c r="F493" s="162" t="str">
        <f>HYPERLINK("https://megapolitan.kompas.com/read/2019/11/23/15365911/polisi-sebut-ayah-pemerkosa-anak-tiri-kabur-ke-luar-tangerang ","sumber")</f>
        <v>sumber</v>
      </c>
      <c r="G493" s="44" t="s">
        <v>33</v>
      </c>
      <c r="H493" s="439">
        <v>213.0</v>
      </c>
      <c r="I493" s="44">
        <v>1.0</v>
      </c>
      <c r="J493" s="44">
        <v>1.0</v>
      </c>
      <c r="K493" s="44" t="s">
        <v>5609</v>
      </c>
      <c r="L493" s="44">
        <v>0.0</v>
      </c>
      <c r="M493" s="44">
        <v>0.0</v>
      </c>
      <c r="N493" s="166">
        <v>0.0</v>
      </c>
      <c r="O493" s="166">
        <v>0.0</v>
      </c>
      <c r="P493" s="44">
        <v>0.0</v>
      </c>
      <c r="Q493" s="44">
        <v>0.0</v>
      </c>
      <c r="R493" s="44">
        <v>1.0</v>
      </c>
      <c r="S493" s="45"/>
      <c r="T493" s="44">
        <v>0.0</v>
      </c>
      <c r="U493" s="44">
        <v>0.0</v>
      </c>
      <c r="V493" s="44">
        <v>1.0</v>
      </c>
      <c r="W493" s="45"/>
      <c r="X493" s="45"/>
      <c r="Y493" s="45"/>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row>
    <row r="494">
      <c r="A494" s="227">
        <v>1.0</v>
      </c>
      <c r="B494" s="438" t="s">
        <v>5610</v>
      </c>
      <c r="C494" s="44">
        <v>490.0</v>
      </c>
      <c r="D494" s="44">
        <v>10.0</v>
      </c>
      <c r="E494" s="44" t="s">
        <v>950</v>
      </c>
      <c r="F494" s="162" t="str">
        <f>HYPERLINK("https://dunia.tempo.co/read/1275580/pastor-di-badan-amal-di-afrika-pedofil-pbb-hentikan-kerja-sama ","sumber")</f>
        <v>sumber</v>
      </c>
      <c r="G494" s="44" t="s">
        <v>33</v>
      </c>
      <c r="H494" s="439">
        <v>221.0</v>
      </c>
      <c r="I494" s="44">
        <v>4.0</v>
      </c>
      <c r="J494" s="44">
        <v>1.0</v>
      </c>
      <c r="K494" s="44"/>
      <c r="L494" s="44">
        <v>0.0</v>
      </c>
      <c r="M494" s="44">
        <v>0.0</v>
      </c>
      <c r="N494" s="166">
        <v>0.0</v>
      </c>
      <c r="O494" s="166">
        <v>0.0</v>
      </c>
      <c r="P494" s="44">
        <v>0.0</v>
      </c>
      <c r="Q494" s="44"/>
      <c r="R494" s="44"/>
      <c r="S494" s="45"/>
      <c r="T494" s="44">
        <v>0.0</v>
      </c>
      <c r="U494" s="44">
        <v>0.0</v>
      </c>
      <c r="V494" s="44">
        <v>1.0</v>
      </c>
      <c r="W494" s="45"/>
      <c r="X494" s="45"/>
      <c r="Y494" s="45"/>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row>
    <row r="495">
      <c r="A495" s="426">
        <v>1.0</v>
      </c>
      <c r="B495" s="414" t="s">
        <v>4021</v>
      </c>
      <c r="C495" s="55">
        <v>491.0</v>
      </c>
      <c r="D495" s="55">
        <v>3.0</v>
      </c>
      <c r="E495" s="55" t="s">
        <v>960</v>
      </c>
      <c r="F495" s="171" t="str">
        <f>HYPERLINK("https://news.okezone.com/read/2019/11/25/609/2134290/pamerkan-kemaluan-ke-wanita-pria-ini-nyaris-diamuk-massa","sumber")</f>
        <v>sumber</v>
      </c>
      <c r="G495" s="55" t="s">
        <v>33</v>
      </c>
      <c r="H495" s="415">
        <v>343.0</v>
      </c>
      <c r="I495" s="55">
        <v>1.0</v>
      </c>
      <c r="J495" s="55">
        <v>1.0</v>
      </c>
      <c r="K495" s="440" t="s">
        <v>5611</v>
      </c>
      <c r="L495" s="55">
        <v>0.0</v>
      </c>
      <c r="M495" s="55">
        <v>0.0</v>
      </c>
      <c r="N495" s="173">
        <v>0.0</v>
      </c>
      <c r="O495" s="173">
        <v>0.0</v>
      </c>
      <c r="P495" s="55">
        <v>0.0</v>
      </c>
      <c r="Q495" s="55">
        <v>0.0</v>
      </c>
      <c r="R495" s="55">
        <v>1.0</v>
      </c>
      <c r="S495" s="46"/>
      <c r="T495" s="55">
        <v>0.0</v>
      </c>
      <c r="U495" s="55">
        <v>0.0</v>
      </c>
      <c r="V495" s="55">
        <v>0.0</v>
      </c>
      <c r="W495" s="46"/>
      <c r="X495" s="46"/>
      <c r="Y495" s="46"/>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c r="BA495" s="31"/>
      <c r="BB495" s="31"/>
      <c r="BC495" s="31"/>
      <c r="BD495" s="31"/>
      <c r="BE495" s="31"/>
    </row>
    <row r="496">
      <c r="A496" s="227">
        <v>1.0</v>
      </c>
      <c r="B496" s="438" t="s">
        <v>5612</v>
      </c>
      <c r="C496" s="79">
        <v>492.0</v>
      </c>
      <c r="D496" s="44">
        <v>8.0</v>
      </c>
      <c r="E496" s="355">
        <v>43750.0</v>
      </c>
      <c r="F496" s="162" t="str">
        <f>HYPERLINK("https://www.suara.com/news/2019/12/10/071000/tgupp-anies-jadi-target-operasi-tangkap-tangan-dan-4-berita-lainnya ","sumber")</f>
        <v>sumber</v>
      </c>
      <c r="G496" s="44" t="s">
        <v>33</v>
      </c>
      <c r="H496" s="439">
        <v>400.0</v>
      </c>
      <c r="I496" s="44">
        <v>1.0</v>
      </c>
      <c r="J496" s="44">
        <v>1.0</v>
      </c>
      <c r="K496" s="44" t="s">
        <v>5613</v>
      </c>
      <c r="L496" s="44">
        <v>0.0</v>
      </c>
      <c r="M496" s="44">
        <v>0.0</v>
      </c>
      <c r="N496" s="166">
        <v>0.0</v>
      </c>
      <c r="O496" s="166">
        <v>0.0</v>
      </c>
      <c r="P496" s="44">
        <v>0.0</v>
      </c>
      <c r="Q496" s="44" t="s">
        <v>61</v>
      </c>
      <c r="R496" s="44" t="s">
        <v>61</v>
      </c>
      <c r="S496" s="45"/>
      <c r="T496" s="44">
        <v>0.0</v>
      </c>
      <c r="U496" s="44">
        <v>0.0</v>
      </c>
      <c r="V496" s="44">
        <v>1.0</v>
      </c>
      <c r="W496" s="45"/>
      <c r="X496" s="45"/>
      <c r="Y496" s="45"/>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row>
    <row r="497">
      <c r="A497" s="227">
        <v>1.0</v>
      </c>
      <c r="B497" s="438" t="s">
        <v>5614</v>
      </c>
      <c r="C497" s="44">
        <v>493.0</v>
      </c>
      <c r="D497" s="44">
        <v>4.0</v>
      </c>
      <c r="E497" s="355">
        <v>43811.0</v>
      </c>
      <c r="F497" s="162" t="str">
        <f>HYPERLINK("https://www.liputan6.com/news/read/4132418/langkah-erick-thohir-soal-isu-pelecehan-seksual-pramugari-garuda ","sumber")</f>
        <v>sumber</v>
      </c>
      <c r="G497" s="44" t="s">
        <v>33</v>
      </c>
      <c r="H497" s="439">
        <v>359.0</v>
      </c>
      <c r="I497" s="44">
        <v>1.0</v>
      </c>
      <c r="J497" s="44">
        <v>1.0</v>
      </c>
      <c r="K497" s="44" t="s">
        <v>5615</v>
      </c>
      <c r="L497" s="44">
        <v>0.0</v>
      </c>
      <c r="M497" s="44">
        <v>0.0</v>
      </c>
      <c r="N497" s="166">
        <v>0.0</v>
      </c>
      <c r="O497" s="166">
        <v>0.0</v>
      </c>
      <c r="P497" s="44">
        <v>0.0</v>
      </c>
      <c r="Q497" s="44">
        <v>0.0</v>
      </c>
      <c r="R497" s="44">
        <v>1.0</v>
      </c>
      <c r="S497" s="45"/>
      <c r="T497" s="44">
        <v>0.0</v>
      </c>
      <c r="U497" s="44">
        <v>0.0</v>
      </c>
      <c r="V497" s="44">
        <v>1.0</v>
      </c>
      <c r="W497" s="45"/>
      <c r="X497" s="45"/>
      <c r="Y497" s="45"/>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row>
    <row r="498">
      <c r="A498" s="222">
        <v>2.0</v>
      </c>
      <c r="B498" s="411" t="s">
        <v>5616</v>
      </c>
      <c r="C498" s="47">
        <v>494.0</v>
      </c>
      <c r="D498" s="48"/>
      <c r="E498" s="47" t="s">
        <v>907</v>
      </c>
      <c r="F498" s="156" t="str">
        <f>HYPERLINK("https://hot.detik.com/celeb/d-4826105/dituding-selingkuh-dengan-marshanda-suami-ragu-ampuni-karen-pooroe ","sumber")</f>
        <v>sumber</v>
      </c>
      <c r="G498" s="47" t="s">
        <v>33</v>
      </c>
      <c r="H498" s="412">
        <v>268.0</v>
      </c>
      <c r="I498" s="48"/>
      <c r="J498" s="48"/>
      <c r="K498" s="48"/>
      <c r="L498" s="48"/>
      <c r="M498" s="48"/>
      <c r="N498" s="48"/>
      <c r="O498" s="48"/>
      <c r="P498" s="48"/>
      <c r="Q498" s="48"/>
      <c r="R498" s="48"/>
      <c r="S498" s="48"/>
      <c r="T498" s="48"/>
      <c r="U498" s="48"/>
      <c r="V498" s="48"/>
      <c r="W498" s="48"/>
      <c r="X498" s="48"/>
      <c r="Y498" s="48"/>
      <c r="Z498" s="338"/>
      <c r="AA498" s="51"/>
      <c r="AB498" s="51"/>
      <c r="AC498" s="51"/>
      <c r="AD498" s="51"/>
      <c r="AE498" s="51"/>
      <c r="AF498" s="51"/>
      <c r="AG498" s="51"/>
      <c r="AH498" s="51"/>
      <c r="AI498" s="51"/>
      <c r="AJ498" s="51"/>
      <c r="AK498" s="51"/>
      <c r="AL498" s="51"/>
      <c r="AM498" s="51"/>
      <c r="AN498" s="51"/>
      <c r="AO498" s="51"/>
      <c r="AP498" s="51"/>
      <c r="AQ498" s="51"/>
      <c r="AR498" s="51"/>
      <c r="AS498" s="51"/>
      <c r="AT498" s="51"/>
      <c r="AU498" s="51"/>
      <c r="AV498" s="51"/>
      <c r="AW498" s="51"/>
      <c r="AX498" s="51"/>
      <c r="AY498" s="51"/>
      <c r="AZ498" s="51"/>
      <c r="BA498" s="51"/>
      <c r="BB498" s="51"/>
      <c r="BC498" s="51"/>
      <c r="BD498" s="51"/>
      <c r="BE498" s="51"/>
    </row>
    <row r="499">
      <c r="A499" s="227">
        <v>1.0</v>
      </c>
      <c r="B499" s="438" t="s">
        <v>5617</v>
      </c>
      <c r="C499" s="79">
        <v>495.0</v>
      </c>
      <c r="D499" s="44">
        <v>3.0</v>
      </c>
      <c r="E499" s="44" t="s">
        <v>893</v>
      </c>
      <c r="F499" s="162" t="str">
        <f>HYPERLINK("https://megapolitan.okezone.com/read/2019/12/18/338/2143564/kontroversi-anies-baswedan-dari-rencana-wisata-halal-hingga-izin-dwp-2019 ","sumber")</f>
        <v>sumber</v>
      </c>
      <c r="G499" s="44" t="s">
        <v>33</v>
      </c>
      <c r="H499" s="439">
        <v>685.0</v>
      </c>
      <c r="I499" s="44">
        <v>1.0</v>
      </c>
      <c r="J499" s="44">
        <v>0.0</v>
      </c>
      <c r="K499" s="44" t="s">
        <v>5618</v>
      </c>
      <c r="L499" s="44">
        <v>0.0</v>
      </c>
      <c r="M499" s="44">
        <v>0.0</v>
      </c>
      <c r="N499" s="166">
        <v>0.0</v>
      </c>
      <c r="O499" s="166">
        <v>0.0</v>
      </c>
      <c r="P499" s="44">
        <v>0.0</v>
      </c>
      <c r="Q499" s="44" t="s">
        <v>61</v>
      </c>
      <c r="R499" s="44" t="s">
        <v>100</v>
      </c>
      <c r="S499" s="45"/>
      <c r="T499" s="44">
        <v>0.0</v>
      </c>
      <c r="U499" s="44">
        <v>0.0</v>
      </c>
      <c r="V499" s="44">
        <v>1.0</v>
      </c>
      <c r="W499" s="45"/>
      <c r="X499" s="45"/>
      <c r="Y499" s="45"/>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row>
    <row r="500">
      <c r="A500" s="227">
        <v>1.0</v>
      </c>
      <c r="B500" s="438" t="s">
        <v>5619</v>
      </c>
      <c r="C500" s="44">
        <v>496.0</v>
      </c>
      <c r="D500" s="44">
        <v>10.0</v>
      </c>
      <c r="E500" s="44" t="s">
        <v>893</v>
      </c>
      <c r="F500" s="162" t="str">
        <f>HYPERLINK("https://dunia.tempo.co/read/1285059/wartawan-terkenal-jepang-bayar-ganti-rugi-ke-korban-perkosaan ","sumber")</f>
        <v>sumber</v>
      </c>
      <c r="G500" s="44" t="s">
        <v>33</v>
      </c>
      <c r="H500" s="439">
        <v>254.0</v>
      </c>
      <c r="I500" s="44">
        <v>4.0</v>
      </c>
      <c r="J500" s="44">
        <v>1.0</v>
      </c>
      <c r="K500" s="44" t="s">
        <v>5620</v>
      </c>
      <c r="L500" s="44">
        <v>0.0</v>
      </c>
      <c r="M500" s="44">
        <v>0.0</v>
      </c>
      <c r="N500" s="166">
        <v>0.0</v>
      </c>
      <c r="O500" s="44">
        <v>1.0</v>
      </c>
      <c r="P500" s="44">
        <v>0.0</v>
      </c>
      <c r="Q500" s="44">
        <v>2.0</v>
      </c>
      <c r="R500" s="44">
        <v>1.0</v>
      </c>
      <c r="S500" s="45"/>
      <c r="T500" s="44">
        <v>0.0</v>
      </c>
      <c r="U500" s="44">
        <v>0.0</v>
      </c>
      <c r="V500" s="44">
        <v>1.0</v>
      </c>
      <c r="W500" s="45"/>
      <c r="X500" s="45"/>
      <c r="Y500" s="45"/>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row>
    <row r="501">
      <c r="A501" s="227">
        <v>1.0</v>
      </c>
      <c r="B501" s="438" t="s">
        <v>5621</v>
      </c>
      <c r="C501" s="44">
        <v>497.0</v>
      </c>
      <c r="D501" s="44">
        <v>6.0</v>
      </c>
      <c r="E501" s="44" t="s">
        <v>964</v>
      </c>
      <c r="F501" s="162" t="str">
        <f>HYPERLINK("https://regional.kompas.com/read/2019/12/19/22114211/kronologi-istri-injak-kemaluan-suami-hingga-pingsan-awalnya-dari-cekcok ","sumber")</f>
        <v>sumber</v>
      </c>
      <c r="G501" s="44" t="s">
        <v>33</v>
      </c>
      <c r="H501" s="439">
        <v>187.0</v>
      </c>
      <c r="I501" s="44">
        <v>1.0</v>
      </c>
      <c r="J501" s="44">
        <v>0.0</v>
      </c>
      <c r="K501" s="44" t="s">
        <v>5622</v>
      </c>
      <c r="L501" s="44">
        <v>0.0</v>
      </c>
      <c r="M501" s="44">
        <v>0.0</v>
      </c>
      <c r="N501" s="166">
        <v>0.0</v>
      </c>
      <c r="O501" s="166">
        <v>0.0</v>
      </c>
      <c r="P501" s="44">
        <v>0.0</v>
      </c>
      <c r="Q501" s="44">
        <v>0.0</v>
      </c>
      <c r="R501" s="44">
        <v>-1.0</v>
      </c>
      <c r="S501" s="45"/>
      <c r="T501" s="44">
        <v>0.0</v>
      </c>
      <c r="U501" s="44">
        <v>0.0</v>
      </c>
      <c r="V501" s="44">
        <v>0.0</v>
      </c>
      <c r="W501" s="45"/>
      <c r="X501" s="45"/>
      <c r="Y501" s="45"/>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row>
    <row r="502">
      <c r="A502" s="227">
        <v>1.0</v>
      </c>
      <c r="B502" s="438" t="s">
        <v>5623</v>
      </c>
      <c r="C502" s="79">
        <v>498.0</v>
      </c>
      <c r="D502" s="44">
        <v>4.0</v>
      </c>
      <c r="E502" s="44" t="s">
        <v>896</v>
      </c>
      <c r="F502" s="162" t="str">
        <f>HYPERLINK("https://www.liputan6.com/showbiz/read/4138496/yuni-shara-mengaku-sulit-dapat-kepuasan-di-ranjang ","sumber")</f>
        <v>sumber</v>
      </c>
      <c r="G502" s="44" t="s">
        <v>33</v>
      </c>
      <c r="H502" s="439">
        <v>208.0</v>
      </c>
      <c r="I502" s="44">
        <v>2.0</v>
      </c>
      <c r="J502" s="44">
        <v>1.0</v>
      </c>
      <c r="K502" s="44"/>
      <c r="L502" s="44">
        <v>0.0</v>
      </c>
      <c r="M502" s="44">
        <v>0.0</v>
      </c>
      <c r="N502" s="166">
        <v>0.0</v>
      </c>
      <c r="O502" s="166">
        <v>0.0</v>
      </c>
      <c r="P502" s="44">
        <v>-1.0</v>
      </c>
      <c r="Q502" s="44"/>
      <c r="R502" s="44"/>
      <c r="S502" s="45"/>
      <c r="T502" s="44">
        <v>0.0</v>
      </c>
      <c r="U502" s="44">
        <v>0.0</v>
      </c>
      <c r="V502" s="44">
        <v>0.0</v>
      </c>
      <c r="W502" s="45"/>
      <c r="X502" s="45"/>
      <c r="Y502" s="45"/>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row>
    <row r="503">
      <c r="A503" s="227">
        <v>1.0</v>
      </c>
      <c r="B503" s="438" t="s">
        <v>5624</v>
      </c>
      <c r="C503" s="44">
        <v>499.0</v>
      </c>
      <c r="D503" s="44">
        <v>6.0</v>
      </c>
      <c r="E503" s="44" t="s">
        <v>899</v>
      </c>
      <c r="F503" s="162" t="str">
        <f>HYPERLINK("https://regional.kompas.com/read/2019/12/21/09390021/istri-injak-kemaluan-suami-hingga-pingsan-ahli--pria-berpotensi-jadi-korban ","sumber")</f>
        <v>sumber</v>
      </c>
      <c r="G503" s="44" t="s">
        <v>33</v>
      </c>
      <c r="H503" s="439">
        <v>238.0</v>
      </c>
      <c r="I503" s="44">
        <v>1.0</v>
      </c>
      <c r="J503" s="44">
        <v>0.0</v>
      </c>
      <c r="K503" s="44" t="s">
        <v>5625</v>
      </c>
      <c r="L503" s="44">
        <v>0.0</v>
      </c>
      <c r="M503" s="44">
        <v>0.0</v>
      </c>
      <c r="N503" s="166">
        <v>0.0</v>
      </c>
      <c r="O503" s="166">
        <v>0.0</v>
      </c>
      <c r="P503" s="44">
        <v>0.0</v>
      </c>
      <c r="Q503" s="44" t="s">
        <v>53</v>
      </c>
      <c r="R503" s="44" t="s">
        <v>1586</v>
      </c>
      <c r="S503" s="44" t="s">
        <v>5626</v>
      </c>
      <c r="T503" s="44">
        <v>1.0</v>
      </c>
      <c r="U503" s="44">
        <v>-1.0</v>
      </c>
      <c r="V503" s="44">
        <v>0.0</v>
      </c>
      <c r="W503" s="45"/>
      <c r="X503" s="45"/>
      <c r="Y503" s="45"/>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row>
    <row r="504">
      <c r="A504" s="227">
        <v>1.0</v>
      </c>
      <c r="B504" s="438" t="s">
        <v>4040</v>
      </c>
      <c r="C504" s="44">
        <v>500.0</v>
      </c>
      <c r="D504" s="44">
        <v>7.0</v>
      </c>
      <c r="E504" s="44" t="s">
        <v>968</v>
      </c>
      <c r="F504" s="162" t="str">
        <f>HYPERLINK("https://www.tribunnews.com/seleb/2019/12/23/5-fakta-penderitaan-yuni-shara-menikah-dengan-raymond-manthey-bertahan-cuma-4-bulan-drama-kdrt ","sumber")</f>
        <v>sumber</v>
      </c>
      <c r="G504" s="44" t="s">
        <v>33</v>
      </c>
      <c r="H504" s="439">
        <v>95.0</v>
      </c>
      <c r="I504" s="44">
        <v>2.0</v>
      </c>
      <c r="J504" s="44">
        <v>1.0</v>
      </c>
      <c r="K504" s="44"/>
      <c r="L504" s="44">
        <v>0.0</v>
      </c>
      <c r="M504" s="44">
        <v>0.0</v>
      </c>
      <c r="N504" s="166">
        <v>0.0</v>
      </c>
      <c r="O504" s="166">
        <v>0.0</v>
      </c>
      <c r="P504" s="44">
        <v>0.0</v>
      </c>
      <c r="Q504" s="44"/>
      <c r="R504" s="44"/>
      <c r="S504" s="45"/>
      <c r="T504" s="44">
        <v>0.0</v>
      </c>
      <c r="U504" s="44">
        <v>0.0</v>
      </c>
      <c r="V504" s="44">
        <v>0.0</v>
      </c>
      <c r="W504" s="45"/>
      <c r="X504" s="45"/>
      <c r="Y504" s="45"/>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row>
    <row r="505">
      <c r="A505" s="426">
        <v>1.0</v>
      </c>
      <c r="B505" s="414" t="s">
        <v>5627</v>
      </c>
      <c r="C505" s="55">
        <v>501.0</v>
      </c>
      <c r="D505" s="55">
        <v>7.0</v>
      </c>
      <c r="E505" s="55" t="s">
        <v>905</v>
      </c>
      <c r="F505" s="171" t="str">
        <f>HYPERLINK("https://www.tribunnews.com/regional/2019/12/24/sebab-janda-ngawi-tewas-di-kebon-jagung-polisi-sebut-kondisi-jasad-lemas-korban-perkosaan","sumber")</f>
        <v>sumber</v>
      </c>
      <c r="G505" s="55" t="s">
        <v>33</v>
      </c>
      <c r="H505" s="415">
        <v>243.0</v>
      </c>
      <c r="I505" s="55">
        <v>1.0</v>
      </c>
      <c r="J505" s="55">
        <v>1.0</v>
      </c>
      <c r="K505" s="55" t="s">
        <v>5628</v>
      </c>
      <c r="L505" s="55">
        <v>0.0</v>
      </c>
      <c r="M505" s="55">
        <v>0.0</v>
      </c>
      <c r="N505" s="173">
        <v>0.0</v>
      </c>
      <c r="O505" s="173">
        <v>0.0</v>
      </c>
      <c r="P505" s="55">
        <v>-1.0</v>
      </c>
      <c r="Q505" s="55">
        <v>0.0</v>
      </c>
      <c r="R505" s="55">
        <v>0.0</v>
      </c>
      <c r="S505" s="55" t="s">
        <v>5629</v>
      </c>
      <c r="T505" s="55">
        <v>1.0</v>
      </c>
      <c r="U505" s="55">
        <v>-1.0</v>
      </c>
      <c r="V505" s="55">
        <v>0.0</v>
      </c>
      <c r="W505" s="46"/>
      <c r="X505" s="46"/>
      <c r="Y505" s="46"/>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c r="BA505" s="31"/>
      <c r="BB505" s="31"/>
      <c r="BC505" s="31"/>
      <c r="BD505" s="31"/>
      <c r="BE505" s="31"/>
    </row>
    <row r="506">
      <c r="A506" s="227">
        <v>1.0</v>
      </c>
      <c r="B506" s="438" t="s">
        <v>5630</v>
      </c>
      <c r="C506" s="44">
        <v>502.0</v>
      </c>
      <c r="D506" s="44">
        <v>4.0</v>
      </c>
      <c r="E506" s="44" t="s">
        <v>1076</v>
      </c>
      <c r="F506" s="162" t="str">
        <f>HYPERLINK("https://www.liputan6.com/health/read/4141810/menggoda-teman-kerja-kurangi-stres-di-kantor ","sumber")</f>
        <v>sumber</v>
      </c>
      <c r="G506" s="44" t="s">
        <v>33</v>
      </c>
      <c r="H506" s="439">
        <v>259.0</v>
      </c>
      <c r="I506" s="44">
        <v>2.0</v>
      </c>
      <c r="J506" s="44">
        <v>3.0</v>
      </c>
      <c r="K506" s="44" t="s">
        <v>5631</v>
      </c>
      <c r="L506" s="44">
        <v>0.0</v>
      </c>
      <c r="M506" s="44">
        <v>0.0</v>
      </c>
      <c r="N506" s="166">
        <v>0.0</v>
      </c>
      <c r="O506" s="166">
        <v>0.0</v>
      </c>
      <c r="P506" s="44">
        <v>0.0</v>
      </c>
      <c r="Q506" s="44">
        <v>0.0</v>
      </c>
      <c r="R506" s="44">
        <v>1.0</v>
      </c>
      <c r="S506" s="45"/>
      <c r="T506" s="44">
        <v>0.0</v>
      </c>
      <c r="U506" s="44">
        <v>0.0</v>
      </c>
      <c r="V506" s="44">
        <v>1.0</v>
      </c>
      <c r="W506" s="45"/>
      <c r="X506" s="45"/>
      <c r="Y506" s="45"/>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row>
    <row r="507">
      <c r="A507" s="227">
        <v>1.0</v>
      </c>
      <c r="B507" s="438" t="s">
        <v>5632</v>
      </c>
      <c r="C507" s="44">
        <v>503.0</v>
      </c>
      <c r="D507" s="44">
        <v>7.0</v>
      </c>
      <c r="E507" s="44" t="s">
        <v>1076</v>
      </c>
      <c r="F507" s="162" t="str">
        <f>HYPERLINK("https://www.tribunnews.com/regional/2019/12/25/video-viral-istri-seret-suami-cacat-mengemis-di-jalan-marah-dan-pukul-badan-suami ","sumber")</f>
        <v>sumber</v>
      </c>
      <c r="G507" s="44" t="s">
        <v>33</v>
      </c>
      <c r="H507" s="439">
        <v>82.0</v>
      </c>
      <c r="I507" s="44">
        <v>2.0</v>
      </c>
      <c r="J507" s="44">
        <v>2.0</v>
      </c>
      <c r="K507" s="44"/>
      <c r="L507" s="44">
        <v>0.0</v>
      </c>
      <c r="M507" s="44">
        <v>0.0</v>
      </c>
      <c r="N507" s="166">
        <v>0.0</v>
      </c>
      <c r="O507" s="166">
        <v>0.0</v>
      </c>
      <c r="P507" s="44">
        <v>0.0</v>
      </c>
      <c r="Q507" s="44"/>
      <c r="R507" s="44"/>
      <c r="S507" s="44" t="s">
        <v>1212</v>
      </c>
      <c r="T507" s="44">
        <v>1.0</v>
      </c>
      <c r="U507" s="44">
        <v>0.0</v>
      </c>
      <c r="V507" s="44">
        <v>0.0</v>
      </c>
      <c r="W507" s="45"/>
      <c r="X507" s="45"/>
      <c r="Y507" s="45"/>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row>
    <row r="508">
      <c r="A508" s="227">
        <v>1.0</v>
      </c>
      <c r="B508" s="438" t="s">
        <v>5633</v>
      </c>
      <c r="C508" s="79">
        <v>504.0</v>
      </c>
      <c r="D508" s="44">
        <v>7.0</v>
      </c>
      <c r="E508" s="44" t="s">
        <v>1080</v>
      </c>
      <c r="F508" s="162" t="str">
        <f>HYPERLINK("https://www.tribunnews.com/regional/2019/12/28/pelaku-mengaku-sengaja-melepaskan-pakaian-bella-setelah-dibunuh-dan-dirampok ","sumber")</f>
        <v>sumber</v>
      </c>
      <c r="G508" s="44" t="s">
        <v>33</v>
      </c>
      <c r="H508" s="439">
        <v>228.0</v>
      </c>
      <c r="I508" s="44">
        <v>1.0</v>
      </c>
      <c r="J508" s="44">
        <v>1.0</v>
      </c>
      <c r="K508" s="44" t="s">
        <v>5634</v>
      </c>
      <c r="L508" s="44">
        <v>0.0</v>
      </c>
      <c r="M508" s="44">
        <v>-1.0</v>
      </c>
      <c r="N508" s="44">
        <v>-1.0</v>
      </c>
      <c r="O508" s="166">
        <v>0.0</v>
      </c>
      <c r="P508" s="44">
        <v>-1.0</v>
      </c>
      <c r="Q508" s="44">
        <v>0.0</v>
      </c>
      <c r="R508" s="44">
        <v>0.0</v>
      </c>
      <c r="S508" s="45"/>
      <c r="T508" s="44">
        <v>0.0</v>
      </c>
      <c r="U508" s="44">
        <v>0.0</v>
      </c>
      <c r="V508" s="44">
        <v>0.0</v>
      </c>
      <c r="W508" s="45"/>
      <c r="X508" s="45"/>
      <c r="Y508" s="45"/>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row>
    <row r="509">
      <c r="A509" s="347">
        <v>1.0</v>
      </c>
      <c r="B509" s="414" t="s">
        <v>5635</v>
      </c>
      <c r="C509" s="55">
        <v>505.0</v>
      </c>
      <c r="D509" s="55">
        <v>10.0</v>
      </c>
      <c r="E509" s="55" t="s">
        <v>973</v>
      </c>
      <c r="F509" s="171" t="str">
        <f>HYPERLINK("https://cantik.tempo.co/read/1286708/hari-ibu-megawati-ajak-perempuan-berani-berpolitik","sumber")</f>
        <v>sumber</v>
      </c>
      <c r="G509" s="55" t="s">
        <v>33</v>
      </c>
      <c r="H509" s="415">
        <v>325.0</v>
      </c>
      <c r="I509" s="55">
        <v>3.0</v>
      </c>
      <c r="J509" s="55">
        <v>3.0</v>
      </c>
      <c r="K509" s="55" t="s">
        <v>5636</v>
      </c>
      <c r="L509" s="55">
        <v>0.0</v>
      </c>
      <c r="M509" s="55">
        <v>0.0</v>
      </c>
      <c r="N509" s="173">
        <v>0.0</v>
      </c>
      <c r="O509" s="173">
        <v>0.0</v>
      </c>
      <c r="P509" s="55">
        <v>0.0</v>
      </c>
      <c r="Q509" s="55">
        <v>0.0</v>
      </c>
      <c r="R509" s="55">
        <v>1.0</v>
      </c>
      <c r="S509" s="46"/>
      <c r="T509" s="55">
        <v>0.0</v>
      </c>
      <c r="U509" s="55">
        <v>0.0</v>
      </c>
      <c r="V509" s="55">
        <v>1.0</v>
      </c>
      <c r="W509" s="46"/>
      <c r="X509" s="46"/>
      <c r="Y509" s="46"/>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c r="BB509" s="31"/>
      <c r="BC509" s="31"/>
      <c r="BD509" s="31"/>
      <c r="BE509" s="31"/>
    </row>
    <row r="510">
      <c r="A510" s="352">
        <v>1.0</v>
      </c>
      <c r="B510" s="438" t="s">
        <v>5637</v>
      </c>
      <c r="C510" s="44">
        <v>506.0</v>
      </c>
      <c r="D510" s="44">
        <v>5.0</v>
      </c>
      <c r="E510" s="44" t="s">
        <v>1088</v>
      </c>
      <c r="F510" s="162" t="str">
        <f>HYPERLINK("https://tirto.id/123-anak-jadi-korban-kekerasan-seksual-di-sekolah-selama-2019-ep3D ","sumber")</f>
        <v>sumber</v>
      </c>
      <c r="G510" s="44" t="s">
        <v>33</v>
      </c>
      <c r="H510" s="439">
        <v>682.0</v>
      </c>
      <c r="I510" s="44">
        <v>2.0</v>
      </c>
      <c r="J510" s="44">
        <v>1.0</v>
      </c>
      <c r="K510" s="441" t="s">
        <v>5638</v>
      </c>
      <c r="L510" s="441">
        <v>0.0</v>
      </c>
      <c r="M510" s="441">
        <v>0.0</v>
      </c>
      <c r="N510" s="166">
        <v>0.0</v>
      </c>
      <c r="O510" s="166">
        <v>0.0</v>
      </c>
      <c r="P510" s="44">
        <v>0.0</v>
      </c>
      <c r="Q510" s="44">
        <v>0.0</v>
      </c>
      <c r="R510" s="44">
        <v>1.0</v>
      </c>
      <c r="S510" s="45"/>
      <c r="T510" s="44">
        <v>0.0</v>
      </c>
      <c r="U510" s="44">
        <v>0.0</v>
      </c>
      <c r="V510" s="44">
        <v>1.0</v>
      </c>
      <c r="W510" s="45"/>
      <c r="X510" s="45"/>
      <c r="Y510" s="45"/>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row>
    <row r="511">
      <c r="A511" s="9"/>
      <c r="B511" s="9"/>
      <c r="C511" s="9"/>
      <c r="D511" s="9"/>
      <c r="E511" s="9"/>
      <c r="F511" s="9"/>
      <c r="G511" s="9"/>
      <c r="H511" s="9"/>
      <c r="I511" s="9"/>
      <c r="J511" s="9"/>
      <c r="K511" s="9"/>
      <c r="L511" s="9"/>
      <c r="M511" s="9"/>
      <c r="N511" s="9"/>
      <c r="O511" s="9"/>
      <c r="P511" s="9"/>
      <c r="Q511" s="9"/>
      <c r="R511" s="9"/>
      <c r="S511" s="9"/>
      <c r="T511" s="9"/>
      <c r="U511" s="442">
        <v>0.0</v>
      </c>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c r="A551" s="9"/>
      <c r="B551" s="9"/>
      <c r="C551" s="9"/>
      <c r="D551" s="9"/>
      <c r="E551" s="9"/>
      <c r="F551" s="9"/>
      <c r="G551" s="9"/>
      <c r="H551" s="9"/>
      <c r="I551" s="9"/>
    </row>
    <row r="552">
      <c r="A552" s="9"/>
      <c r="B552" s="9"/>
      <c r="C552" s="9"/>
      <c r="D552" s="9"/>
      <c r="E552" s="9"/>
      <c r="F552" s="9"/>
      <c r="G552" s="9"/>
      <c r="H552" s="9"/>
      <c r="I552" s="9"/>
    </row>
    <row r="553">
      <c r="A553" s="9"/>
      <c r="B553" s="9"/>
      <c r="C553" s="9"/>
      <c r="D553" s="9"/>
      <c r="E553" s="9"/>
      <c r="F553" s="9"/>
      <c r="G553" s="9"/>
      <c r="H553" s="9"/>
      <c r="I553" s="9"/>
    </row>
    <row r="554">
      <c r="A554" s="9"/>
      <c r="B554" s="9"/>
      <c r="C554" s="9"/>
      <c r="D554" s="9"/>
      <c r="E554" s="9"/>
      <c r="F554" s="9"/>
      <c r="G554" s="9"/>
      <c r="H554" s="9"/>
      <c r="I554" s="9"/>
    </row>
    <row r="555">
      <c r="A555" s="9"/>
      <c r="B555" s="9"/>
      <c r="C555" s="9"/>
      <c r="D555" s="9"/>
      <c r="E555" s="9"/>
      <c r="F555" s="9"/>
      <c r="G555" s="9"/>
      <c r="H555" s="9"/>
      <c r="I555" s="9"/>
    </row>
    <row r="556">
      <c r="A556" s="9"/>
      <c r="B556" s="9"/>
      <c r="C556" s="9"/>
      <c r="D556" s="9"/>
      <c r="E556" s="9"/>
      <c r="F556" s="9"/>
      <c r="G556" s="9"/>
      <c r="H556" s="9"/>
      <c r="I556" s="9"/>
    </row>
    <row r="557">
      <c r="A557" s="9"/>
      <c r="B557" s="9"/>
      <c r="C557" s="9"/>
      <c r="D557" s="9"/>
      <c r="E557" s="9"/>
      <c r="F557" s="9"/>
      <c r="G557" s="9"/>
      <c r="H557" s="9"/>
      <c r="I557" s="9"/>
    </row>
    <row r="558">
      <c r="A558" s="9"/>
      <c r="B558" s="9"/>
      <c r="C558" s="9"/>
      <c r="D558" s="9"/>
      <c r="E558" s="9"/>
      <c r="F558" s="9"/>
      <c r="G558" s="9"/>
      <c r="H558" s="9"/>
      <c r="I558" s="9"/>
    </row>
    <row r="559">
      <c r="A559" s="9"/>
      <c r="B559" s="9"/>
      <c r="C559" s="9"/>
      <c r="D559" s="9"/>
      <c r="E559" s="9"/>
      <c r="F559" s="9"/>
      <c r="G559" s="9"/>
      <c r="H559" s="9"/>
      <c r="I559" s="9"/>
    </row>
    <row r="560">
      <c r="A560" s="9"/>
      <c r="B560" s="9"/>
      <c r="C560" s="9"/>
      <c r="D560" s="9"/>
      <c r="E560" s="9"/>
      <c r="F560" s="9"/>
      <c r="G560" s="9"/>
      <c r="H560" s="9"/>
      <c r="I560" s="9"/>
    </row>
    <row r="561">
      <c r="A561" s="9"/>
      <c r="B561" s="9"/>
      <c r="C561" s="9"/>
      <c r="D561" s="9"/>
      <c r="E561" s="9"/>
      <c r="F561" s="9"/>
      <c r="G561" s="9"/>
      <c r="H561" s="9"/>
      <c r="I561" s="9"/>
    </row>
    <row r="562">
      <c r="A562" s="9"/>
      <c r="B562" s="9"/>
      <c r="C562" s="9"/>
      <c r="D562" s="9"/>
      <c r="E562" s="9"/>
      <c r="F562" s="9"/>
      <c r="G562" s="9"/>
      <c r="H562" s="9"/>
      <c r="I562" s="9"/>
    </row>
    <row r="563">
      <c r="A563" s="9"/>
      <c r="B563" s="9"/>
      <c r="C563" s="9"/>
      <c r="D563" s="9"/>
      <c r="E563" s="9"/>
      <c r="F563" s="9"/>
      <c r="G563" s="9"/>
      <c r="H563" s="9"/>
      <c r="I563" s="9"/>
    </row>
    <row r="564">
      <c r="A564" s="9"/>
      <c r="B564" s="9"/>
      <c r="C564" s="9"/>
      <c r="D564" s="9"/>
      <c r="E564" s="9"/>
      <c r="F564" s="9"/>
      <c r="G564" s="9"/>
      <c r="H564" s="9"/>
      <c r="I564" s="9"/>
    </row>
    <row r="565">
      <c r="A565" s="9"/>
      <c r="B565" s="9"/>
      <c r="C565" s="9"/>
      <c r="D565" s="9"/>
      <c r="E565" s="9"/>
      <c r="F565" s="9"/>
      <c r="G565" s="9"/>
      <c r="H565" s="9"/>
      <c r="I565" s="9"/>
    </row>
    <row r="566">
      <c r="A566" s="9"/>
      <c r="B566" s="9"/>
      <c r="C566" s="9"/>
      <c r="D566" s="9"/>
      <c r="E566" s="9"/>
      <c r="F566" s="9"/>
      <c r="G566" s="9"/>
      <c r="H566" s="9"/>
      <c r="I566" s="9"/>
    </row>
    <row r="567">
      <c r="A567" s="9"/>
      <c r="B567" s="9"/>
      <c r="C567" s="9"/>
      <c r="D567" s="9"/>
      <c r="E567" s="9"/>
      <c r="F567" s="9"/>
      <c r="G567" s="9"/>
      <c r="H567" s="9"/>
      <c r="I567" s="9"/>
    </row>
    <row r="568">
      <c r="A568" s="9"/>
      <c r="B568" s="9"/>
      <c r="C568" s="9"/>
      <c r="D568" s="9"/>
      <c r="E568" s="9"/>
      <c r="F568" s="9"/>
      <c r="G568" s="9"/>
      <c r="H568" s="9"/>
      <c r="I568" s="9"/>
    </row>
    <row r="569">
      <c r="A569" s="9"/>
      <c r="B569" s="9"/>
      <c r="C569" s="9"/>
      <c r="D569" s="9"/>
      <c r="E569" s="9"/>
      <c r="F569" s="9"/>
      <c r="G569" s="9"/>
      <c r="H569" s="9"/>
      <c r="I569" s="9"/>
    </row>
    <row r="570">
      <c r="A570" s="9"/>
      <c r="B570" s="9"/>
      <c r="C570" s="9"/>
      <c r="D570" s="9"/>
      <c r="E570" s="9"/>
      <c r="F570" s="9"/>
      <c r="G570" s="9"/>
      <c r="H570" s="9"/>
      <c r="I570" s="9"/>
    </row>
    <row r="571">
      <c r="A571" s="9"/>
      <c r="B571" s="9"/>
      <c r="C571" s="9"/>
      <c r="D571" s="9"/>
      <c r="E571" s="9"/>
      <c r="F571" s="9"/>
      <c r="G571" s="9"/>
      <c r="H571" s="9"/>
      <c r="I571" s="9"/>
    </row>
    <row r="572">
      <c r="A572" s="9"/>
      <c r="B572" s="9"/>
      <c r="C572" s="9"/>
      <c r="D572" s="9"/>
      <c r="E572" s="9"/>
      <c r="F572" s="9"/>
      <c r="G572" s="9"/>
      <c r="H572" s="9"/>
      <c r="I572" s="9"/>
    </row>
    <row r="573">
      <c r="A573" s="9"/>
      <c r="B573" s="9"/>
      <c r="C573" s="9"/>
      <c r="D573" s="9"/>
      <c r="E573" s="9"/>
      <c r="F573" s="9"/>
      <c r="G573" s="9"/>
      <c r="H573" s="9"/>
      <c r="I573" s="9"/>
    </row>
    <row r="574">
      <c r="A574" s="9"/>
      <c r="B574" s="9"/>
      <c r="C574" s="9"/>
      <c r="D574" s="9"/>
      <c r="E574" s="9"/>
      <c r="F574" s="9"/>
      <c r="G574" s="9"/>
      <c r="H574" s="9"/>
      <c r="I574" s="9"/>
    </row>
    <row r="575">
      <c r="A575" s="9"/>
      <c r="B575" s="9"/>
      <c r="C575" s="9"/>
      <c r="D575" s="9"/>
      <c r="E575" s="9"/>
      <c r="F575" s="9"/>
      <c r="G575" s="9"/>
      <c r="H575" s="9"/>
      <c r="I575" s="9"/>
    </row>
    <row r="576">
      <c r="A576" s="9"/>
      <c r="B576" s="9"/>
      <c r="C576" s="9"/>
      <c r="D576" s="9"/>
      <c r="E576" s="9"/>
      <c r="F576" s="9"/>
      <c r="G576" s="9"/>
      <c r="H576" s="9"/>
      <c r="I576" s="9"/>
    </row>
    <row r="577">
      <c r="A577" s="9"/>
      <c r="B577" s="9"/>
      <c r="C577" s="9"/>
      <c r="D577" s="9"/>
      <c r="E577" s="9"/>
      <c r="F577" s="9"/>
      <c r="G577" s="9"/>
      <c r="H577" s="9"/>
      <c r="I577" s="9"/>
    </row>
    <row r="578">
      <c r="A578" s="9"/>
      <c r="B578" s="9"/>
      <c r="C578" s="9"/>
      <c r="D578" s="9"/>
      <c r="E578" s="9"/>
      <c r="F578" s="9"/>
      <c r="G578" s="9"/>
      <c r="H578" s="9"/>
      <c r="I578" s="9"/>
    </row>
    <row r="579">
      <c r="A579" s="9"/>
      <c r="B579" s="9"/>
      <c r="C579" s="9"/>
      <c r="D579" s="9"/>
      <c r="E579" s="9"/>
      <c r="F579" s="9"/>
      <c r="G579" s="9"/>
      <c r="H579" s="9"/>
      <c r="I579" s="9"/>
    </row>
    <row r="580">
      <c r="A580" s="9"/>
      <c r="B580" s="9"/>
      <c r="C580" s="9"/>
      <c r="D580" s="9"/>
      <c r="E580" s="9"/>
      <c r="F580" s="9"/>
      <c r="G580" s="9"/>
      <c r="H580" s="9"/>
      <c r="I580" s="9"/>
    </row>
    <row r="581">
      <c r="A581" s="9"/>
      <c r="B581" s="9"/>
      <c r="C581" s="9"/>
      <c r="D581" s="9"/>
      <c r="E581" s="9"/>
      <c r="F581" s="9"/>
      <c r="G581" s="9"/>
      <c r="H581" s="9"/>
      <c r="I581" s="9"/>
    </row>
    <row r="582">
      <c r="A582" s="9"/>
      <c r="B582" s="9"/>
      <c r="C582" s="9"/>
      <c r="D582" s="9"/>
      <c r="E582" s="9"/>
      <c r="F582" s="9"/>
      <c r="G582" s="9"/>
      <c r="H582" s="9"/>
      <c r="I582" s="9"/>
    </row>
    <row r="583">
      <c r="A583" s="9"/>
      <c r="B583" s="9"/>
      <c r="C583" s="9"/>
      <c r="D583" s="9"/>
      <c r="E583" s="9"/>
      <c r="F583" s="9"/>
      <c r="G583" s="9"/>
      <c r="H583" s="9"/>
      <c r="I583" s="9"/>
    </row>
    <row r="584">
      <c r="A584" s="9"/>
      <c r="B584" s="9"/>
      <c r="C584" s="9"/>
      <c r="D584" s="9"/>
      <c r="E584" s="9"/>
      <c r="F584" s="9"/>
      <c r="G584" s="9"/>
      <c r="H584" s="9"/>
      <c r="I584" s="9"/>
    </row>
    <row r="585">
      <c r="A585" s="9"/>
      <c r="B585" s="9"/>
      <c r="C585" s="9"/>
      <c r="D585" s="9"/>
      <c r="E585" s="9"/>
      <c r="F585" s="9"/>
      <c r="G585" s="9"/>
      <c r="H585" s="9"/>
      <c r="I585" s="9"/>
    </row>
    <row r="586">
      <c r="A586" s="9"/>
      <c r="B586" s="9"/>
      <c r="C586" s="9"/>
      <c r="D586" s="9"/>
      <c r="E586" s="9"/>
      <c r="F586" s="9"/>
      <c r="G586" s="9"/>
      <c r="H586" s="9"/>
      <c r="I586" s="9"/>
    </row>
    <row r="587">
      <c r="A587" s="9"/>
      <c r="B587" s="9"/>
      <c r="C587" s="9"/>
      <c r="D587" s="9"/>
      <c r="E587" s="9"/>
      <c r="F587" s="9"/>
      <c r="G587" s="9"/>
      <c r="H587" s="9"/>
      <c r="I587" s="9"/>
    </row>
    <row r="588">
      <c r="A588" s="9"/>
      <c r="B588" s="9"/>
      <c r="C588" s="9"/>
      <c r="D588" s="9"/>
      <c r="E588" s="9"/>
      <c r="F588" s="9"/>
      <c r="G588" s="9"/>
      <c r="H588" s="9"/>
      <c r="I588" s="9"/>
    </row>
    <row r="589">
      <c r="A589" s="9"/>
      <c r="B589" s="9"/>
      <c r="C589" s="9"/>
      <c r="D589" s="9"/>
      <c r="E589" s="9"/>
      <c r="F589" s="9"/>
      <c r="G589" s="9"/>
      <c r="H589" s="9"/>
      <c r="I589" s="9"/>
    </row>
    <row r="590">
      <c r="A590" s="9"/>
      <c r="B590" s="9"/>
      <c r="C590" s="9"/>
      <c r="D590" s="9"/>
      <c r="E590" s="9"/>
      <c r="F590" s="9"/>
      <c r="G590" s="9"/>
      <c r="H590" s="9"/>
      <c r="I590" s="9"/>
    </row>
    <row r="591">
      <c r="A591" s="9"/>
      <c r="B591" s="9"/>
      <c r="C591" s="9"/>
      <c r="D591" s="9"/>
      <c r="E591" s="9"/>
      <c r="F591" s="9"/>
      <c r="G591" s="9"/>
      <c r="H591" s="9"/>
      <c r="I591" s="9"/>
    </row>
    <row r="592">
      <c r="A592" s="9"/>
      <c r="B592" s="9"/>
      <c r="C592" s="9"/>
      <c r="D592" s="9"/>
      <c r="E592" s="9"/>
      <c r="F592" s="9"/>
      <c r="G592" s="9"/>
      <c r="H592" s="9"/>
      <c r="I592" s="9"/>
    </row>
    <row r="593">
      <c r="A593" s="9"/>
      <c r="B593" s="9"/>
      <c r="C593" s="9"/>
      <c r="D593" s="9"/>
      <c r="E593" s="9"/>
      <c r="F593" s="9"/>
      <c r="G593" s="9"/>
      <c r="H593" s="9"/>
      <c r="I593" s="9"/>
    </row>
    <row r="594">
      <c r="A594" s="9"/>
      <c r="B594" s="9"/>
      <c r="C594" s="9"/>
      <c r="D594" s="9"/>
      <c r="E594" s="9"/>
      <c r="F594" s="9"/>
      <c r="G594" s="9"/>
      <c r="H594" s="9"/>
      <c r="I594" s="9"/>
    </row>
    <row r="595">
      <c r="A595" s="9"/>
      <c r="B595" s="9"/>
      <c r="C595" s="9"/>
      <c r="D595" s="9"/>
      <c r="E595" s="9"/>
      <c r="F595" s="9"/>
      <c r="G595" s="9"/>
      <c r="H595" s="9"/>
      <c r="I595" s="9"/>
    </row>
    <row r="596">
      <c r="A596" s="9"/>
      <c r="B596" s="9"/>
      <c r="C596" s="9"/>
      <c r="D596" s="9"/>
      <c r="E596" s="9"/>
      <c r="F596" s="9"/>
      <c r="G596" s="9"/>
      <c r="H596" s="9"/>
      <c r="I596" s="9"/>
    </row>
    <row r="597">
      <c r="A597" s="9"/>
      <c r="B597" s="9"/>
      <c r="C597" s="9"/>
      <c r="D597" s="9"/>
      <c r="E597" s="9"/>
      <c r="F597" s="9"/>
      <c r="G597" s="9"/>
      <c r="H597" s="9"/>
      <c r="I597" s="9"/>
    </row>
    <row r="598">
      <c r="A598" s="9"/>
      <c r="B598" s="9"/>
      <c r="C598" s="9"/>
      <c r="D598" s="9"/>
      <c r="E598" s="9"/>
      <c r="F598" s="9"/>
      <c r="G598" s="9"/>
      <c r="H598" s="9"/>
      <c r="I598" s="9"/>
    </row>
    <row r="599">
      <c r="A599" s="9"/>
      <c r="B599" s="9"/>
      <c r="C599" s="9"/>
      <c r="D599" s="9"/>
      <c r="E599" s="9"/>
      <c r="F599" s="9"/>
      <c r="G599" s="9"/>
      <c r="H599" s="9"/>
      <c r="I599" s="9"/>
    </row>
    <row r="600">
      <c r="A600" s="9"/>
      <c r="B600" s="9"/>
      <c r="C600" s="9"/>
      <c r="D600" s="9"/>
      <c r="E600" s="9"/>
      <c r="F600" s="9"/>
      <c r="G600" s="9"/>
      <c r="H600" s="9"/>
      <c r="I600" s="9"/>
    </row>
    <row r="601">
      <c r="A601" s="9"/>
      <c r="B601" s="9"/>
      <c r="C601" s="9"/>
      <c r="D601" s="9"/>
      <c r="E601" s="9"/>
      <c r="F601" s="9"/>
      <c r="G601" s="9"/>
      <c r="H601" s="9"/>
      <c r="I601" s="9"/>
    </row>
    <row r="602">
      <c r="A602" s="9"/>
      <c r="B602" s="9"/>
      <c r="C602" s="9"/>
      <c r="D602" s="9"/>
      <c r="E602" s="9"/>
      <c r="F602" s="9"/>
      <c r="G602" s="9"/>
      <c r="H602" s="9"/>
      <c r="I602" s="9"/>
    </row>
    <row r="603">
      <c r="A603" s="9"/>
      <c r="B603" s="9"/>
      <c r="C603" s="9"/>
      <c r="D603" s="9"/>
      <c r="E603" s="9"/>
      <c r="F603" s="9"/>
      <c r="G603" s="9"/>
      <c r="H603" s="9"/>
      <c r="I603" s="9"/>
    </row>
    <row r="604">
      <c r="A604" s="9"/>
      <c r="B604" s="9"/>
      <c r="C604" s="9"/>
      <c r="D604" s="9"/>
      <c r="E604" s="9"/>
      <c r="F604" s="9"/>
      <c r="G604" s="9"/>
      <c r="H604" s="9"/>
      <c r="I604" s="9"/>
    </row>
    <row r="605">
      <c r="A605" s="9"/>
      <c r="B605" s="9"/>
      <c r="C605" s="9"/>
      <c r="D605" s="9"/>
      <c r="E605" s="9"/>
      <c r="F605" s="9"/>
      <c r="G605" s="9"/>
      <c r="H605" s="9"/>
      <c r="I605" s="9"/>
    </row>
    <row r="606">
      <c r="A606" s="9"/>
      <c r="B606" s="9"/>
      <c r="C606" s="9"/>
      <c r="D606" s="9"/>
      <c r="E606" s="9"/>
      <c r="F606" s="9"/>
      <c r="G606" s="9"/>
      <c r="H606" s="9"/>
      <c r="I606" s="9"/>
    </row>
    <row r="607">
      <c r="A607" s="9"/>
      <c r="B607" s="9"/>
      <c r="C607" s="9"/>
      <c r="D607" s="9"/>
      <c r="E607" s="9"/>
      <c r="F607" s="9"/>
      <c r="G607" s="9"/>
      <c r="H607" s="9"/>
      <c r="I607" s="9"/>
    </row>
    <row r="608">
      <c r="A608" s="9"/>
      <c r="B608" s="9"/>
      <c r="C608" s="9"/>
      <c r="D608" s="9"/>
      <c r="E608" s="9"/>
      <c r="F608" s="9"/>
      <c r="G608" s="9"/>
      <c r="H608" s="9"/>
      <c r="I608" s="9"/>
    </row>
    <row r="609">
      <c r="A609" s="9"/>
      <c r="B609" s="9"/>
      <c r="C609" s="9"/>
      <c r="D609" s="9"/>
      <c r="E609" s="9"/>
      <c r="F609" s="9"/>
      <c r="G609" s="9"/>
      <c r="H609" s="9"/>
      <c r="I609" s="9"/>
    </row>
    <row r="610">
      <c r="A610" s="9"/>
      <c r="B610" s="9"/>
      <c r="C610" s="9"/>
      <c r="D610" s="9"/>
      <c r="E610" s="9"/>
      <c r="F610" s="9"/>
      <c r="G610" s="9"/>
      <c r="H610" s="9"/>
      <c r="I610" s="9"/>
    </row>
    <row r="611">
      <c r="A611" s="9"/>
      <c r="B611" s="9"/>
      <c r="C611" s="9"/>
      <c r="D611" s="9"/>
      <c r="E611" s="9"/>
      <c r="F611" s="9"/>
      <c r="G611" s="9"/>
      <c r="H611" s="9"/>
      <c r="I611" s="9"/>
    </row>
    <row r="612">
      <c r="A612" s="9"/>
      <c r="B612" s="9"/>
      <c r="C612" s="9"/>
      <c r="D612" s="9"/>
      <c r="E612" s="9"/>
      <c r="F612" s="9"/>
      <c r="G612" s="9"/>
      <c r="H612" s="9"/>
      <c r="I612" s="9"/>
    </row>
    <row r="613">
      <c r="A613" s="9"/>
      <c r="B613" s="9"/>
      <c r="C613" s="9"/>
      <c r="D613" s="9"/>
      <c r="E613" s="9"/>
      <c r="F613" s="9"/>
      <c r="G613" s="9"/>
      <c r="H613" s="9"/>
      <c r="I613" s="9"/>
    </row>
    <row r="614">
      <c r="A614" s="9"/>
      <c r="B614" s="9"/>
      <c r="C614" s="9"/>
      <c r="D614" s="9"/>
      <c r="E614" s="9"/>
      <c r="F614" s="9"/>
      <c r="G614" s="9"/>
      <c r="H614" s="9"/>
      <c r="I614" s="9"/>
    </row>
    <row r="615">
      <c r="A615" s="9"/>
      <c r="B615" s="9"/>
      <c r="C615" s="9"/>
      <c r="D615" s="9"/>
      <c r="E615" s="9"/>
      <c r="F615" s="9"/>
      <c r="G615" s="9"/>
      <c r="H615" s="9"/>
      <c r="I615" s="9"/>
    </row>
    <row r="616">
      <c r="A616" s="9"/>
      <c r="B616" s="9"/>
      <c r="C616" s="9"/>
      <c r="D616" s="9"/>
      <c r="E616" s="9"/>
      <c r="F616" s="9"/>
      <c r="G616" s="9"/>
      <c r="H616" s="9"/>
      <c r="I616" s="9"/>
    </row>
    <row r="617">
      <c r="A617" s="9"/>
      <c r="B617" s="9"/>
      <c r="C617" s="9"/>
      <c r="D617" s="9"/>
      <c r="E617" s="9"/>
      <c r="F617" s="9"/>
      <c r="G617" s="9"/>
      <c r="H617" s="9"/>
      <c r="I617" s="9"/>
    </row>
    <row r="618">
      <c r="A618" s="9"/>
      <c r="B618" s="9"/>
      <c r="C618" s="9"/>
      <c r="D618" s="9"/>
      <c r="E618" s="9"/>
      <c r="F618" s="9"/>
      <c r="G618" s="9"/>
      <c r="H618" s="9"/>
      <c r="I618" s="9"/>
    </row>
    <row r="619">
      <c r="A619" s="9"/>
      <c r="B619" s="9"/>
      <c r="C619" s="9"/>
      <c r="D619" s="9"/>
      <c r="E619" s="9"/>
      <c r="F619" s="9"/>
      <c r="G619" s="9"/>
      <c r="H619" s="9"/>
      <c r="I619" s="9"/>
    </row>
    <row r="620">
      <c r="A620" s="9"/>
      <c r="B620" s="9"/>
      <c r="C620" s="9"/>
      <c r="D620" s="9"/>
      <c r="E620" s="9"/>
      <c r="F620" s="9"/>
      <c r="G620" s="9"/>
      <c r="H620" s="9"/>
      <c r="I620" s="9"/>
    </row>
    <row r="621">
      <c r="A621" s="9"/>
      <c r="B621" s="9"/>
      <c r="C621" s="9"/>
      <c r="D621" s="9"/>
      <c r="E621" s="9"/>
      <c r="F621" s="9"/>
      <c r="G621" s="9"/>
      <c r="H621" s="9"/>
      <c r="I621" s="9"/>
    </row>
    <row r="622">
      <c r="A622" s="9"/>
      <c r="B622" s="9"/>
      <c r="C622" s="9"/>
      <c r="D622" s="9"/>
      <c r="E622" s="9"/>
      <c r="F622" s="9"/>
      <c r="G622" s="9"/>
      <c r="H622" s="9"/>
      <c r="I622" s="9"/>
    </row>
    <row r="623">
      <c r="A623" s="9"/>
      <c r="B623" s="9"/>
      <c r="C623" s="9"/>
      <c r="D623" s="9"/>
      <c r="E623" s="9"/>
      <c r="F623" s="9"/>
      <c r="G623" s="9"/>
      <c r="H623" s="9"/>
      <c r="I623" s="9"/>
    </row>
    <row r="624">
      <c r="A624" s="9"/>
      <c r="B624" s="9"/>
      <c r="C624" s="9"/>
      <c r="D624" s="9"/>
      <c r="E624" s="9"/>
      <c r="F624" s="9"/>
      <c r="G624" s="9"/>
      <c r="H624" s="9"/>
      <c r="I624" s="9"/>
    </row>
    <row r="625">
      <c r="A625" s="9"/>
      <c r="B625" s="9"/>
      <c r="C625" s="9"/>
      <c r="D625" s="9"/>
      <c r="E625" s="9"/>
      <c r="F625" s="9"/>
      <c r="G625" s="9"/>
      <c r="H625" s="9"/>
      <c r="I625" s="9"/>
    </row>
    <row r="626">
      <c r="A626" s="9"/>
      <c r="B626" s="9"/>
      <c r="C626" s="9"/>
      <c r="D626" s="9"/>
      <c r="E626" s="9"/>
      <c r="F626" s="9"/>
      <c r="G626" s="9"/>
      <c r="H626" s="9"/>
      <c r="I626" s="9"/>
    </row>
    <row r="627">
      <c r="A627" s="9"/>
      <c r="B627" s="9"/>
      <c r="C627" s="9"/>
      <c r="D627" s="9"/>
      <c r="E627" s="9"/>
      <c r="F627" s="9"/>
      <c r="G627" s="9"/>
      <c r="H627" s="9"/>
      <c r="I627" s="9"/>
    </row>
    <row r="628">
      <c r="A628" s="9"/>
      <c r="B628" s="9"/>
      <c r="C628" s="9"/>
      <c r="D628" s="9"/>
      <c r="E628" s="9"/>
      <c r="F628" s="9"/>
      <c r="G628" s="9"/>
      <c r="H628" s="9"/>
      <c r="I628" s="9"/>
    </row>
    <row r="629">
      <c r="A629" s="9"/>
      <c r="B629" s="9"/>
      <c r="C629" s="9"/>
      <c r="D629" s="9"/>
      <c r="E629" s="9"/>
      <c r="F629" s="9"/>
      <c r="G629" s="9"/>
      <c r="H629" s="9"/>
      <c r="I629" s="9"/>
    </row>
    <row r="630">
      <c r="A630" s="9"/>
      <c r="B630" s="9"/>
      <c r="C630" s="9"/>
      <c r="D630" s="9"/>
      <c r="E630" s="9"/>
      <c r="F630" s="9"/>
      <c r="G630" s="9"/>
      <c r="H630" s="9"/>
      <c r="I630" s="9"/>
    </row>
    <row r="631">
      <c r="A631" s="9"/>
      <c r="B631" s="9"/>
      <c r="C631" s="9"/>
      <c r="D631" s="9"/>
      <c r="E631" s="9"/>
      <c r="F631" s="9"/>
      <c r="G631" s="9"/>
      <c r="H631" s="9"/>
      <c r="I631" s="9"/>
    </row>
    <row r="632">
      <c r="A632" s="9"/>
      <c r="B632" s="9"/>
      <c r="C632" s="9"/>
      <c r="D632" s="9"/>
      <c r="E632" s="9"/>
      <c r="F632" s="9"/>
      <c r="G632" s="9"/>
      <c r="H632" s="9"/>
      <c r="I632" s="9"/>
    </row>
    <row r="633">
      <c r="A633" s="9"/>
      <c r="B633" s="9"/>
      <c r="C633" s="9"/>
      <c r="D633" s="9"/>
      <c r="E633" s="9"/>
      <c r="F633" s="9"/>
      <c r="G633" s="9"/>
      <c r="H633" s="9"/>
      <c r="I633" s="9"/>
    </row>
    <row r="634">
      <c r="A634" s="9"/>
      <c r="B634" s="9"/>
      <c r="C634" s="9"/>
      <c r="D634" s="9"/>
      <c r="E634" s="9"/>
      <c r="F634" s="9"/>
      <c r="G634" s="9"/>
      <c r="H634" s="9"/>
      <c r="I634" s="9"/>
    </row>
    <row r="635">
      <c r="A635" s="9"/>
      <c r="B635" s="9"/>
      <c r="C635" s="9"/>
      <c r="D635" s="9"/>
      <c r="E635" s="9"/>
      <c r="F635" s="9"/>
      <c r="G635" s="9"/>
      <c r="H635" s="9"/>
      <c r="I635" s="9"/>
    </row>
    <row r="636">
      <c r="A636" s="9"/>
      <c r="B636" s="9"/>
      <c r="C636" s="9"/>
      <c r="D636" s="9"/>
      <c r="E636" s="9"/>
      <c r="F636" s="9"/>
      <c r="G636" s="9"/>
      <c r="H636" s="9"/>
      <c r="I636" s="9"/>
    </row>
    <row r="637">
      <c r="A637" s="9"/>
      <c r="B637" s="9"/>
      <c r="C637" s="9"/>
      <c r="D637" s="9"/>
      <c r="E637" s="9"/>
      <c r="F637" s="9"/>
      <c r="G637" s="9"/>
      <c r="H637" s="9"/>
      <c r="I637" s="9"/>
    </row>
    <row r="638">
      <c r="A638" s="9"/>
      <c r="B638" s="9"/>
      <c r="C638" s="9"/>
      <c r="D638" s="9"/>
      <c r="E638" s="9"/>
      <c r="F638" s="9"/>
      <c r="G638" s="9"/>
      <c r="H638" s="9"/>
      <c r="I638" s="9"/>
    </row>
    <row r="639">
      <c r="A639" s="9"/>
      <c r="B639" s="9"/>
      <c r="C639" s="9"/>
      <c r="D639" s="9"/>
      <c r="E639" s="9"/>
      <c r="F639" s="9"/>
      <c r="G639" s="9"/>
      <c r="H639" s="9"/>
      <c r="I639" s="9"/>
    </row>
    <row r="640">
      <c r="A640" s="9"/>
      <c r="B640" s="9"/>
      <c r="C640" s="9"/>
      <c r="D640" s="9"/>
      <c r="E640" s="9"/>
      <c r="F640" s="9"/>
      <c r="G640" s="9"/>
      <c r="H640" s="9"/>
      <c r="I640" s="9"/>
    </row>
    <row r="641">
      <c r="A641" s="9"/>
      <c r="B641" s="9"/>
      <c r="C641" s="9"/>
      <c r="D641" s="9"/>
      <c r="E641" s="9"/>
      <c r="F641" s="9"/>
      <c r="G641" s="9"/>
      <c r="H641" s="9"/>
      <c r="I641" s="9"/>
    </row>
    <row r="642">
      <c r="A642" s="9"/>
      <c r="B642" s="9"/>
      <c r="C642" s="9"/>
      <c r="D642" s="9"/>
      <c r="E642" s="9"/>
      <c r="F642" s="9"/>
      <c r="G642" s="9"/>
      <c r="H642" s="9"/>
      <c r="I642" s="9"/>
    </row>
    <row r="643">
      <c r="A643" s="9"/>
      <c r="B643" s="9"/>
      <c r="C643" s="9"/>
      <c r="D643" s="9"/>
      <c r="E643" s="9"/>
      <c r="F643" s="9"/>
      <c r="G643" s="9"/>
      <c r="H643" s="9"/>
      <c r="I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row>
    <row r="644">
      <c r="A644" s="9"/>
      <c r="B644" s="9"/>
      <c r="C644" s="9"/>
      <c r="D644" s="9"/>
      <c r="E644" s="9"/>
      <c r="F644" s="9"/>
      <c r="G644" s="9"/>
      <c r="H644" s="9"/>
      <c r="I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row>
    <row r="645">
      <c r="A645" s="9"/>
      <c r="B645" s="9"/>
      <c r="C645" s="9"/>
      <c r="D645" s="9"/>
      <c r="E645" s="9"/>
      <c r="F645" s="9"/>
      <c r="G645" s="9"/>
      <c r="H645" s="9"/>
      <c r="I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row>
    <row r="646">
      <c r="A646" s="9"/>
      <c r="B646" s="9"/>
      <c r="C646" s="9"/>
      <c r="D646" s="9"/>
      <c r="E646" s="9"/>
      <c r="F646" s="9"/>
      <c r="G646" s="9"/>
      <c r="H646" s="9"/>
      <c r="I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row>
    <row r="647">
      <c r="A647" s="9"/>
      <c r="B647" s="9"/>
      <c r="C647" s="9"/>
      <c r="D647" s="9"/>
      <c r="E647" s="9"/>
      <c r="F647" s="9"/>
      <c r="G647" s="9"/>
      <c r="H647" s="9"/>
      <c r="I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row>
    <row r="648">
      <c r="A648" s="9"/>
      <c r="B648" s="9"/>
      <c r="C648" s="9"/>
      <c r="D648" s="9"/>
      <c r="E648" s="9"/>
      <c r="F648" s="9"/>
      <c r="G648" s="9"/>
      <c r="H648" s="9"/>
      <c r="I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row>
    <row r="649">
      <c r="A649" s="9"/>
      <c r="B649" s="9"/>
      <c r="C649" s="9"/>
      <c r="D649" s="9"/>
      <c r="E649" s="9"/>
      <c r="F649" s="9"/>
      <c r="G649" s="9"/>
      <c r="H649" s="9"/>
      <c r="I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row>
    <row r="650">
      <c r="A650" s="9"/>
      <c r="B650" s="9"/>
      <c r="C650" s="9"/>
      <c r="D650" s="9"/>
      <c r="E650" s="9"/>
      <c r="F650" s="9"/>
      <c r="G650" s="9"/>
      <c r="H650" s="9"/>
      <c r="I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row>
    <row r="651">
      <c r="A651" s="9"/>
      <c r="B651" s="9"/>
      <c r="C651" s="9"/>
      <c r="D651" s="9"/>
      <c r="E651" s="9"/>
      <c r="F651" s="9"/>
      <c r="G651" s="9"/>
      <c r="H651" s="9"/>
      <c r="I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row>
    <row r="652">
      <c r="A652" s="9"/>
      <c r="B652" s="9"/>
      <c r="C652" s="9"/>
      <c r="D652" s="9"/>
      <c r="E652" s="9"/>
      <c r="F652" s="9"/>
      <c r="G652" s="9"/>
      <c r="H652" s="9"/>
      <c r="I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row>
    <row r="653">
      <c r="A653" s="9"/>
      <c r="B653" s="9"/>
      <c r="C653" s="9"/>
      <c r="D653" s="9"/>
      <c r="E653" s="9"/>
      <c r="F653" s="9"/>
      <c r="G653" s="9"/>
      <c r="H653" s="9"/>
      <c r="I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row>
    <row r="654">
      <c r="A654" s="9"/>
      <c r="B654" s="9"/>
      <c r="C654" s="9"/>
      <c r="D654" s="9"/>
      <c r="E654" s="9"/>
      <c r="F654" s="9"/>
      <c r="G654" s="9"/>
      <c r="H654" s="9"/>
      <c r="I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row>
    <row r="655">
      <c r="A655" s="9"/>
      <c r="B655" s="9"/>
      <c r="C655" s="9"/>
      <c r="D655" s="9"/>
      <c r="E655" s="9"/>
      <c r="F655" s="9"/>
      <c r="G655" s="9"/>
      <c r="H655" s="9"/>
      <c r="I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row>
    <row r="656">
      <c r="A656" s="9"/>
      <c r="B656" s="9"/>
      <c r="C656" s="9"/>
      <c r="D656" s="9"/>
      <c r="E656" s="9"/>
      <c r="F656" s="9"/>
      <c r="G656" s="9"/>
      <c r="H656" s="9"/>
      <c r="I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row>
    <row r="657">
      <c r="A657" s="9"/>
      <c r="B657" s="9"/>
      <c r="C657" s="9"/>
      <c r="D657" s="9"/>
      <c r="E657" s="9"/>
      <c r="F657" s="9"/>
      <c r="G657" s="9"/>
      <c r="H657" s="9"/>
      <c r="I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row>
    <row r="658">
      <c r="A658" s="9"/>
      <c r="B658" s="9"/>
      <c r="C658" s="9"/>
      <c r="D658" s="9"/>
      <c r="E658" s="9"/>
      <c r="F658" s="9"/>
      <c r="G658" s="9"/>
      <c r="H658" s="9"/>
      <c r="I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row>
    <row r="659">
      <c r="A659" s="9"/>
      <c r="B659" s="9"/>
      <c r="C659" s="9"/>
      <c r="D659" s="9"/>
      <c r="E659" s="9"/>
      <c r="F659" s="9"/>
      <c r="G659" s="9"/>
      <c r="H659" s="9"/>
      <c r="I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row>
    <row r="660">
      <c r="A660" s="9"/>
      <c r="B660" s="9"/>
      <c r="C660" s="9"/>
      <c r="D660" s="9"/>
      <c r="E660" s="9"/>
      <c r="F660" s="9"/>
      <c r="G660" s="9"/>
      <c r="H660" s="9"/>
      <c r="I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row>
    <row r="661">
      <c r="A661" s="9"/>
      <c r="B661" s="9"/>
      <c r="C661" s="9"/>
      <c r="D661" s="9"/>
      <c r="E661" s="9"/>
      <c r="F661" s="9"/>
      <c r="G661" s="9"/>
      <c r="H661" s="9"/>
      <c r="I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row>
    <row r="662">
      <c r="A662" s="9"/>
      <c r="B662" s="9"/>
      <c r="C662" s="9"/>
      <c r="D662" s="9"/>
      <c r="E662" s="9"/>
      <c r="F662" s="9"/>
      <c r="G662" s="9"/>
      <c r="H662" s="9"/>
      <c r="I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row>
    <row r="663">
      <c r="A663" s="9"/>
      <c r="B663" s="9"/>
      <c r="C663" s="9"/>
      <c r="D663" s="9"/>
      <c r="E663" s="9"/>
      <c r="F663" s="9"/>
      <c r="G663" s="9"/>
      <c r="H663" s="9"/>
      <c r="I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row>
    <row r="664">
      <c r="A664" s="9"/>
      <c r="B664" s="9"/>
      <c r="C664" s="9"/>
      <c r="D664" s="9"/>
      <c r="E664" s="9"/>
      <c r="F664" s="9"/>
      <c r="G664" s="9"/>
      <c r="H664" s="9"/>
      <c r="I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row>
    <row r="665">
      <c r="A665" s="9"/>
      <c r="B665" s="9"/>
      <c r="C665" s="9"/>
      <c r="D665" s="9"/>
      <c r="E665" s="9"/>
      <c r="F665" s="9"/>
      <c r="G665" s="9"/>
      <c r="H665" s="9"/>
      <c r="I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row>
    <row r="666">
      <c r="A666" s="9"/>
      <c r="B666" s="9"/>
      <c r="C666" s="9"/>
      <c r="D666" s="9"/>
      <c r="E666" s="9"/>
      <c r="F666" s="9"/>
      <c r="G666" s="9"/>
      <c r="H666" s="9"/>
      <c r="I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row>
    <row r="667">
      <c r="A667" s="9"/>
      <c r="B667" s="9"/>
      <c r="C667" s="9"/>
      <c r="D667" s="9"/>
      <c r="E667" s="9"/>
      <c r="F667" s="9"/>
      <c r="G667" s="9"/>
      <c r="H667" s="9"/>
      <c r="I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row>
    <row r="668">
      <c r="A668" s="9"/>
      <c r="B668" s="9"/>
      <c r="C668" s="9"/>
      <c r="D668" s="9"/>
      <c r="E668" s="9"/>
      <c r="F668" s="9"/>
      <c r="G668" s="9"/>
      <c r="H668" s="9"/>
      <c r="I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row>
    <row r="669">
      <c r="A669" s="9"/>
      <c r="B669" s="9"/>
      <c r="C669" s="9"/>
      <c r="D669" s="9"/>
      <c r="E669" s="9"/>
      <c r="F669" s="9"/>
      <c r="G669" s="9"/>
      <c r="H669" s="9"/>
      <c r="I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row>
    <row r="670">
      <c r="A670" s="9"/>
      <c r="B670" s="9"/>
      <c r="C670" s="9"/>
      <c r="D670" s="9"/>
      <c r="E670" s="9"/>
      <c r="F670" s="9"/>
      <c r="G670" s="9"/>
      <c r="H670" s="9"/>
      <c r="I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row>
    <row r="671">
      <c r="A671" s="9"/>
      <c r="B671" s="9"/>
      <c r="C671" s="9"/>
      <c r="D671" s="9"/>
      <c r="E671" s="9"/>
      <c r="F671" s="9"/>
      <c r="G671" s="9"/>
      <c r="H671" s="9"/>
      <c r="I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row>
    <row r="672">
      <c r="A672" s="9"/>
      <c r="B672" s="9"/>
      <c r="C672" s="9"/>
      <c r="D672" s="9"/>
      <c r="E672" s="9"/>
      <c r="F672" s="9"/>
      <c r="G672" s="9"/>
      <c r="H672" s="9"/>
      <c r="I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row>
    <row r="673">
      <c r="A673" s="9"/>
      <c r="B673" s="9"/>
      <c r="C673" s="9"/>
      <c r="D673" s="9"/>
      <c r="E673" s="9"/>
      <c r="F673" s="9"/>
      <c r="G673" s="9"/>
      <c r="H673" s="9"/>
      <c r="I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row>
    <row r="674">
      <c r="A674" s="9"/>
      <c r="B674" s="9"/>
      <c r="C674" s="9"/>
      <c r="D674" s="9"/>
      <c r="E674" s="9"/>
      <c r="F674" s="9"/>
      <c r="G674" s="9"/>
      <c r="H674" s="9"/>
      <c r="I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row>
    <row r="675">
      <c r="A675" s="9"/>
      <c r="B675" s="9"/>
      <c r="C675" s="9"/>
      <c r="D675" s="9"/>
      <c r="E675" s="9"/>
      <c r="F675" s="9"/>
      <c r="G675" s="9"/>
      <c r="H675" s="9"/>
      <c r="I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row>
    <row r="676">
      <c r="A676" s="9"/>
      <c r="B676" s="9"/>
      <c r="C676" s="9"/>
      <c r="D676" s="9"/>
      <c r="E676" s="9"/>
      <c r="F676" s="9"/>
      <c r="G676" s="9"/>
      <c r="H676" s="9"/>
      <c r="I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row>
    <row r="677">
      <c r="A677" s="9"/>
      <c r="B677" s="9"/>
      <c r="C677" s="9"/>
      <c r="D677" s="9"/>
      <c r="E677" s="9"/>
      <c r="F677" s="9"/>
      <c r="G677" s="9"/>
      <c r="H677" s="9"/>
      <c r="I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row>
    <row r="678">
      <c r="A678" s="9"/>
      <c r="B678" s="9"/>
      <c r="C678" s="9"/>
      <c r="D678" s="9"/>
      <c r="E678" s="9"/>
      <c r="F678" s="9"/>
      <c r="G678" s="9"/>
      <c r="H678" s="9"/>
      <c r="I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row>
    <row r="679">
      <c r="A679" s="9"/>
      <c r="B679" s="9"/>
      <c r="C679" s="9"/>
      <c r="D679" s="9"/>
      <c r="E679" s="9"/>
      <c r="F679" s="9"/>
      <c r="G679" s="9"/>
      <c r="H679" s="9"/>
      <c r="I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row>
    <row r="680">
      <c r="A680" s="9"/>
      <c r="B680" s="9"/>
      <c r="C680" s="9"/>
      <c r="D680" s="9"/>
      <c r="E680" s="9"/>
      <c r="F680" s="9"/>
      <c r="G680" s="9"/>
      <c r="H680" s="9"/>
      <c r="I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row>
    <row r="681">
      <c r="A681" s="9"/>
      <c r="B681" s="9"/>
      <c r="C681" s="9"/>
      <c r="D681" s="9"/>
      <c r="E681" s="9"/>
      <c r="F681" s="9"/>
      <c r="G681" s="9"/>
      <c r="H681" s="9"/>
      <c r="I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row>
    <row r="682">
      <c r="A682" s="9"/>
      <c r="B682" s="9"/>
      <c r="C682" s="9"/>
      <c r="D682" s="9"/>
      <c r="E682" s="9"/>
      <c r="F682" s="9"/>
      <c r="G682" s="9"/>
      <c r="H682" s="9"/>
      <c r="I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row>
    <row r="683">
      <c r="A683" s="9"/>
      <c r="B683" s="9"/>
      <c r="C683" s="9"/>
      <c r="D683" s="9"/>
      <c r="E683" s="9"/>
      <c r="F683" s="9"/>
      <c r="G683" s="9"/>
      <c r="H683" s="9"/>
      <c r="I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row>
    <row r="684">
      <c r="A684" s="9"/>
      <c r="B684" s="9"/>
      <c r="C684" s="9"/>
      <c r="D684" s="9"/>
      <c r="E684" s="9"/>
      <c r="F684" s="9"/>
      <c r="G684" s="9"/>
      <c r="H684" s="9"/>
      <c r="I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row>
    <row r="685">
      <c r="A685" s="9"/>
      <c r="B685" s="9"/>
      <c r="C685" s="9"/>
      <c r="D685" s="9"/>
      <c r="E685" s="9"/>
      <c r="F685" s="9"/>
      <c r="G685" s="9"/>
      <c r="H685" s="9"/>
      <c r="I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row>
    <row r="686">
      <c r="A686" s="9"/>
      <c r="B686" s="9"/>
      <c r="C686" s="9"/>
      <c r="D686" s="9"/>
      <c r="E686" s="9"/>
      <c r="F686" s="9"/>
      <c r="G686" s="9"/>
      <c r="H686" s="9"/>
      <c r="I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row>
    <row r="687">
      <c r="A687" s="9"/>
      <c r="B687" s="9"/>
      <c r="C687" s="9"/>
      <c r="D687" s="9"/>
      <c r="E687" s="9"/>
      <c r="F687" s="9"/>
      <c r="G687" s="9"/>
      <c r="H687" s="9"/>
      <c r="I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row>
    <row r="688">
      <c r="A688" s="9"/>
      <c r="B688" s="9"/>
      <c r="C688" s="9"/>
      <c r="D688" s="9"/>
      <c r="E688" s="9"/>
      <c r="F688" s="9"/>
      <c r="G688" s="9"/>
      <c r="H688" s="9"/>
      <c r="I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row>
    <row r="689">
      <c r="A689" s="9"/>
      <c r="B689" s="9"/>
      <c r="C689" s="9"/>
      <c r="D689" s="9"/>
      <c r="E689" s="9"/>
      <c r="F689" s="9"/>
      <c r="G689" s="9"/>
      <c r="H689" s="9"/>
      <c r="I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row>
    <row r="690">
      <c r="A690" s="9"/>
      <c r="B690" s="9"/>
      <c r="C690" s="9"/>
      <c r="D690" s="9"/>
      <c r="E690" s="9"/>
      <c r="F690" s="9"/>
      <c r="G690" s="9"/>
      <c r="H690" s="9"/>
      <c r="I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row>
    <row r="691">
      <c r="A691" s="9"/>
      <c r="B691" s="9"/>
      <c r="C691" s="9"/>
      <c r="D691" s="9"/>
      <c r="E691" s="9"/>
      <c r="F691" s="9"/>
      <c r="G691" s="9"/>
      <c r="H691" s="9"/>
      <c r="I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row>
    <row r="692">
      <c r="A692" s="9"/>
      <c r="B692" s="9"/>
      <c r="C692" s="9"/>
      <c r="D692" s="9"/>
      <c r="E692" s="9"/>
      <c r="F692" s="9"/>
      <c r="G692" s="9"/>
      <c r="H692" s="9"/>
      <c r="I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row>
    <row r="693">
      <c r="A693" s="9"/>
      <c r="B693" s="9"/>
      <c r="C693" s="9"/>
      <c r="D693" s="9"/>
      <c r="E693" s="9"/>
      <c r="F693" s="9"/>
      <c r="G693" s="9"/>
      <c r="H693" s="9"/>
      <c r="I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row>
    <row r="694">
      <c r="A694" s="9"/>
      <c r="B694" s="9"/>
      <c r="C694" s="9"/>
      <c r="D694" s="9"/>
      <c r="E694" s="9"/>
      <c r="F694" s="9"/>
      <c r="G694" s="9"/>
      <c r="H694" s="9"/>
      <c r="I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row>
    <row r="695">
      <c r="A695" s="9"/>
      <c r="B695" s="9"/>
      <c r="C695" s="9"/>
      <c r="D695" s="9"/>
      <c r="E695" s="9"/>
      <c r="F695" s="9"/>
      <c r="G695" s="9"/>
      <c r="H695" s="9"/>
      <c r="I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row>
    <row r="696">
      <c r="A696" s="9"/>
      <c r="B696" s="9"/>
      <c r="C696" s="9"/>
      <c r="D696" s="9"/>
      <c r="E696" s="9"/>
      <c r="F696" s="9"/>
      <c r="G696" s="9"/>
      <c r="H696" s="9"/>
      <c r="I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row>
    <row r="697">
      <c r="A697" s="9"/>
      <c r="B697" s="9"/>
      <c r="C697" s="9"/>
      <c r="D697" s="9"/>
      <c r="E697" s="9"/>
      <c r="F697" s="9"/>
      <c r="G697" s="9"/>
      <c r="H697" s="9"/>
      <c r="I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row>
    <row r="698">
      <c r="A698" s="9"/>
      <c r="B698" s="9"/>
      <c r="C698" s="9"/>
      <c r="D698" s="9"/>
      <c r="E698" s="9"/>
      <c r="F698" s="9"/>
      <c r="G698" s="9"/>
      <c r="H698" s="9"/>
      <c r="I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row>
    <row r="699">
      <c r="A699" s="9"/>
      <c r="B699" s="9"/>
      <c r="C699" s="9"/>
      <c r="D699" s="9"/>
      <c r="E699" s="9"/>
      <c r="F699" s="9"/>
      <c r="G699" s="9"/>
      <c r="H699" s="9"/>
      <c r="I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row>
    <row r="700">
      <c r="A700" s="9"/>
      <c r="B700" s="9"/>
      <c r="C700" s="9"/>
      <c r="D700" s="9"/>
      <c r="E700" s="9"/>
      <c r="F700" s="9"/>
      <c r="G700" s="9"/>
      <c r="H700" s="9"/>
      <c r="I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row>
    <row r="701">
      <c r="A701" s="9"/>
      <c r="B701" s="9"/>
      <c r="C701" s="9"/>
      <c r="D701" s="9"/>
      <c r="E701" s="9"/>
      <c r="F701" s="9"/>
      <c r="G701" s="9"/>
      <c r="H701" s="9"/>
      <c r="I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row>
    <row r="702">
      <c r="A702" s="9"/>
      <c r="B702" s="9"/>
      <c r="C702" s="9"/>
      <c r="D702" s="9"/>
      <c r="E702" s="9"/>
      <c r="F702" s="9"/>
      <c r="G702" s="9"/>
      <c r="H702" s="9"/>
      <c r="I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row>
    <row r="703">
      <c r="A703" s="9"/>
      <c r="B703" s="9"/>
      <c r="C703" s="9"/>
      <c r="D703" s="9"/>
      <c r="E703" s="9"/>
      <c r="F703" s="9"/>
      <c r="G703" s="9"/>
      <c r="H703" s="9"/>
      <c r="I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row>
    <row r="704">
      <c r="A704" s="9"/>
      <c r="B704" s="9"/>
      <c r="C704" s="9"/>
      <c r="D704" s="9"/>
      <c r="E704" s="9"/>
      <c r="F704" s="9"/>
      <c r="G704" s="9"/>
      <c r="H704" s="9"/>
      <c r="I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row>
    <row r="705">
      <c r="A705" s="9"/>
      <c r="B705" s="9"/>
      <c r="C705" s="9"/>
      <c r="D705" s="9"/>
      <c r="E705" s="9"/>
      <c r="F705" s="9"/>
      <c r="G705" s="9"/>
      <c r="H705" s="9"/>
      <c r="I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row>
    <row r="706">
      <c r="A706" s="9"/>
      <c r="B706" s="9"/>
      <c r="C706" s="9"/>
      <c r="D706" s="9"/>
      <c r="E706" s="9"/>
      <c r="F706" s="9"/>
      <c r="G706" s="9"/>
      <c r="H706" s="9"/>
      <c r="I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row>
    <row r="707">
      <c r="A707" s="9"/>
      <c r="B707" s="9"/>
      <c r="C707" s="9"/>
      <c r="D707" s="9"/>
      <c r="E707" s="9"/>
      <c r="F707" s="9"/>
      <c r="G707" s="9"/>
      <c r="H707" s="9"/>
      <c r="I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row>
    <row r="708">
      <c r="A708" s="9"/>
      <c r="B708" s="9"/>
      <c r="C708" s="9"/>
      <c r="D708" s="9"/>
      <c r="E708" s="9"/>
      <c r="F708" s="9"/>
      <c r="G708" s="9"/>
      <c r="H708" s="9"/>
      <c r="I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9"/>
    </row>
    <row r="709">
      <c r="A709" s="9"/>
      <c r="B709" s="9"/>
      <c r="C709" s="9"/>
      <c r="D709" s="9"/>
      <c r="E709" s="9"/>
      <c r="F709" s="9"/>
      <c r="G709" s="9"/>
      <c r="H709" s="9"/>
      <c r="I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row>
    <row r="710">
      <c r="A710" s="9"/>
      <c r="B710" s="9"/>
      <c r="C710" s="9"/>
      <c r="D710" s="9"/>
      <c r="E710" s="9"/>
      <c r="F710" s="9"/>
      <c r="G710" s="9"/>
      <c r="H710" s="9"/>
      <c r="I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row>
    <row r="711">
      <c r="A711" s="9"/>
      <c r="B711" s="9"/>
      <c r="C711" s="9"/>
      <c r="D711" s="9"/>
      <c r="E711" s="9"/>
      <c r="F711" s="9"/>
      <c r="G711" s="9"/>
      <c r="H711" s="9"/>
      <c r="I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row>
    <row r="712">
      <c r="A712" s="9"/>
      <c r="B712" s="9"/>
      <c r="C712" s="9"/>
      <c r="D712" s="9"/>
      <c r="E712" s="9"/>
      <c r="F712" s="9"/>
      <c r="G712" s="9"/>
      <c r="H712" s="9"/>
      <c r="I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row>
    <row r="713">
      <c r="A713" s="9"/>
      <c r="B713" s="9"/>
      <c r="C713" s="9"/>
      <c r="D713" s="9"/>
      <c r="E713" s="9"/>
      <c r="F713" s="9"/>
      <c r="G713" s="9"/>
      <c r="H713" s="9"/>
      <c r="I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row>
    <row r="714">
      <c r="A714" s="9"/>
      <c r="B714" s="9"/>
      <c r="C714" s="9"/>
      <c r="D714" s="9"/>
      <c r="E714" s="9"/>
      <c r="F714" s="9"/>
      <c r="G714" s="9"/>
      <c r="H714" s="9"/>
      <c r="I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row>
    <row r="715">
      <c r="A715" s="9"/>
      <c r="B715" s="9"/>
      <c r="C715" s="9"/>
      <c r="D715" s="9"/>
      <c r="E715" s="9"/>
      <c r="F715" s="9"/>
      <c r="G715" s="9"/>
      <c r="H715" s="9"/>
      <c r="I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row>
    <row r="716">
      <c r="A716" s="9"/>
      <c r="B716" s="9"/>
      <c r="C716" s="9"/>
      <c r="D716" s="9"/>
      <c r="E716" s="9"/>
      <c r="F716" s="9"/>
      <c r="G716" s="9"/>
      <c r="H716" s="9"/>
      <c r="I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row>
    <row r="717">
      <c r="A717" s="9"/>
      <c r="B717" s="9"/>
      <c r="C717" s="9"/>
      <c r="D717" s="9"/>
      <c r="E717" s="9"/>
      <c r="F717" s="9"/>
      <c r="G717" s="9"/>
      <c r="H717" s="9"/>
      <c r="I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row>
    <row r="718">
      <c r="A718" s="9"/>
      <c r="B718" s="9"/>
      <c r="C718" s="9"/>
      <c r="D718" s="9"/>
      <c r="E718" s="9"/>
      <c r="F718" s="9"/>
      <c r="G718" s="9"/>
      <c r="H718" s="9"/>
      <c r="I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row>
    <row r="719">
      <c r="A719" s="9"/>
      <c r="B719" s="9"/>
      <c r="C719" s="9"/>
      <c r="D719" s="9"/>
      <c r="E719" s="9"/>
      <c r="F719" s="9"/>
      <c r="G719" s="9"/>
      <c r="H719" s="9"/>
      <c r="I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row>
    <row r="720">
      <c r="A720" s="9"/>
      <c r="B720" s="9"/>
      <c r="C720" s="9"/>
      <c r="D720" s="9"/>
      <c r="E720" s="9"/>
      <c r="F720" s="9"/>
      <c r="G720" s="9"/>
      <c r="H720" s="9"/>
      <c r="I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row>
    <row r="721">
      <c r="A721" s="9"/>
      <c r="B721" s="9"/>
      <c r="C721" s="9"/>
      <c r="D721" s="9"/>
      <c r="E721" s="9"/>
      <c r="F721" s="9"/>
      <c r="G721" s="9"/>
      <c r="H721" s="9"/>
      <c r="I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row>
    <row r="722">
      <c r="A722" s="9"/>
      <c r="B722" s="9"/>
      <c r="C722" s="9"/>
      <c r="D722" s="9"/>
      <c r="E722" s="9"/>
      <c r="F722" s="9"/>
      <c r="G722" s="9"/>
      <c r="H722" s="9"/>
      <c r="I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row>
    <row r="723">
      <c r="A723" s="9"/>
      <c r="B723" s="9"/>
      <c r="C723" s="9"/>
      <c r="D723" s="9"/>
      <c r="E723" s="9"/>
      <c r="F723" s="9"/>
      <c r="G723" s="9"/>
      <c r="H723" s="9"/>
      <c r="I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row>
    <row r="724">
      <c r="A724" s="9"/>
      <c r="B724" s="9"/>
      <c r="C724" s="9"/>
      <c r="D724" s="9"/>
      <c r="E724" s="9"/>
      <c r="F724" s="9"/>
      <c r="G724" s="9"/>
      <c r="H724" s="9"/>
      <c r="I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row>
    <row r="725">
      <c r="A725" s="9"/>
      <c r="B725" s="9"/>
      <c r="C725" s="9"/>
      <c r="D725" s="9"/>
      <c r="E725" s="9"/>
      <c r="F725" s="9"/>
      <c r="G725" s="9"/>
      <c r="H725" s="9"/>
      <c r="I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row>
    <row r="726">
      <c r="A726" s="9"/>
      <c r="B726" s="9"/>
      <c r="C726" s="9"/>
      <c r="D726" s="9"/>
      <c r="E726" s="9"/>
      <c r="F726" s="9"/>
      <c r="G726" s="9"/>
      <c r="H726" s="9"/>
      <c r="I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row>
    <row r="727">
      <c r="A727" s="9"/>
      <c r="B727" s="9"/>
      <c r="C727" s="9"/>
      <c r="D727" s="9"/>
      <c r="E727" s="9"/>
      <c r="F727" s="9"/>
      <c r="G727" s="9"/>
      <c r="H727" s="9"/>
      <c r="I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row>
    <row r="728">
      <c r="A728" s="9"/>
      <c r="B728" s="9"/>
      <c r="C728" s="9"/>
      <c r="D728" s="9"/>
      <c r="E728" s="9"/>
      <c r="F728" s="9"/>
      <c r="G728" s="9"/>
      <c r="H728" s="9"/>
      <c r="I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row>
    <row r="729">
      <c r="A729" s="9"/>
      <c r="B729" s="9"/>
      <c r="C729" s="9"/>
      <c r="D729" s="9"/>
      <c r="E729" s="9"/>
      <c r="F729" s="9"/>
      <c r="G729" s="9"/>
      <c r="H729" s="9"/>
      <c r="I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row>
    <row r="730">
      <c r="A730" s="9"/>
      <c r="B730" s="9"/>
      <c r="C730" s="9"/>
      <c r="D730" s="9"/>
      <c r="E730" s="9"/>
      <c r="F730" s="9"/>
      <c r="G730" s="9"/>
      <c r="H730" s="9"/>
      <c r="I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row>
    <row r="731">
      <c r="A731" s="9"/>
      <c r="B731" s="9"/>
      <c r="C731" s="9"/>
      <c r="D731" s="9"/>
      <c r="E731" s="9"/>
      <c r="F731" s="9"/>
      <c r="G731" s="9"/>
      <c r="H731" s="9"/>
      <c r="I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row>
    <row r="732">
      <c r="A732" s="9"/>
      <c r="B732" s="9"/>
      <c r="C732" s="9"/>
      <c r="D732" s="9"/>
      <c r="E732" s="9"/>
      <c r="F732" s="9"/>
      <c r="G732" s="9"/>
      <c r="H732" s="9"/>
      <c r="I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row>
    <row r="733">
      <c r="A733" s="9"/>
      <c r="B733" s="9"/>
      <c r="C733" s="9"/>
      <c r="D733" s="9"/>
      <c r="E733" s="9"/>
      <c r="F733" s="9"/>
      <c r="G733" s="9"/>
      <c r="H733" s="9"/>
      <c r="I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row>
    <row r="734">
      <c r="A734" s="9"/>
      <c r="B734" s="9"/>
      <c r="C734" s="9"/>
      <c r="D734" s="9"/>
      <c r="E734" s="9"/>
      <c r="F734" s="9"/>
      <c r="G734" s="9"/>
      <c r="H734" s="9"/>
      <c r="I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row>
    <row r="735">
      <c r="A735" s="9"/>
      <c r="B735" s="9"/>
      <c r="C735" s="9"/>
      <c r="D735" s="9"/>
      <c r="E735" s="9"/>
      <c r="F735" s="9"/>
      <c r="G735" s="9"/>
      <c r="H735" s="9"/>
      <c r="I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row>
    <row r="736">
      <c r="A736" s="9"/>
      <c r="B736" s="9"/>
      <c r="C736" s="9"/>
      <c r="D736" s="9"/>
      <c r="E736" s="9"/>
      <c r="F736" s="9"/>
      <c r="G736" s="9"/>
      <c r="H736" s="9"/>
      <c r="I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row>
    <row r="737">
      <c r="A737" s="9"/>
      <c r="B737" s="9"/>
      <c r="C737" s="9"/>
      <c r="D737" s="9"/>
      <c r="E737" s="9"/>
      <c r="F737" s="9"/>
      <c r="G737" s="9"/>
      <c r="H737" s="9"/>
      <c r="I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row>
    <row r="738">
      <c r="A738" s="9"/>
      <c r="B738" s="9"/>
      <c r="C738" s="9"/>
      <c r="D738" s="9"/>
      <c r="E738" s="9"/>
      <c r="F738" s="9"/>
      <c r="G738" s="9"/>
      <c r="H738" s="9"/>
      <c r="I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row>
    <row r="739">
      <c r="A739" s="9"/>
      <c r="B739" s="9"/>
      <c r="C739" s="9"/>
      <c r="D739" s="9"/>
      <c r="E739" s="9"/>
      <c r="F739" s="9"/>
      <c r="G739" s="9"/>
      <c r="H739" s="9"/>
      <c r="I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row>
    <row r="740">
      <c r="A740" s="9"/>
      <c r="B740" s="9"/>
      <c r="C740" s="9"/>
      <c r="D740" s="9"/>
      <c r="E740" s="9"/>
      <c r="F740" s="9"/>
      <c r="G740" s="9"/>
      <c r="H740" s="9"/>
      <c r="I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row>
    <row r="741">
      <c r="A741" s="9"/>
      <c r="B741" s="9"/>
      <c r="C741" s="9"/>
      <c r="D741" s="9"/>
      <c r="E741" s="9"/>
      <c r="F741" s="9"/>
      <c r="G741" s="9"/>
      <c r="H741" s="9"/>
      <c r="I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row>
    <row r="742">
      <c r="A742" s="9"/>
      <c r="B742" s="9"/>
      <c r="C742" s="9"/>
      <c r="D742" s="9"/>
      <c r="E742" s="9"/>
      <c r="F742" s="9"/>
      <c r="G742" s="9"/>
      <c r="H742" s="9"/>
      <c r="I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row>
    <row r="743">
      <c r="A743" s="9"/>
      <c r="B743" s="9"/>
      <c r="C743" s="9"/>
      <c r="D743" s="9"/>
      <c r="E743" s="9"/>
      <c r="F743" s="9"/>
      <c r="G743" s="9"/>
      <c r="H743" s="9"/>
      <c r="I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row>
    <row r="744">
      <c r="A744" s="9"/>
      <c r="B744" s="9"/>
      <c r="C744" s="9"/>
      <c r="D744" s="9"/>
      <c r="E744" s="9"/>
      <c r="F744" s="9"/>
      <c r="G744" s="9"/>
      <c r="H744" s="9"/>
      <c r="I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row>
    <row r="745">
      <c r="A745" s="9"/>
      <c r="B745" s="9"/>
      <c r="C745" s="9"/>
      <c r="D745" s="9"/>
      <c r="E745" s="9"/>
      <c r="F745" s="9"/>
      <c r="G745" s="9"/>
      <c r="H745" s="9"/>
      <c r="I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row>
    <row r="746">
      <c r="A746" s="9"/>
      <c r="B746" s="9"/>
      <c r="C746" s="9"/>
      <c r="D746" s="9"/>
      <c r="E746" s="9"/>
      <c r="F746" s="9"/>
      <c r="G746" s="9"/>
      <c r="H746" s="9"/>
      <c r="I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row>
    <row r="747">
      <c r="A747" s="9"/>
      <c r="B747" s="9"/>
      <c r="C747" s="9"/>
      <c r="D747" s="9"/>
      <c r="E747" s="9"/>
      <c r="F747" s="9"/>
      <c r="G747" s="9"/>
      <c r="H747" s="9"/>
      <c r="I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row>
    <row r="748">
      <c r="A748" s="9"/>
      <c r="B748" s="9"/>
      <c r="C748" s="9"/>
      <c r="D748" s="9"/>
      <c r="E748" s="9"/>
      <c r="F748" s="9"/>
      <c r="G748" s="9"/>
      <c r="H748" s="9"/>
      <c r="I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row>
    <row r="749">
      <c r="A749" s="9"/>
      <c r="B749" s="9"/>
      <c r="C749" s="9"/>
      <c r="D749" s="9"/>
      <c r="E749" s="9"/>
      <c r="F749" s="9"/>
      <c r="G749" s="9"/>
      <c r="H749" s="9"/>
      <c r="I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row>
    <row r="750">
      <c r="A750" s="9"/>
      <c r="B750" s="9"/>
      <c r="C750" s="9"/>
      <c r="D750" s="9"/>
      <c r="E750" s="9"/>
      <c r="F750" s="9"/>
      <c r="G750" s="9"/>
      <c r="H750" s="9"/>
      <c r="I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row>
    <row r="751">
      <c r="A751" s="9"/>
      <c r="B751" s="9"/>
      <c r="C751" s="9"/>
      <c r="D751" s="9"/>
      <c r="E751" s="9"/>
      <c r="F751" s="9"/>
      <c r="G751" s="9"/>
      <c r="H751" s="9"/>
      <c r="I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row>
    <row r="752">
      <c r="A752" s="9"/>
      <c r="B752" s="9"/>
      <c r="C752" s="9"/>
      <c r="D752" s="9"/>
      <c r="E752" s="9"/>
      <c r="F752" s="9"/>
      <c r="G752" s="9"/>
      <c r="H752" s="9"/>
      <c r="I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row>
    <row r="753">
      <c r="A753" s="9"/>
      <c r="B753" s="9"/>
      <c r="C753" s="9"/>
      <c r="D753" s="9"/>
      <c r="E753" s="9"/>
      <c r="F753" s="9"/>
      <c r="G753" s="9"/>
      <c r="H753" s="9"/>
      <c r="I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row>
    <row r="754">
      <c r="A754" s="9"/>
      <c r="B754" s="9"/>
      <c r="C754" s="44">
        <v>597.0</v>
      </c>
      <c r="D754" s="9"/>
      <c r="E754" s="9"/>
      <c r="F754" s="9"/>
      <c r="G754" s="9"/>
      <c r="H754" s="9"/>
      <c r="I754" s="9"/>
      <c r="J754" s="9"/>
      <c r="K754" s="232"/>
      <c r="L754" s="9"/>
      <c r="M754" s="9"/>
      <c r="N754" s="9"/>
      <c r="O754" s="9"/>
      <c r="P754" s="9"/>
      <c r="Q754" s="9"/>
      <c r="R754" s="9"/>
      <c r="S754" s="232"/>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row>
    <row r="755">
      <c r="A755" s="9"/>
      <c r="B755" s="9"/>
      <c r="C755" s="44">
        <v>598.0</v>
      </c>
      <c r="D755" s="9"/>
      <c r="E755" s="9"/>
      <c r="F755" s="9"/>
      <c r="G755" s="9"/>
      <c r="H755" s="9"/>
      <c r="I755" s="9"/>
      <c r="J755" s="9"/>
      <c r="K755" s="232"/>
      <c r="L755" s="9"/>
      <c r="M755" s="9"/>
      <c r="N755" s="9"/>
      <c r="O755" s="9"/>
      <c r="P755" s="9"/>
      <c r="Q755" s="9"/>
      <c r="R755" s="9"/>
      <c r="S755" s="232"/>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row>
    <row r="756">
      <c r="A756" s="9"/>
      <c r="B756" s="9"/>
      <c r="C756" s="44">
        <v>599.0</v>
      </c>
      <c r="D756" s="9"/>
      <c r="E756" s="9"/>
      <c r="F756" s="9"/>
      <c r="G756" s="9"/>
      <c r="H756" s="9"/>
      <c r="I756" s="9"/>
      <c r="J756" s="9"/>
      <c r="K756" s="232"/>
      <c r="L756" s="9"/>
      <c r="M756" s="9"/>
      <c r="N756" s="9"/>
      <c r="O756" s="9"/>
      <c r="P756" s="9"/>
      <c r="Q756" s="9"/>
      <c r="R756" s="9"/>
      <c r="S756" s="232"/>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row>
    <row r="757">
      <c r="A757" s="9"/>
      <c r="B757" s="9"/>
      <c r="C757" s="44">
        <v>600.0</v>
      </c>
      <c r="D757" s="9"/>
      <c r="E757" s="9"/>
      <c r="F757" s="9"/>
      <c r="G757" s="9"/>
      <c r="H757" s="9"/>
      <c r="I757" s="9"/>
      <c r="J757" s="9"/>
      <c r="K757" s="232"/>
      <c r="L757" s="9"/>
      <c r="M757" s="9"/>
      <c r="N757" s="9"/>
      <c r="O757" s="9"/>
      <c r="P757" s="9"/>
      <c r="Q757" s="9"/>
      <c r="R757" s="9"/>
      <c r="S757" s="232"/>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row>
    <row r="758">
      <c r="A758" s="9"/>
      <c r="B758" s="9"/>
      <c r="C758" s="44">
        <v>601.0</v>
      </c>
      <c r="D758" s="9"/>
      <c r="E758" s="9"/>
      <c r="F758" s="9"/>
      <c r="G758" s="9"/>
      <c r="H758" s="9"/>
      <c r="I758" s="9"/>
      <c r="J758" s="9"/>
      <c r="K758" s="232"/>
      <c r="L758" s="9"/>
      <c r="M758" s="9"/>
      <c r="N758" s="9"/>
      <c r="O758" s="9"/>
      <c r="P758" s="9"/>
      <c r="Q758" s="9"/>
      <c r="R758" s="9"/>
      <c r="S758" s="232"/>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row>
    <row r="759">
      <c r="A759" s="9"/>
      <c r="B759" s="9"/>
      <c r="C759" s="44">
        <v>602.0</v>
      </c>
      <c r="D759" s="9"/>
      <c r="E759" s="9"/>
      <c r="F759" s="9"/>
      <c r="G759" s="9"/>
      <c r="H759" s="9"/>
      <c r="I759" s="9"/>
      <c r="J759" s="9"/>
      <c r="K759" s="232"/>
      <c r="L759" s="9"/>
      <c r="M759" s="9"/>
      <c r="N759" s="9"/>
      <c r="O759" s="9"/>
      <c r="P759" s="9"/>
      <c r="Q759" s="9"/>
      <c r="R759" s="9"/>
      <c r="S759" s="232"/>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row>
    <row r="760">
      <c r="A760" s="9"/>
      <c r="B760" s="9"/>
      <c r="C760" s="44">
        <v>603.0</v>
      </c>
      <c r="D760" s="9"/>
      <c r="E760" s="9"/>
      <c r="F760" s="9"/>
      <c r="G760" s="9"/>
      <c r="H760" s="9"/>
      <c r="I760" s="9"/>
      <c r="J760" s="9"/>
      <c r="K760" s="232"/>
      <c r="L760" s="9"/>
      <c r="M760" s="9"/>
      <c r="N760" s="9"/>
      <c r="O760" s="9"/>
      <c r="P760" s="9"/>
      <c r="Q760" s="9"/>
      <c r="R760" s="9"/>
      <c r="S760" s="232"/>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row>
    <row r="761">
      <c r="A761" s="9"/>
      <c r="B761" s="9"/>
      <c r="C761" s="44">
        <v>604.0</v>
      </c>
      <c r="D761" s="9"/>
      <c r="E761" s="9"/>
      <c r="F761" s="9"/>
      <c r="G761" s="9"/>
      <c r="H761" s="9"/>
      <c r="I761" s="9"/>
      <c r="J761" s="9"/>
      <c r="K761" s="232"/>
      <c r="L761" s="9"/>
      <c r="M761" s="9"/>
      <c r="N761" s="9"/>
      <c r="O761" s="9"/>
      <c r="P761" s="9"/>
      <c r="Q761" s="9"/>
      <c r="R761" s="9"/>
      <c r="S761" s="232"/>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row>
    <row r="762">
      <c r="A762" s="9"/>
      <c r="B762" s="9"/>
      <c r="C762" s="44">
        <v>605.0</v>
      </c>
      <c r="D762" s="9"/>
      <c r="E762" s="9"/>
      <c r="F762" s="9"/>
      <c r="G762" s="9"/>
      <c r="H762" s="9"/>
      <c r="I762" s="9"/>
      <c r="J762" s="9"/>
      <c r="K762" s="232"/>
      <c r="L762" s="9"/>
      <c r="M762" s="9"/>
      <c r="N762" s="9"/>
      <c r="O762" s="9"/>
      <c r="P762" s="9"/>
      <c r="Q762" s="9"/>
      <c r="R762" s="9"/>
      <c r="S762" s="232"/>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row>
    <row r="763">
      <c r="A763" s="9"/>
      <c r="B763" s="9"/>
      <c r="C763" s="44">
        <v>606.0</v>
      </c>
      <c r="D763" s="9"/>
      <c r="E763" s="9"/>
      <c r="F763" s="9"/>
      <c r="G763" s="9"/>
      <c r="H763" s="9"/>
      <c r="I763" s="9"/>
      <c r="J763" s="9"/>
      <c r="K763" s="232"/>
      <c r="L763" s="9"/>
      <c r="M763" s="9"/>
      <c r="N763" s="9"/>
      <c r="O763" s="9"/>
      <c r="P763" s="9"/>
      <c r="Q763" s="9"/>
      <c r="R763" s="9"/>
      <c r="S763" s="232"/>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row>
    <row r="764">
      <c r="A764" s="9"/>
      <c r="B764" s="9"/>
      <c r="C764" s="44">
        <v>607.0</v>
      </c>
      <c r="D764" s="9"/>
      <c r="E764" s="9"/>
      <c r="F764" s="9"/>
      <c r="G764" s="9"/>
      <c r="H764" s="9"/>
      <c r="I764" s="9"/>
      <c r="J764" s="9"/>
      <c r="K764" s="232"/>
      <c r="L764" s="9"/>
      <c r="M764" s="9"/>
      <c r="N764" s="9"/>
      <c r="O764" s="9"/>
      <c r="P764" s="9"/>
      <c r="Q764" s="9"/>
      <c r="R764" s="9"/>
      <c r="S764" s="232"/>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row>
    <row r="765">
      <c r="A765" s="9"/>
      <c r="B765" s="9"/>
      <c r="C765" s="44">
        <v>608.0</v>
      </c>
      <c r="D765" s="9"/>
      <c r="E765" s="9"/>
      <c r="F765" s="9"/>
      <c r="G765" s="9"/>
      <c r="H765" s="9"/>
      <c r="I765" s="9"/>
      <c r="J765" s="9"/>
      <c r="K765" s="232"/>
      <c r="L765" s="9"/>
      <c r="M765" s="9"/>
      <c r="N765" s="9"/>
      <c r="O765" s="9"/>
      <c r="P765" s="9"/>
      <c r="Q765" s="9"/>
      <c r="R765" s="9"/>
      <c r="S765" s="232"/>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row>
    <row r="766">
      <c r="A766" s="9"/>
      <c r="B766" s="9"/>
      <c r="C766" s="44">
        <v>609.0</v>
      </c>
      <c r="D766" s="9"/>
      <c r="E766" s="9"/>
      <c r="F766" s="9"/>
      <c r="G766" s="9"/>
      <c r="H766" s="9"/>
      <c r="I766" s="9"/>
      <c r="J766" s="9"/>
      <c r="K766" s="232"/>
      <c r="L766" s="9"/>
      <c r="M766" s="9"/>
      <c r="N766" s="9"/>
      <c r="O766" s="9"/>
      <c r="P766" s="9"/>
      <c r="Q766" s="9"/>
      <c r="R766" s="9"/>
      <c r="S766" s="232"/>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row>
    <row r="767">
      <c r="A767" s="9"/>
      <c r="B767" s="9"/>
      <c r="C767" s="44">
        <v>610.0</v>
      </c>
      <c r="D767" s="9"/>
      <c r="E767" s="9"/>
      <c r="F767" s="9"/>
      <c r="G767" s="9"/>
      <c r="H767" s="9"/>
      <c r="I767" s="9"/>
      <c r="J767" s="9"/>
      <c r="K767" s="232"/>
      <c r="L767" s="9"/>
      <c r="M767" s="9"/>
      <c r="N767" s="9"/>
      <c r="O767" s="9"/>
      <c r="P767" s="9"/>
      <c r="Q767" s="9"/>
      <c r="R767" s="9"/>
      <c r="S767" s="232"/>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row>
    <row r="768">
      <c r="A768" s="9"/>
      <c r="B768" s="9"/>
      <c r="C768" s="44">
        <v>611.0</v>
      </c>
      <c r="D768" s="9"/>
      <c r="E768" s="9"/>
      <c r="F768" s="9"/>
      <c r="G768" s="9"/>
      <c r="H768" s="9"/>
      <c r="I768" s="9"/>
      <c r="J768" s="9"/>
      <c r="K768" s="232"/>
      <c r="L768" s="9"/>
      <c r="M768" s="9"/>
      <c r="N768" s="9"/>
      <c r="O768" s="9"/>
      <c r="P768" s="9"/>
      <c r="Q768" s="9"/>
      <c r="R768" s="9"/>
      <c r="S768" s="232"/>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row>
    <row r="769">
      <c r="A769" s="9"/>
      <c r="B769" s="9"/>
      <c r="C769" s="44">
        <v>612.0</v>
      </c>
      <c r="D769" s="9"/>
      <c r="E769" s="9"/>
      <c r="F769" s="9"/>
      <c r="G769" s="9"/>
      <c r="H769" s="9"/>
      <c r="I769" s="9"/>
      <c r="J769" s="9"/>
      <c r="K769" s="232"/>
      <c r="L769" s="9"/>
      <c r="M769" s="9"/>
      <c r="N769" s="9"/>
      <c r="O769" s="9"/>
      <c r="P769" s="9"/>
      <c r="Q769" s="9"/>
      <c r="R769" s="9"/>
      <c r="S769" s="232"/>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row>
    <row r="770">
      <c r="A770" s="9"/>
      <c r="B770" s="9"/>
      <c r="C770" s="44">
        <v>613.0</v>
      </c>
      <c r="D770" s="9"/>
      <c r="E770" s="9"/>
      <c r="F770" s="9"/>
      <c r="G770" s="9"/>
      <c r="H770" s="9"/>
      <c r="I770" s="9"/>
      <c r="J770" s="9"/>
      <c r="K770" s="232"/>
      <c r="L770" s="9"/>
      <c r="M770" s="9"/>
      <c r="N770" s="9"/>
      <c r="O770" s="9"/>
      <c r="P770" s="9"/>
      <c r="Q770" s="9"/>
      <c r="R770" s="9"/>
      <c r="S770" s="232"/>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row>
    <row r="771">
      <c r="A771" s="9"/>
      <c r="B771" s="9"/>
      <c r="C771" s="44">
        <v>614.0</v>
      </c>
      <c r="D771" s="9"/>
      <c r="E771" s="9"/>
      <c r="F771" s="9"/>
      <c r="G771" s="9"/>
      <c r="H771" s="9"/>
      <c r="I771" s="9"/>
      <c r="J771" s="9"/>
      <c r="K771" s="232"/>
      <c r="L771" s="9"/>
      <c r="M771" s="9"/>
      <c r="N771" s="9"/>
      <c r="O771" s="9"/>
      <c r="P771" s="9"/>
      <c r="Q771" s="9"/>
      <c r="R771" s="9"/>
      <c r="S771" s="232"/>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row>
    <row r="772">
      <c r="A772" s="9"/>
      <c r="B772" s="9"/>
      <c r="C772" s="44">
        <v>615.0</v>
      </c>
      <c r="D772" s="9"/>
      <c r="E772" s="9"/>
      <c r="F772" s="9"/>
      <c r="G772" s="9"/>
      <c r="H772" s="9"/>
      <c r="I772" s="9"/>
      <c r="J772" s="9"/>
      <c r="K772" s="232"/>
      <c r="L772" s="9"/>
      <c r="M772" s="9"/>
      <c r="N772" s="9"/>
      <c r="O772" s="9"/>
      <c r="P772" s="9"/>
      <c r="Q772" s="9"/>
      <c r="R772" s="9"/>
      <c r="S772" s="232"/>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row>
    <row r="773">
      <c r="A773" s="9"/>
      <c r="B773" s="9"/>
      <c r="C773" s="44">
        <v>616.0</v>
      </c>
      <c r="D773" s="9"/>
      <c r="E773" s="9"/>
      <c r="F773" s="9"/>
      <c r="G773" s="9"/>
      <c r="H773" s="9"/>
      <c r="I773" s="9"/>
      <c r="J773" s="9"/>
      <c r="K773" s="232"/>
      <c r="L773" s="9"/>
      <c r="M773" s="9"/>
      <c r="N773" s="9"/>
      <c r="O773" s="9"/>
      <c r="P773" s="9"/>
      <c r="Q773" s="9"/>
      <c r="R773" s="9"/>
      <c r="S773" s="232"/>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row>
    <row r="774">
      <c r="A774" s="9"/>
      <c r="B774" s="9"/>
      <c r="C774" s="44">
        <v>617.0</v>
      </c>
      <c r="D774" s="9"/>
      <c r="E774" s="9"/>
      <c r="F774" s="9"/>
      <c r="G774" s="9"/>
      <c r="H774" s="9"/>
      <c r="I774" s="9"/>
      <c r="J774" s="9"/>
      <c r="K774" s="232"/>
      <c r="L774" s="9"/>
      <c r="M774" s="9"/>
      <c r="N774" s="9"/>
      <c r="O774" s="9"/>
      <c r="P774" s="9"/>
      <c r="Q774" s="9"/>
      <c r="R774" s="9"/>
      <c r="S774" s="232"/>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row>
    <row r="775">
      <c r="A775" s="9"/>
      <c r="B775" s="9"/>
      <c r="C775" s="44">
        <v>618.0</v>
      </c>
      <c r="D775" s="9"/>
      <c r="E775" s="9"/>
      <c r="F775" s="9"/>
      <c r="G775" s="9"/>
      <c r="H775" s="9"/>
      <c r="I775" s="9"/>
      <c r="J775" s="9"/>
      <c r="K775" s="232"/>
      <c r="L775" s="9"/>
      <c r="M775" s="9"/>
      <c r="N775" s="9"/>
      <c r="O775" s="9"/>
      <c r="P775" s="9"/>
      <c r="Q775" s="9"/>
      <c r="R775" s="9"/>
      <c r="S775" s="232"/>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row>
    <row r="776">
      <c r="A776" s="9"/>
      <c r="B776" s="9"/>
      <c r="C776" s="44">
        <v>619.0</v>
      </c>
      <c r="D776" s="9"/>
      <c r="E776" s="9"/>
      <c r="F776" s="9"/>
      <c r="G776" s="9"/>
      <c r="H776" s="9"/>
      <c r="I776" s="9"/>
      <c r="J776" s="9"/>
      <c r="K776" s="232"/>
      <c r="L776" s="9"/>
      <c r="M776" s="9"/>
      <c r="N776" s="9"/>
      <c r="O776" s="9"/>
      <c r="P776" s="9"/>
      <c r="Q776" s="9"/>
      <c r="R776" s="9"/>
      <c r="S776" s="232"/>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row>
    <row r="777">
      <c r="A777" s="9"/>
      <c r="B777" s="9"/>
      <c r="C777" s="44">
        <v>620.0</v>
      </c>
      <c r="D777" s="9"/>
      <c r="E777" s="9"/>
      <c r="F777" s="9"/>
      <c r="G777" s="9"/>
      <c r="H777" s="9"/>
      <c r="I777" s="9"/>
      <c r="J777" s="9"/>
      <c r="K777" s="232"/>
      <c r="L777" s="9"/>
      <c r="M777" s="9"/>
      <c r="N777" s="9"/>
      <c r="O777" s="9"/>
      <c r="P777" s="9"/>
      <c r="Q777" s="9"/>
      <c r="R777" s="9"/>
      <c r="S777" s="232"/>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row>
    <row r="778">
      <c r="A778" s="9"/>
      <c r="B778" s="9"/>
      <c r="C778" s="44">
        <v>621.0</v>
      </c>
      <c r="D778" s="9"/>
      <c r="E778" s="9"/>
      <c r="F778" s="9"/>
      <c r="G778" s="9"/>
      <c r="H778" s="9"/>
      <c r="I778" s="9"/>
      <c r="J778" s="9"/>
      <c r="K778" s="232"/>
      <c r="L778" s="9"/>
      <c r="M778" s="9"/>
      <c r="N778" s="9"/>
      <c r="O778" s="9"/>
      <c r="P778" s="9"/>
      <c r="Q778" s="9"/>
      <c r="R778" s="9"/>
      <c r="S778" s="232"/>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row>
    <row r="779">
      <c r="A779" s="9"/>
      <c r="B779" s="9"/>
      <c r="C779" s="44">
        <v>622.0</v>
      </c>
      <c r="D779" s="9"/>
      <c r="E779" s="9"/>
      <c r="F779" s="9"/>
      <c r="G779" s="9"/>
      <c r="H779" s="9"/>
      <c r="I779" s="9"/>
      <c r="J779" s="9"/>
      <c r="K779" s="232"/>
      <c r="L779" s="9"/>
      <c r="M779" s="9"/>
      <c r="N779" s="9"/>
      <c r="O779" s="9"/>
      <c r="P779" s="9"/>
      <c r="Q779" s="9"/>
      <c r="R779" s="9"/>
      <c r="S779" s="232"/>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row>
    <row r="780">
      <c r="A780" s="9"/>
      <c r="B780" s="9"/>
      <c r="C780" s="44">
        <v>623.0</v>
      </c>
      <c r="D780" s="9"/>
      <c r="E780" s="9"/>
      <c r="F780" s="9"/>
      <c r="G780" s="9"/>
      <c r="H780" s="9"/>
      <c r="I780" s="9"/>
      <c r="J780" s="9"/>
      <c r="K780" s="232"/>
      <c r="L780" s="9"/>
      <c r="M780" s="9"/>
      <c r="N780" s="9"/>
      <c r="O780" s="9"/>
      <c r="P780" s="9"/>
      <c r="Q780" s="9"/>
      <c r="R780" s="9"/>
      <c r="S780" s="232"/>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row>
    <row r="781">
      <c r="A781" s="9"/>
      <c r="B781" s="9"/>
      <c r="C781" s="44">
        <v>624.0</v>
      </c>
      <c r="D781" s="9"/>
      <c r="E781" s="9"/>
      <c r="F781" s="9"/>
      <c r="G781" s="9"/>
      <c r="H781" s="9"/>
      <c r="I781" s="9"/>
      <c r="J781" s="9"/>
      <c r="K781" s="232"/>
      <c r="L781" s="9"/>
      <c r="M781" s="9"/>
      <c r="N781" s="9"/>
      <c r="O781" s="9"/>
      <c r="P781" s="9"/>
      <c r="Q781" s="9"/>
      <c r="R781" s="9"/>
      <c r="S781" s="232"/>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row>
    <row r="782">
      <c r="A782" s="9"/>
      <c r="B782" s="9"/>
      <c r="C782" s="44">
        <v>625.0</v>
      </c>
      <c r="D782" s="9"/>
      <c r="E782" s="9"/>
      <c r="F782" s="9"/>
      <c r="G782" s="9"/>
      <c r="H782" s="9"/>
      <c r="I782" s="9"/>
      <c r="J782" s="9"/>
      <c r="K782" s="232"/>
      <c r="L782" s="9"/>
      <c r="M782" s="9"/>
      <c r="N782" s="9"/>
      <c r="O782" s="9"/>
      <c r="P782" s="9"/>
      <c r="Q782" s="9"/>
      <c r="R782" s="9"/>
      <c r="S782" s="232"/>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row>
    <row r="783">
      <c r="A783" s="9"/>
      <c r="B783" s="9"/>
      <c r="C783" s="44">
        <v>626.0</v>
      </c>
      <c r="D783" s="9"/>
      <c r="E783" s="9"/>
      <c r="F783" s="9"/>
      <c r="G783" s="9"/>
      <c r="H783" s="9"/>
      <c r="I783" s="9"/>
      <c r="J783" s="9"/>
      <c r="K783" s="232"/>
      <c r="L783" s="9"/>
      <c r="M783" s="9"/>
      <c r="N783" s="9"/>
      <c r="O783" s="9"/>
      <c r="P783" s="9"/>
      <c r="Q783" s="9"/>
      <c r="R783" s="9"/>
      <c r="S783" s="232"/>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row>
    <row r="784">
      <c r="A784" s="9"/>
      <c r="B784" s="9"/>
      <c r="C784" s="44">
        <v>627.0</v>
      </c>
      <c r="D784" s="9"/>
      <c r="E784" s="9"/>
      <c r="F784" s="9"/>
      <c r="G784" s="9"/>
      <c r="H784" s="9"/>
      <c r="I784" s="9"/>
      <c r="J784" s="9"/>
      <c r="K784" s="232"/>
      <c r="L784" s="9"/>
      <c r="M784" s="9"/>
      <c r="N784" s="9"/>
      <c r="O784" s="9"/>
      <c r="P784" s="9"/>
      <c r="Q784" s="9"/>
      <c r="R784" s="9"/>
      <c r="S784" s="232"/>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row>
    <row r="785">
      <c r="A785" s="9"/>
      <c r="B785" s="9"/>
      <c r="C785" s="44">
        <v>628.0</v>
      </c>
      <c r="D785" s="9"/>
      <c r="E785" s="9"/>
      <c r="F785" s="9"/>
      <c r="G785" s="9"/>
      <c r="H785" s="9"/>
      <c r="I785" s="9"/>
      <c r="J785" s="9"/>
      <c r="K785" s="232"/>
      <c r="L785" s="9"/>
      <c r="M785" s="9"/>
      <c r="N785" s="9"/>
      <c r="O785" s="9"/>
      <c r="P785" s="9"/>
      <c r="Q785" s="9"/>
      <c r="R785" s="9"/>
      <c r="S785" s="232"/>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row>
    <row r="786">
      <c r="A786" s="9"/>
      <c r="B786" s="9"/>
      <c r="C786" s="44">
        <v>629.0</v>
      </c>
      <c r="D786" s="9"/>
      <c r="E786" s="9"/>
      <c r="F786" s="9"/>
      <c r="G786" s="9"/>
      <c r="H786" s="9"/>
      <c r="I786" s="9"/>
      <c r="J786" s="9"/>
      <c r="K786" s="232"/>
      <c r="L786" s="9"/>
      <c r="M786" s="9"/>
      <c r="N786" s="9"/>
      <c r="O786" s="9"/>
      <c r="P786" s="9"/>
      <c r="Q786" s="9"/>
      <c r="R786" s="9"/>
      <c r="S786" s="232"/>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row>
    <row r="787">
      <c r="A787" s="9"/>
      <c r="B787" s="9"/>
      <c r="C787" s="44">
        <v>630.0</v>
      </c>
      <c r="D787" s="9"/>
      <c r="E787" s="9"/>
      <c r="F787" s="9"/>
      <c r="G787" s="9"/>
      <c r="H787" s="9"/>
      <c r="I787" s="9"/>
      <c r="J787" s="9"/>
      <c r="K787" s="232"/>
      <c r="L787" s="9"/>
      <c r="M787" s="9"/>
      <c r="N787" s="9"/>
      <c r="O787" s="9"/>
      <c r="P787" s="9"/>
      <c r="Q787" s="9"/>
      <c r="R787" s="9"/>
      <c r="S787" s="232"/>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row>
    <row r="788">
      <c r="A788" s="9"/>
      <c r="B788" s="9"/>
      <c r="C788" s="44">
        <v>631.0</v>
      </c>
      <c r="D788" s="9"/>
      <c r="E788" s="9"/>
      <c r="F788" s="9"/>
      <c r="G788" s="9"/>
      <c r="H788" s="9"/>
      <c r="I788" s="9"/>
      <c r="J788" s="9"/>
      <c r="K788" s="232"/>
      <c r="L788" s="9"/>
      <c r="M788" s="9"/>
      <c r="N788" s="9"/>
      <c r="O788" s="9"/>
      <c r="P788" s="9"/>
      <c r="Q788" s="9"/>
      <c r="R788" s="9"/>
      <c r="S788" s="232"/>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row>
    <row r="789">
      <c r="A789" s="9"/>
      <c r="B789" s="9"/>
      <c r="C789" s="44">
        <v>632.0</v>
      </c>
      <c r="D789" s="9"/>
      <c r="E789" s="9"/>
      <c r="F789" s="9"/>
      <c r="G789" s="9"/>
      <c r="H789" s="9"/>
      <c r="I789" s="9"/>
      <c r="J789" s="9"/>
      <c r="K789" s="232"/>
      <c r="L789" s="9"/>
      <c r="M789" s="9"/>
      <c r="N789" s="9"/>
      <c r="O789" s="9"/>
      <c r="P789" s="9"/>
      <c r="Q789" s="9"/>
      <c r="R789" s="9"/>
      <c r="S789" s="232"/>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row>
    <row r="790">
      <c r="A790" s="9"/>
      <c r="B790" s="9"/>
      <c r="C790" s="44">
        <v>633.0</v>
      </c>
      <c r="D790" s="9"/>
      <c r="E790" s="9"/>
      <c r="F790" s="9"/>
      <c r="G790" s="9"/>
      <c r="H790" s="9"/>
      <c r="I790" s="9"/>
      <c r="J790" s="9"/>
      <c r="K790" s="232"/>
      <c r="L790" s="9"/>
      <c r="M790" s="9"/>
      <c r="N790" s="9"/>
      <c r="O790" s="9"/>
      <c r="P790" s="9"/>
      <c r="Q790" s="9"/>
      <c r="R790" s="9"/>
      <c r="S790" s="232"/>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row>
    <row r="791">
      <c r="A791" s="9"/>
      <c r="B791" s="9"/>
      <c r="C791" s="44">
        <v>634.0</v>
      </c>
      <c r="D791" s="9"/>
      <c r="E791" s="9"/>
      <c r="F791" s="9"/>
      <c r="G791" s="9"/>
      <c r="H791" s="9"/>
      <c r="I791" s="9"/>
      <c r="J791" s="9"/>
      <c r="K791" s="232"/>
      <c r="L791" s="9"/>
      <c r="M791" s="9"/>
      <c r="N791" s="9"/>
      <c r="O791" s="9"/>
      <c r="P791" s="9"/>
      <c r="Q791" s="9"/>
      <c r="R791" s="9"/>
      <c r="S791" s="232"/>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row>
    <row r="792">
      <c r="A792" s="9"/>
      <c r="B792" s="9"/>
      <c r="C792" s="44">
        <v>635.0</v>
      </c>
      <c r="D792" s="9"/>
      <c r="E792" s="9"/>
      <c r="F792" s="9"/>
      <c r="G792" s="9"/>
      <c r="H792" s="9"/>
      <c r="I792" s="9"/>
      <c r="J792" s="9"/>
      <c r="K792" s="232"/>
      <c r="L792" s="9"/>
      <c r="M792" s="9"/>
      <c r="N792" s="9"/>
      <c r="O792" s="9"/>
      <c r="P792" s="9"/>
      <c r="Q792" s="9"/>
      <c r="R792" s="9"/>
      <c r="S792" s="232"/>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row>
    <row r="793">
      <c r="A793" s="9"/>
      <c r="B793" s="9"/>
      <c r="C793" s="44">
        <v>636.0</v>
      </c>
      <c r="D793" s="9"/>
      <c r="E793" s="9"/>
      <c r="F793" s="9"/>
      <c r="G793" s="9"/>
      <c r="H793" s="9"/>
      <c r="I793" s="9"/>
      <c r="J793" s="9"/>
      <c r="K793" s="232"/>
      <c r="L793" s="9"/>
      <c r="M793" s="9"/>
      <c r="N793" s="9"/>
      <c r="O793" s="9"/>
      <c r="P793" s="9"/>
      <c r="Q793" s="9"/>
      <c r="R793" s="9"/>
      <c r="S793" s="232"/>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row>
    <row r="794">
      <c r="A794" s="9"/>
      <c r="B794" s="9"/>
      <c r="C794" s="44">
        <v>637.0</v>
      </c>
      <c r="D794" s="9"/>
      <c r="E794" s="9"/>
      <c r="F794" s="9"/>
      <c r="G794" s="9"/>
      <c r="H794" s="9"/>
      <c r="I794" s="9"/>
      <c r="J794" s="9"/>
      <c r="K794" s="232"/>
      <c r="L794" s="9"/>
      <c r="M794" s="9"/>
      <c r="N794" s="9"/>
      <c r="O794" s="9"/>
      <c r="P794" s="9"/>
      <c r="Q794" s="9"/>
      <c r="R794" s="9"/>
      <c r="S794" s="232"/>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row>
    <row r="795">
      <c r="A795" s="9"/>
      <c r="B795" s="9"/>
      <c r="C795" s="44">
        <v>638.0</v>
      </c>
      <c r="D795" s="9"/>
      <c r="E795" s="9"/>
      <c r="F795" s="9"/>
      <c r="G795" s="9"/>
      <c r="H795" s="9"/>
      <c r="I795" s="9"/>
      <c r="J795" s="9"/>
      <c r="K795" s="232"/>
      <c r="L795" s="9"/>
      <c r="M795" s="9"/>
      <c r="N795" s="9"/>
      <c r="O795" s="9"/>
      <c r="P795" s="9"/>
      <c r="Q795" s="9"/>
      <c r="R795" s="9"/>
      <c r="S795" s="232"/>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row>
    <row r="796">
      <c r="A796" s="9"/>
      <c r="B796" s="9"/>
      <c r="C796" s="44">
        <v>639.0</v>
      </c>
      <c r="D796" s="9"/>
      <c r="E796" s="9"/>
      <c r="F796" s="9"/>
      <c r="G796" s="9"/>
      <c r="H796" s="9"/>
      <c r="I796" s="9"/>
      <c r="J796" s="9"/>
      <c r="K796" s="232"/>
      <c r="L796" s="9"/>
      <c r="M796" s="9"/>
      <c r="N796" s="9"/>
      <c r="O796" s="9"/>
      <c r="P796" s="9"/>
      <c r="Q796" s="9"/>
      <c r="R796" s="9"/>
      <c r="S796" s="232"/>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row>
    <row r="797">
      <c r="A797" s="9"/>
      <c r="B797" s="9"/>
      <c r="C797" s="44">
        <v>640.0</v>
      </c>
      <c r="D797" s="9"/>
      <c r="E797" s="9"/>
      <c r="F797" s="9"/>
      <c r="G797" s="9"/>
      <c r="H797" s="9"/>
      <c r="I797" s="9"/>
      <c r="J797" s="9"/>
      <c r="K797" s="232"/>
      <c r="L797" s="9"/>
      <c r="M797" s="9"/>
      <c r="N797" s="9"/>
      <c r="O797" s="9"/>
      <c r="P797" s="9"/>
      <c r="Q797" s="9"/>
      <c r="R797" s="9"/>
      <c r="S797" s="232"/>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row>
    <row r="798">
      <c r="A798" s="9"/>
      <c r="B798" s="9"/>
      <c r="C798" s="44">
        <v>641.0</v>
      </c>
      <c r="D798" s="9"/>
      <c r="E798" s="9"/>
      <c r="F798" s="9"/>
      <c r="G798" s="9"/>
      <c r="H798" s="9"/>
      <c r="I798" s="9"/>
      <c r="J798" s="9"/>
      <c r="K798" s="232"/>
      <c r="L798" s="9"/>
      <c r="M798" s="9"/>
      <c r="N798" s="9"/>
      <c r="O798" s="9"/>
      <c r="P798" s="9"/>
      <c r="Q798" s="9"/>
      <c r="R798" s="9"/>
      <c r="S798" s="232"/>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row>
    <row r="799">
      <c r="A799" s="9"/>
      <c r="B799" s="9"/>
      <c r="C799" s="44">
        <v>642.0</v>
      </c>
      <c r="D799" s="9"/>
      <c r="E799" s="9"/>
      <c r="F799" s="9"/>
      <c r="G799" s="9"/>
      <c r="H799" s="9"/>
      <c r="I799" s="9"/>
      <c r="J799" s="9"/>
      <c r="K799" s="232"/>
      <c r="L799" s="9"/>
      <c r="M799" s="9"/>
      <c r="N799" s="9"/>
      <c r="O799" s="9"/>
      <c r="P799" s="9"/>
      <c r="Q799" s="9"/>
      <c r="R799" s="9"/>
      <c r="S799" s="232"/>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row>
    <row r="800">
      <c r="A800" s="9"/>
      <c r="B800" s="9"/>
      <c r="C800" s="44">
        <v>643.0</v>
      </c>
      <c r="D800" s="9"/>
      <c r="E800" s="9"/>
      <c r="F800" s="9"/>
      <c r="G800" s="9"/>
      <c r="H800" s="9"/>
      <c r="I800" s="9"/>
      <c r="J800" s="9"/>
      <c r="K800" s="232"/>
      <c r="L800" s="9"/>
      <c r="M800" s="9"/>
      <c r="N800" s="9"/>
      <c r="O800" s="9"/>
      <c r="P800" s="9"/>
      <c r="Q800" s="9"/>
      <c r="R800" s="9"/>
      <c r="S800" s="232"/>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row>
    <row r="801">
      <c r="A801" s="9"/>
      <c r="B801" s="9"/>
      <c r="C801" s="44">
        <v>644.0</v>
      </c>
      <c r="D801" s="9"/>
      <c r="E801" s="9"/>
      <c r="F801" s="9"/>
      <c r="G801" s="9"/>
      <c r="H801" s="9"/>
      <c r="I801" s="9"/>
      <c r="J801" s="9"/>
      <c r="K801" s="232"/>
      <c r="L801" s="9"/>
      <c r="M801" s="9"/>
      <c r="N801" s="9"/>
      <c r="O801" s="9"/>
      <c r="P801" s="9"/>
      <c r="Q801" s="9"/>
      <c r="R801" s="9"/>
      <c r="S801" s="232"/>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row>
    <row r="802">
      <c r="A802" s="9"/>
      <c r="B802" s="9"/>
      <c r="C802" s="44">
        <v>645.0</v>
      </c>
      <c r="D802" s="9"/>
      <c r="E802" s="9"/>
      <c r="F802" s="9"/>
      <c r="G802" s="9"/>
      <c r="H802" s="9"/>
      <c r="I802" s="9"/>
      <c r="J802" s="9"/>
      <c r="K802" s="232"/>
      <c r="L802" s="9"/>
      <c r="M802" s="9"/>
      <c r="N802" s="9"/>
      <c r="O802" s="9"/>
      <c r="P802" s="9"/>
      <c r="Q802" s="9"/>
      <c r="R802" s="9"/>
      <c r="S802" s="232"/>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row>
    <row r="803">
      <c r="A803" s="9"/>
      <c r="B803" s="9"/>
      <c r="C803" s="44">
        <v>646.0</v>
      </c>
      <c r="D803" s="9"/>
      <c r="E803" s="9"/>
      <c r="F803" s="9"/>
      <c r="G803" s="9"/>
      <c r="H803" s="9"/>
      <c r="I803" s="9"/>
      <c r="J803" s="9"/>
      <c r="K803" s="232"/>
      <c r="L803" s="9"/>
      <c r="M803" s="9"/>
      <c r="N803" s="9"/>
      <c r="O803" s="9"/>
      <c r="P803" s="9"/>
      <c r="Q803" s="9"/>
      <c r="R803" s="9"/>
      <c r="S803" s="232"/>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row>
    <row r="804">
      <c r="A804" s="9"/>
      <c r="B804" s="9"/>
      <c r="C804" s="44">
        <v>647.0</v>
      </c>
      <c r="D804" s="9"/>
      <c r="E804" s="9"/>
      <c r="F804" s="9"/>
      <c r="G804" s="9"/>
      <c r="H804" s="9"/>
      <c r="I804" s="9"/>
      <c r="J804" s="9"/>
      <c r="K804" s="232"/>
      <c r="L804" s="9"/>
      <c r="M804" s="9"/>
      <c r="N804" s="9"/>
      <c r="O804" s="9"/>
      <c r="P804" s="9"/>
      <c r="Q804" s="9"/>
      <c r="R804" s="9"/>
      <c r="S804" s="232"/>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row>
    <row r="805">
      <c r="A805" s="9"/>
      <c r="B805" s="9"/>
      <c r="C805" s="44">
        <v>648.0</v>
      </c>
      <c r="D805" s="9"/>
      <c r="E805" s="9"/>
      <c r="F805" s="9"/>
      <c r="G805" s="9"/>
      <c r="H805" s="9"/>
      <c r="I805" s="9"/>
      <c r="J805" s="9"/>
      <c r="K805" s="232"/>
      <c r="L805" s="9"/>
      <c r="M805" s="9"/>
      <c r="N805" s="9"/>
      <c r="O805" s="9"/>
      <c r="P805" s="9"/>
      <c r="Q805" s="9"/>
      <c r="R805" s="9"/>
      <c r="S805" s="232"/>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row>
    <row r="806">
      <c r="A806" s="9"/>
      <c r="B806" s="9"/>
      <c r="C806" s="44">
        <v>649.0</v>
      </c>
      <c r="D806" s="9"/>
      <c r="E806" s="9"/>
      <c r="F806" s="9"/>
      <c r="G806" s="9"/>
      <c r="H806" s="9"/>
      <c r="I806" s="9"/>
      <c r="J806" s="9"/>
      <c r="K806" s="232"/>
      <c r="L806" s="9"/>
      <c r="M806" s="9"/>
      <c r="N806" s="9"/>
      <c r="O806" s="9"/>
      <c r="P806" s="9"/>
      <c r="Q806" s="9"/>
      <c r="R806" s="9"/>
      <c r="S806" s="232"/>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row>
    <row r="807">
      <c r="A807" s="9"/>
      <c r="B807" s="9"/>
      <c r="C807" s="44">
        <v>650.0</v>
      </c>
      <c r="D807" s="9"/>
      <c r="E807" s="9"/>
      <c r="F807" s="9"/>
      <c r="G807" s="9"/>
      <c r="H807" s="9"/>
      <c r="I807" s="9"/>
      <c r="J807" s="9"/>
      <c r="K807" s="232"/>
      <c r="L807" s="9"/>
      <c r="M807" s="9"/>
      <c r="N807" s="9"/>
      <c r="O807" s="9"/>
      <c r="P807" s="9"/>
      <c r="Q807" s="9"/>
      <c r="R807" s="9"/>
      <c r="S807" s="232"/>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row>
    <row r="808">
      <c r="A808" s="9"/>
      <c r="B808" s="9"/>
      <c r="C808" s="44">
        <v>651.0</v>
      </c>
      <c r="D808" s="9"/>
      <c r="E808" s="9"/>
      <c r="F808" s="9"/>
      <c r="G808" s="9"/>
      <c r="H808" s="9"/>
      <c r="I808" s="9"/>
      <c r="J808" s="9"/>
      <c r="K808" s="232"/>
      <c r="L808" s="9"/>
      <c r="M808" s="9"/>
      <c r="N808" s="9"/>
      <c r="O808" s="9"/>
      <c r="P808" s="9"/>
      <c r="Q808" s="9"/>
      <c r="R808" s="9"/>
      <c r="S808" s="232"/>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row>
    <row r="809">
      <c r="A809" s="9"/>
      <c r="B809" s="9"/>
      <c r="C809" s="44">
        <v>652.0</v>
      </c>
      <c r="D809" s="9"/>
      <c r="E809" s="9"/>
      <c r="F809" s="9"/>
      <c r="G809" s="9"/>
      <c r="H809" s="9"/>
      <c r="I809" s="9"/>
      <c r="J809" s="9"/>
      <c r="K809" s="232"/>
      <c r="L809" s="9"/>
      <c r="M809" s="9"/>
      <c r="N809" s="9"/>
      <c r="O809" s="9"/>
      <c r="P809" s="9"/>
      <c r="Q809" s="9"/>
      <c r="R809" s="9"/>
      <c r="S809" s="232"/>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row>
    <row r="810">
      <c r="A810" s="9"/>
      <c r="B810" s="9"/>
      <c r="C810" s="44">
        <v>653.0</v>
      </c>
      <c r="D810" s="9"/>
      <c r="E810" s="9"/>
      <c r="F810" s="9"/>
      <c r="G810" s="9"/>
      <c r="H810" s="9"/>
      <c r="I810" s="9"/>
      <c r="J810" s="9"/>
      <c r="K810" s="232"/>
      <c r="L810" s="9"/>
      <c r="M810" s="9"/>
      <c r="N810" s="9"/>
      <c r="O810" s="9"/>
      <c r="P810" s="9"/>
      <c r="Q810" s="9"/>
      <c r="R810" s="9"/>
      <c r="S810" s="232"/>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row>
    <row r="811">
      <c r="A811" s="9"/>
      <c r="B811" s="9"/>
      <c r="C811" s="44">
        <v>654.0</v>
      </c>
      <c r="D811" s="9"/>
      <c r="E811" s="9"/>
      <c r="F811" s="9"/>
      <c r="G811" s="9"/>
      <c r="H811" s="9"/>
      <c r="I811" s="9"/>
      <c r="J811" s="9"/>
      <c r="K811" s="232"/>
      <c r="L811" s="9"/>
      <c r="M811" s="9"/>
      <c r="N811" s="9"/>
      <c r="O811" s="9"/>
      <c r="P811" s="9"/>
      <c r="Q811" s="9"/>
      <c r="R811" s="9"/>
      <c r="S811" s="232"/>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row>
    <row r="812">
      <c r="A812" s="9"/>
      <c r="B812" s="9"/>
      <c r="C812" s="44">
        <v>655.0</v>
      </c>
      <c r="D812" s="9"/>
      <c r="E812" s="9"/>
      <c r="F812" s="9"/>
      <c r="G812" s="9"/>
      <c r="H812" s="9"/>
      <c r="I812" s="9"/>
      <c r="J812" s="9"/>
      <c r="K812" s="232"/>
      <c r="L812" s="9"/>
      <c r="M812" s="9"/>
      <c r="N812" s="9"/>
      <c r="O812" s="9"/>
      <c r="P812" s="9"/>
      <c r="Q812" s="9"/>
      <c r="R812" s="9"/>
      <c r="S812" s="232"/>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row>
    <row r="813">
      <c r="A813" s="9"/>
      <c r="B813" s="9"/>
      <c r="C813" s="44">
        <v>656.0</v>
      </c>
      <c r="D813" s="9"/>
      <c r="E813" s="9"/>
      <c r="F813" s="9"/>
      <c r="G813" s="9"/>
      <c r="H813" s="9"/>
      <c r="I813" s="9"/>
      <c r="J813" s="9"/>
      <c r="K813" s="232"/>
      <c r="L813" s="9"/>
      <c r="M813" s="9"/>
      <c r="N813" s="9"/>
      <c r="O813" s="9"/>
      <c r="P813" s="9"/>
      <c r="Q813" s="9"/>
      <c r="R813" s="9"/>
      <c r="S813" s="232"/>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row>
    <row r="814">
      <c r="A814" s="9"/>
      <c r="B814" s="9"/>
      <c r="C814" s="44">
        <v>657.0</v>
      </c>
      <c r="D814" s="9"/>
      <c r="E814" s="9"/>
      <c r="F814" s="9"/>
      <c r="G814" s="9"/>
      <c r="H814" s="9"/>
      <c r="I814" s="9"/>
      <c r="J814" s="9"/>
      <c r="K814" s="232"/>
      <c r="L814" s="9"/>
      <c r="M814" s="9"/>
      <c r="N814" s="9"/>
      <c r="O814" s="9"/>
      <c r="P814" s="9"/>
      <c r="Q814" s="9"/>
      <c r="R814" s="9"/>
      <c r="S814" s="232"/>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row>
    <row r="815">
      <c r="A815" s="9"/>
      <c r="B815" s="9"/>
      <c r="C815" s="44">
        <v>658.0</v>
      </c>
      <c r="D815" s="9"/>
      <c r="E815" s="9"/>
      <c r="F815" s="9"/>
      <c r="G815" s="9"/>
      <c r="H815" s="9"/>
      <c r="I815" s="9"/>
      <c r="J815" s="9"/>
      <c r="K815" s="232"/>
      <c r="L815" s="9"/>
      <c r="M815" s="9"/>
      <c r="N815" s="9"/>
      <c r="O815" s="9"/>
      <c r="P815" s="9"/>
      <c r="Q815" s="9"/>
      <c r="R815" s="9"/>
      <c r="S815" s="232"/>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row>
    <row r="816">
      <c r="A816" s="9"/>
      <c r="B816" s="9"/>
      <c r="C816" s="44">
        <v>659.0</v>
      </c>
      <c r="D816" s="9"/>
      <c r="E816" s="9"/>
      <c r="F816" s="9"/>
      <c r="G816" s="9"/>
      <c r="H816" s="9"/>
      <c r="I816" s="9"/>
      <c r="J816" s="9"/>
      <c r="K816" s="232"/>
      <c r="L816" s="9"/>
      <c r="M816" s="9"/>
      <c r="N816" s="9"/>
      <c r="O816" s="9"/>
      <c r="P816" s="9"/>
      <c r="Q816" s="9"/>
      <c r="R816" s="9"/>
      <c r="S816" s="232"/>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row>
    <row r="817">
      <c r="A817" s="9"/>
      <c r="B817" s="9"/>
      <c r="C817" s="44">
        <v>660.0</v>
      </c>
      <c r="D817" s="9"/>
      <c r="E817" s="9"/>
      <c r="F817" s="9"/>
      <c r="G817" s="9"/>
      <c r="H817" s="9"/>
      <c r="I817" s="9"/>
      <c r="J817" s="9"/>
      <c r="K817" s="232"/>
      <c r="L817" s="9"/>
      <c r="M817" s="9"/>
      <c r="N817" s="9"/>
      <c r="O817" s="9"/>
      <c r="P817" s="9"/>
      <c r="Q817" s="9"/>
      <c r="R817" s="9"/>
      <c r="S817" s="232"/>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row>
    <row r="818">
      <c r="A818" s="9"/>
      <c r="B818" s="9"/>
      <c r="C818" s="44">
        <v>661.0</v>
      </c>
      <c r="D818" s="9"/>
      <c r="E818" s="9"/>
      <c r="F818" s="9"/>
      <c r="G818" s="9"/>
      <c r="H818" s="9"/>
      <c r="I818" s="9"/>
      <c r="J818" s="9"/>
      <c r="K818" s="232"/>
      <c r="L818" s="9"/>
      <c r="M818" s="9"/>
      <c r="N818" s="9"/>
      <c r="O818" s="9"/>
      <c r="P818" s="9"/>
      <c r="Q818" s="9"/>
      <c r="R818" s="9"/>
      <c r="S818" s="232"/>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row>
    <row r="819">
      <c r="A819" s="9"/>
      <c r="B819" s="9"/>
      <c r="C819" s="44">
        <v>662.0</v>
      </c>
      <c r="D819" s="9"/>
      <c r="E819" s="9"/>
      <c r="F819" s="9"/>
      <c r="G819" s="9"/>
      <c r="H819" s="9"/>
      <c r="I819" s="9"/>
      <c r="J819" s="9"/>
      <c r="K819" s="232"/>
      <c r="L819" s="9"/>
      <c r="M819" s="9"/>
      <c r="N819" s="9"/>
      <c r="O819" s="9"/>
      <c r="P819" s="9"/>
      <c r="Q819" s="9"/>
      <c r="R819" s="9"/>
      <c r="S819" s="232"/>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row>
    <row r="820">
      <c r="A820" s="9"/>
      <c r="B820" s="9"/>
      <c r="C820" s="44">
        <v>663.0</v>
      </c>
      <c r="D820" s="9"/>
      <c r="E820" s="9"/>
      <c r="F820" s="9"/>
      <c r="G820" s="9"/>
      <c r="H820" s="9"/>
      <c r="I820" s="9"/>
      <c r="J820" s="9"/>
      <c r="K820" s="232"/>
      <c r="L820" s="9"/>
      <c r="M820" s="9"/>
      <c r="N820" s="9"/>
      <c r="O820" s="9"/>
      <c r="P820" s="9"/>
      <c r="Q820" s="9"/>
      <c r="R820" s="9"/>
      <c r="S820" s="232"/>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row>
    <row r="821">
      <c r="A821" s="9"/>
      <c r="B821" s="9"/>
      <c r="C821" s="44">
        <v>664.0</v>
      </c>
      <c r="D821" s="9"/>
      <c r="E821" s="9"/>
      <c r="F821" s="9"/>
      <c r="G821" s="9"/>
      <c r="H821" s="9"/>
      <c r="I821" s="9"/>
      <c r="J821" s="9"/>
      <c r="K821" s="232"/>
      <c r="L821" s="9"/>
      <c r="M821" s="9"/>
      <c r="N821" s="9"/>
      <c r="O821" s="9"/>
      <c r="P821" s="9"/>
      <c r="Q821" s="9"/>
      <c r="R821" s="9"/>
      <c r="S821" s="232"/>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row>
    <row r="822">
      <c r="A822" s="9"/>
      <c r="B822" s="9"/>
      <c r="C822" s="44">
        <v>665.0</v>
      </c>
      <c r="D822" s="9"/>
      <c r="E822" s="9"/>
      <c r="F822" s="9"/>
      <c r="G822" s="9"/>
      <c r="H822" s="9"/>
      <c r="I822" s="9"/>
      <c r="J822" s="9"/>
      <c r="K822" s="232"/>
      <c r="L822" s="9"/>
      <c r="M822" s="9"/>
      <c r="N822" s="9"/>
      <c r="O822" s="9"/>
      <c r="P822" s="9"/>
      <c r="Q822" s="9"/>
      <c r="R822" s="9"/>
      <c r="S822" s="232"/>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row>
    <row r="823">
      <c r="A823" s="9"/>
      <c r="B823" s="9"/>
      <c r="C823" s="44">
        <v>666.0</v>
      </c>
      <c r="D823" s="9"/>
      <c r="E823" s="9"/>
      <c r="F823" s="9"/>
      <c r="G823" s="9"/>
      <c r="H823" s="9"/>
      <c r="I823" s="9"/>
      <c r="J823" s="9"/>
      <c r="K823" s="232"/>
      <c r="L823" s="9"/>
      <c r="M823" s="9"/>
      <c r="N823" s="9"/>
      <c r="O823" s="9"/>
      <c r="P823" s="9"/>
      <c r="Q823" s="9"/>
      <c r="R823" s="9"/>
      <c r="S823" s="232"/>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row>
    <row r="824">
      <c r="A824" s="9"/>
      <c r="B824" s="9"/>
      <c r="C824" s="44">
        <v>667.0</v>
      </c>
      <c r="D824" s="9"/>
      <c r="E824" s="9"/>
      <c r="F824" s="9"/>
      <c r="G824" s="9"/>
      <c r="H824" s="9"/>
      <c r="I824" s="9"/>
      <c r="J824" s="9"/>
      <c r="K824" s="232"/>
      <c r="L824" s="9"/>
      <c r="M824" s="9"/>
      <c r="N824" s="9"/>
      <c r="O824" s="9"/>
      <c r="P824" s="9"/>
      <c r="Q824" s="9"/>
      <c r="R824" s="9"/>
      <c r="S824" s="232"/>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row>
    <row r="825">
      <c r="A825" s="9"/>
      <c r="B825" s="9"/>
      <c r="C825" s="44">
        <v>668.0</v>
      </c>
      <c r="D825" s="9"/>
      <c r="E825" s="9"/>
      <c r="F825" s="9"/>
      <c r="G825" s="9"/>
      <c r="H825" s="9"/>
      <c r="I825" s="9"/>
      <c r="J825" s="9"/>
      <c r="K825" s="232"/>
      <c r="L825" s="9"/>
      <c r="M825" s="9"/>
      <c r="N825" s="9"/>
      <c r="O825" s="9"/>
      <c r="P825" s="9"/>
      <c r="Q825" s="9"/>
      <c r="R825" s="9"/>
      <c r="S825" s="232"/>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row>
    <row r="826">
      <c r="A826" s="9"/>
      <c r="B826" s="9"/>
      <c r="C826" s="44">
        <v>669.0</v>
      </c>
      <c r="D826" s="9"/>
      <c r="E826" s="9"/>
      <c r="F826" s="9"/>
      <c r="G826" s="9"/>
      <c r="H826" s="9"/>
      <c r="I826" s="9"/>
      <c r="J826" s="9"/>
      <c r="K826" s="232"/>
      <c r="L826" s="9"/>
      <c r="M826" s="9"/>
      <c r="N826" s="9"/>
      <c r="O826" s="9"/>
      <c r="P826" s="9"/>
      <c r="Q826" s="9"/>
      <c r="R826" s="9"/>
      <c r="S826" s="232"/>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row>
    <row r="827">
      <c r="A827" s="9"/>
      <c r="B827" s="9"/>
      <c r="C827" s="44">
        <v>670.0</v>
      </c>
      <c r="D827" s="9"/>
      <c r="E827" s="9"/>
      <c r="F827" s="9"/>
      <c r="G827" s="9"/>
      <c r="H827" s="9"/>
      <c r="I827" s="9"/>
      <c r="J827" s="9"/>
      <c r="K827" s="232"/>
      <c r="L827" s="9"/>
      <c r="M827" s="9"/>
      <c r="N827" s="9"/>
      <c r="O827" s="9"/>
      <c r="P827" s="9"/>
      <c r="Q827" s="9"/>
      <c r="R827" s="9"/>
      <c r="S827" s="232"/>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row>
    <row r="828">
      <c r="A828" s="9"/>
      <c r="B828" s="9"/>
      <c r="C828" s="44">
        <v>671.0</v>
      </c>
      <c r="D828" s="9"/>
      <c r="E828" s="9"/>
      <c r="F828" s="9"/>
      <c r="G828" s="9"/>
      <c r="H828" s="9"/>
      <c r="I828" s="9"/>
      <c r="J828" s="9"/>
      <c r="K828" s="232"/>
      <c r="L828" s="9"/>
      <c r="M828" s="9"/>
      <c r="N828" s="9"/>
      <c r="O828" s="9"/>
      <c r="P828" s="9"/>
      <c r="Q828" s="9"/>
      <c r="R828" s="9"/>
      <c r="S828" s="232"/>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row>
    <row r="829">
      <c r="A829" s="9"/>
      <c r="B829" s="9"/>
      <c r="C829" s="44">
        <v>672.0</v>
      </c>
      <c r="D829" s="9"/>
      <c r="E829" s="9"/>
      <c r="F829" s="9"/>
      <c r="G829" s="9"/>
      <c r="H829" s="9"/>
      <c r="I829" s="9"/>
      <c r="J829" s="9"/>
      <c r="K829" s="232"/>
      <c r="L829" s="9"/>
      <c r="M829" s="9"/>
      <c r="N829" s="9"/>
      <c r="O829" s="9"/>
      <c r="P829" s="9"/>
      <c r="Q829" s="9"/>
      <c r="R829" s="9"/>
      <c r="S829" s="232"/>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row>
    <row r="830">
      <c r="A830" s="9"/>
      <c r="B830" s="9"/>
      <c r="C830" s="44">
        <v>673.0</v>
      </c>
      <c r="D830" s="9"/>
      <c r="E830" s="9"/>
      <c r="F830" s="9"/>
      <c r="G830" s="9"/>
      <c r="H830" s="9"/>
      <c r="I830" s="9"/>
      <c r="J830" s="9"/>
      <c r="K830" s="232"/>
      <c r="L830" s="9"/>
      <c r="M830" s="9"/>
      <c r="N830" s="9"/>
      <c r="O830" s="9"/>
      <c r="P830" s="9"/>
      <c r="Q830" s="9"/>
      <c r="R830" s="9"/>
      <c r="S830" s="232"/>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row>
    <row r="831">
      <c r="A831" s="9"/>
      <c r="B831" s="9"/>
      <c r="C831" s="44">
        <v>674.0</v>
      </c>
      <c r="D831" s="9"/>
      <c r="E831" s="9"/>
      <c r="F831" s="9"/>
      <c r="G831" s="9"/>
      <c r="H831" s="9"/>
      <c r="I831" s="9"/>
      <c r="J831" s="9"/>
      <c r="K831" s="232"/>
      <c r="L831" s="9"/>
      <c r="M831" s="9"/>
      <c r="N831" s="9"/>
      <c r="O831" s="9"/>
      <c r="P831" s="9"/>
      <c r="Q831" s="9"/>
      <c r="R831" s="9"/>
      <c r="S831" s="232"/>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row>
    <row r="832">
      <c r="A832" s="9"/>
      <c r="B832" s="9"/>
      <c r="C832" s="44">
        <v>675.0</v>
      </c>
      <c r="D832" s="9"/>
      <c r="E832" s="9"/>
      <c r="F832" s="9"/>
      <c r="G832" s="9"/>
      <c r="H832" s="9"/>
      <c r="I832" s="9"/>
      <c r="J832" s="9"/>
      <c r="K832" s="232"/>
      <c r="L832" s="9"/>
      <c r="M832" s="9"/>
      <c r="N832" s="9"/>
      <c r="O832" s="9"/>
      <c r="P832" s="9"/>
      <c r="Q832" s="9"/>
      <c r="R832" s="9"/>
      <c r="S832" s="232"/>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row>
    <row r="833">
      <c r="A833" s="9"/>
      <c r="B833" s="9"/>
      <c r="C833" s="44">
        <v>676.0</v>
      </c>
      <c r="D833" s="9"/>
      <c r="E833" s="9"/>
      <c r="F833" s="9"/>
      <c r="G833" s="9"/>
      <c r="H833" s="9"/>
      <c r="I833" s="9"/>
      <c r="J833" s="9"/>
      <c r="K833" s="232"/>
      <c r="L833" s="9"/>
      <c r="M833" s="9"/>
      <c r="N833" s="9"/>
      <c r="O833" s="9"/>
      <c r="P833" s="9"/>
      <c r="Q833" s="9"/>
      <c r="R833" s="9"/>
      <c r="S833" s="232"/>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row>
    <row r="834">
      <c r="A834" s="9"/>
      <c r="B834" s="9"/>
      <c r="C834" s="44">
        <v>677.0</v>
      </c>
      <c r="D834" s="9"/>
      <c r="E834" s="9"/>
      <c r="F834" s="9"/>
      <c r="G834" s="9"/>
      <c r="H834" s="9"/>
      <c r="I834" s="9"/>
      <c r="J834" s="9"/>
      <c r="K834" s="232"/>
      <c r="L834" s="9"/>
      <c r="M834" s="9"/>
      <c r="N834" s="9"/>
      <c r="O834" s="9"/>
      <c r="P834" s="9"/>
      <c r="Q834" s="9"/>
      <c r="R834" s="9"/>
      <c r="S834" s="232"/>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row>
    <row r="835">
      <c r="A835" s="9"/>
      <c r="B835" s="9"/>
      <c r="C835" s="44">
        <v>678.0</v>
      </c>
      <c r="D835" s="9"/>
      <c r="E835" s="9"/>
      <c r="F835" s="9"/>
      <c r="G835" s="9"/>
      <c r="H835" s="9"/>
      <c r="I835" s="9"/>
      <c r="J835" s="9"/>
      <c r="K835" s="232"/>
      <c r="L835" s="9"/>
      <c r="M835" s="9"/>
      <c r="N835" s="9"/>
      <c r="O835" s="9"/>
      <c r="P835" s="9"/>
      <c r="Q835" s="9"/>
      <c r="R835" s="9"/>
      <c r="S835" s="232"/>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row>
    <row r="836">
      <c r="A836" s="9"/>
      <c r="B836" s="9"/>
      <c r="C836" s="44">
        <v>679.0</v>
      </c>
      <c r="D836" s="9"/>
      <c r="E836" s="9"/>
      <c r="F836" s="9"/>
      <c r="G836" s="9"/>
      <c r="H836" s="9"/>
      <c r="I836" s="9"/>
      <c r="J836" s="9"/>
      <c r="K836" s="232"/>
      <c r="L836" s="9"/>
      <c r="M836" s="9"/>
      <c r="N836" s="9"/>
      <c r="O836" s="9"/>
      <c r="P836" s="9"/>
      <c r="Q836" s="9"/>
      <c r="R836" s="9"/>
      <c r="S836" s="232"/>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row>
    <row r="837">
      <c r="A837" s="9"/>
      <c r="B837" s="9"/>
      <c r="C837" s="44">
        <v>680.0</v>
      </c>
      <c r="D837" s="9"/>
      <c r="E837" s="9"/>
      <c r="F837" s="9"/>
      <c r="G837" s="9"/>
      <c r="H837" s="9"/>
      <c r="I837" s="9"/>
      <c r="J837" s="9"/>
      <c r="K837" s="232"/>
      <c r="L837" s="9"/>
      <c r="M837" s="9"/>
      <c r="N837" s="9"/>
      <c r="O837" s="9"/>
      <c r="P837" s="9"/>
      <c r="Q837" s="9"/>
      <c r="R837" s="9"/>
      <c r="S837" s="232"/>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row>
    <row r="838">
      <c r="A838" s="9"/>
      <c r="B838" s="9"/>
      <c r="C838" s="44">
        <v>681.0</v>
      </c>
      <c r="D838" s="9"/>
      <c r="E838" s="9"/>
      <c r="F838" s="9"/>
      <c r="G838" s="9"/>
      <c r="H838" s="9"/>
      <c r="I838" s="9"/>
      <c r="J838" s="9"/>
      <c r="K838" s="232"/>
      <c r="L838" s="9"/>
      <c r="M838" s="9"/>
      <c r="N838" s="9"/>
      <c r="O838" s="9"/>
      <c r="P838" s="9"/>
      <c r="Q838" s="9"/>
      <c r="R838" s="9"/>
      <c r="S838" s="232"/>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row>
    <row r="839">
      <c r="A839" s="9"/>
      <c r="B839" s="9"/>
      <c r="C839" s="44">
        <v>682.0</v>
      </c>
      <c r="D839" s="9"/>
      <c r="E839" s="9"/>
      <c r="F839" s="9"/>
      <c r="G839" s="9"/>
      <c r="H839" s="9"/>
      <c r="I839" s="9"/>
      <c r="J839" s="9"/>
      <c r="K839" s="232"/>
      <c r="L839" s="9"/>
      <c r="M839" s="9"/>
      <c r="N839" s="9"/>
      <c r="O839" s="9"/>
      <c r="P839" s="9"/>
      <c r="Q839" s="9"/>
      <c r="R839" s="9"/>
      <c r="S839" s="232"/>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row>
    <row r="840">
      <c r="A840" s="9"/>
      <c r="B840" s="9"/>
      <c r="C840" s="44">
        <v>683.0</v>
      </c>
      <c r="D840" s="9"/>
      <c r="E840" s="9"/>
      <c r="F840" s="9"/>
      <c r="G840" s="9"/>
      <c r="H840" s="9"/>
      <c r="I840" s="9"/>
      <c r="J840" s="9"/>
      <c r="K840" s="232"/>
      <c r="L840" s="9"/>
      <c r="M840" s="9"/>
      <c r="N840" s="9"/>
      <c r="O840" s="9"/>
      <c r="P840" s="9"/>
      <c r="Q840" s="9"/>
      <c r="R840" s="9"/>
      <c r="S840" s="232"/>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row>
    <row r="841">
      <c r="A841" s="9"/>
      <c r="B841" s="9"/>
      <c r="C841" s="44">
        <v>684.0</v>
      </c>
      <c r="D841" s="9"/>
      <c r="E841" s="9"/>
      <c r="F841" s="9"/>
      <c r="G841" s="9"/>
      <c r="H841" s="9"/>
      <c r="I841" s="9"/>
      <c r="J841" s="9"/>
      <c r="K841" s="232"/>
      <c r="L841" s="9"/>
      <c r="M841" s="9"/>
      <c r="N841" s="9"/>
      <c r="O841" s="9"/>
      <c r="P841" s="9"/>
      <c r="Q841" s="9"/>
      <c r="R841" s="9"/>
      <c r="S841" s="232"/>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row>
    <row r="842">
      <c r="A842" s="9"/>
      <c r="B842" s="9"/>
      <c r="C842" s="44">
        <v>685.0</v>
      </c>
      <c r="D842" s="9"/>
      <c r="E842" s="9"/>
      <c r="F842" s="9"/>
      <c r="G842" s="9"/>
      <c r="H842" s="9"/>
      <c r="I842" s="9"/>
      <c r="J842" s="9"/>
      <c r="K842" s="232"/>
      <c r="L842" s="9"/>
      <c r="M842" s="9"/>
      <c r="N842" s="9"/>
      <c r="O842" s="9"/>
      <c r="P842" s="9"/>
      <c r="Q842" s="9"/>
      <c r="R842" s="9"/>
      <c r="S842" s="232"/>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row>
    <row r="843">
      <c r="A843" s="9"/>
      <c r="B843" s="9"/>
      <c r="C843" s="44">
        <v>686.0</v>
      </c>
      <c r="D843" s="9"/>
      <c r="E843" s="9"/>
      <c r="F843" s="9"/>
      <c r="G843" s="9"/>
      <c r="H843" s="9"/>
      <c r="I843" s="9"/>
      <c r="J843" s="9"/>
      <c r="K843" s="232"/>
      <c r="L843" s="9"/>
      <c r="M843" s="9"/>
      <c r="N843" s="9"/>
      <c r="O843" s="9"/>
      <c r="P843" s="9"/>
      <c r="Q843" s="9"/>
      <c r="R843" s="9"/>
      <c r="S843" s="232"/>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row>
    <row r="844">
      <c r="A844" s="9"/>
      <c r="B844" s="9"/>
      <c r="C844" s="44">
        <v>687.0</v>
      </c>
      <c r="D844" s="9"/>
      <c r="E844" s="9"/>
      <c r="F844" s="9"/>
      <c r="G844" s="9"/>
      <c r="H844" s="9"/>
      <c r="I844" s="9"/>
      <c r="J844" s="9"/>
      <c r="K844" s="232"/>
      <c r="L844" s="9"/>
      <c r="M844" s="9"/>
      <c r="N844" s="9"/>
      <c r="O844" s="9"/>
      <c r="P844" s="9"/>
      <c r="Q844" s="9"/>
      <c r="R844" s="9"/>
      <c r="S844" s="232"/>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row>
    <row r="845">
      <c r="A845" s="9"/>
      <c r="B845" s="9"/>
      <c r="C845" s="44">
        <v>688.0</v>
      </c>
      <c r="D845" s="9"/>
      <c r="E845" s="9"/>
      <c r="F845" s="9"/>
      <c r="G845" s="9"/>
      <c r="H845" s="9"/>
      <c r="I845" s="9"/>
      <c r="J845" s="9"/>
      <c r="K845" s="232"/>
      <c r="L845" s="9"/>
      <c r="M845" s="9"/>
      <c r="N845" s="9"/>
      <c r="O845" s="9"/>
      <c r="P845" s="9"/>
      <c r="Q845" s="9"/>
      <c r="R845" s="9"/>
      <c r="S845" s="232"/>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row>
    <row r="846">
      <c r="A846" s="9"/>
      <c r="B846" s="9"/>
      <c r="C846" s="44">
        <v>689.0</v>
      </c>
      <c r="D846" s="9"/>
      <c r="E846" s="9"/>
      <c r="F846" s="9"/>
      <c r="G846" s="9"/>
      <c r="H846" s="9"/>
      <c r="I846" s="9"/>
      <c r="J846" s="9"/>
      <c r="K846" s="232"/>
      <c r="L846" s="9"/>
      <c r="M846" s="9"/>
      <c r="N846" s="9"/>
      <c r="O846" s="9"/>
      <c r="P846" s="9"/>
      <c r="Q846" s="9"/>
      <c r="R846" s="9"/>
      <c r="S846" s="232"/>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row>
    <row r="847">
      <c r="A847" s="9"/>
      <c r="B847" s="9"/>
      <c r="C847" s="44">
        <v>690.0</v>
      </c>
      <c r="D847" s="9"/>
      <c r="E847" s="9"/>
      <c r="F847" s="9"/>
      <c r="G847" s="9"/>
      <c r="H847" s="9"/>
      <c r="I847" s="9"/>
      <c r="J847" s="9"/>
      <c r="K847" s="232"/>
      <c r="L847" s="9"/>
      <c r="M847" s="9"/>
      <c r="N847" s="9"/>
      <c r="O847" s="9"/>
      <c r="P847" s="9"/>
      <c r="Q847" s="9"/>
      <c r="R847" s="9"/>
      <c r="S847" s="232"/>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row>
    <row r="848">
      <c r="A848" s="9"/>
      <c r="B848" s="9"/>
      <c r="C848" s="44">
        <v>691.0</v>
      </c>
      <c r="D848" s="9"/>
      <c r="E848" s="9"/>
      <c r="F848" s="9"/>
      <c r="G848" s="9"/>
      <c r="H848" s="9"/>
      <c r="I848" s="9"/>
      <c r="J848" s="9"/>
      <c r="K848" s="232"/>
      <c r="L848" s="9"/>
      <c r="M848" s="9"/>
      <c r="N848" s="9"/>
      <c r="O848" s="9"/>
      <c r="P848" s="9"/>
      <c r="Q848" s="9"/>
      <c r="R848" s="9"/>
      <c r="S848" s="232"/>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row>
    <row r="849">
      <c r="A849" s="9"/>
      <c r="B849" s="9"/>
      <c r="C849" s="9"/>
      <c r="D849" s="9"/>
      <c r="E849" s="9"/>
      <c r="F849" s="9"/>
      <c r="G849" s="9"/>
      <c r="H849" s="9"/>
      <c r="I849" s="9"/>
      <c r="J849" s="9"/>
      <c r="K849" s="232"/>
      <c r="L849" s="9"/>
      <c r="M849" s="9"/>
      <c r="N849" s="9"/>
      <c r="O849" s="9"/>
      <c r="P849" s="9"/>
      <c r="Q849" s="9"/>
      <c r="R849" s="9"/>
      <c r="S849" s="232"/>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row>
    <row r="850">
      <c r="A850" s="9"/>
      <c r="B850" s="9"/>
      <c r="C850" s="9"/>
      <c r="D850" s="9"/>
      <c r="E850" s="9"/>
      <c r="F850" s="9"/>
      <c r="G850" s="9"/>
      <c r="H850" s="9"/>
      <c r="I850" s="9"/>
      <c r="J850" s="9"/>
      <c r="K850" s="232"/>
      <c r="L850" s="9"/>
      <c r="M850" s="9"/>
      <c r="N850" s="9"/>
      <c r="O850" s="9"/>
      <c r="P850" s="9"/>
      <c r="Q850" s="9"/>
      <c r="R850" s="9"/>
      <c r="S850" s="232"/>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row>
    <row r="851">
      <c r="A851" s="9"/>
      <c r="B851" s="9"/>
      <c r="C851" s="9"/>
      <c r="D851" s="9"/>
      <c r="E851" s="9"/>
      <c r="F851" s="9"/>
      <c r="G851" s="9"/>
      <c r="H851" s="9"/>
      <c r="I851" s="9"/>
      <c r="J851" s="9"/>
      <c r="K851" s="232"/>
      <c r="L851" s="9"/>
      <c r="M851" s="9"/>
      <c r="N851" s="9"/>
      <c r="O851" s="9"/>
      <c r="P851" s="9"/>
      <c r="Q851" s="9"/>
      <c r="R851" s="9"/>
      <c r="S851" s="232"/>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row>
    <row r="852">
      <c r="A852" s="9"/>
      <c r="B852" s="9"/>
      <c r="C852" s="9"/>
      <c r="D852" s="9"/>
      <c r="E852" s="9"/>
      <c r="F852" s="9"/>
      <c r="G852" s="9"/>
      <c r="H852" s="9"/>
      <c r="I852" s="9"/>
      <c r="J852" s="9"/>
      <c r="K852" s="232"/>
      <c r="L852" s="9"/>
      <c r="M852" s="9"/>
      <c r="N852" s="9"/>
      <c r="O852" s="9"/>
      <c r="P852" s="9"/>
      <c r="Q852" s="9"/>
      <c r="R852" s="9"/>
      <c r="S852" s="232"/>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row>
    <row r="853">
      <c r="A853" s="9"/>
      <c r="B853" s="9"/>
      <c r="C853" s="9"/>
      <c r="D853" s="9"/>
      <c r="E853" s="9"/>
      <c r="F853" s="9"/>
      <c r="G853" s="9"/>
      <c r="H853" s="9"/>
      <c r="I853" s="9"/>
      <c r="J853" s="9"/>
      <c r="K853" s="232"/>
      <c r="L853" s="9"/>
      <c r="M853" s="9"/>
      <c r="N853" s="9"/>
      <c r="O853" s="9"/>
      <c r="P853" s="9"/>
      <c r="Q853" s="9"/>
      <c r="R853" s="9"/>
      <c r="S853" s="232"/>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row>
    <row r="854">
      <c r="A854" s="9"/>
      <c r="B854" s="9"/>
      <c r="C854" s="9"/>
      <c r="D854" s="9"/>
      <c r="E854" s="9"/>
      <c r="F854" s="9"/>
      <c r="G854" s="9"/>
      <c r="H854" s="9"/>
      <c r="I854" s="9"/>
      <c r="J854" s="9"/>
      <c r="K854" s="232"/>
      <c r="L854" s="9"/>
      <c r="M854" s="9"/>
      <c r="N854" s="9"/>
      <c r="O854" s="9"/>
      <c r="P854" s="9"/>
      <c r="Q854" s="9"/>
      <c r="R854" s="9"/>
      <c r="S854" s="232"/>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row>
    <row r="855">
      <c r="A855" s="9"/>
      <c r="B855" s="9"/>
      <c r="C855" s="9"/>
      <c r="D855" s="9"/>
      <c r="E855" s="9"/>
      <c r="F855" s="9"/>
      <c r="G855" s="9"/>
      <c r="H855" s="9"/>
      <c r="I855" s="9"/>
      <c r="J855" s="9"/>
      <c r="K855" s="232"/>
      <c r="L855" s="9"/>
      <c r="M855" s="9"/>
      <c r="N855" s="9"/>
      <c r="O855" s="9"/>
      <c r="P855" s="9"/>
      <c r="Q855" s="9"/>
      <c r="R855" s="9"/>
      <c r="S855" s="232"/>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row>
    <row r="856">
      <c r="A856" s="9"/>
      <c r="B856" s="9"/>
      <c r="C856" s="9"/>
      <c r="D856" s="9"/>
      <c r="E856" s="9"/>
      <c r="F856" s="9"/>
      <c r="G856" s="9"/>
      <c r="H856" s="9"/>
      <c r="I856" s="9"/>
      <c r="J856" s="9"/>
      <c r="K856" s="232"/>
      <c r="L856" s="9"/>
      <c r="M856" s="9"/>
      <c r="N856" s="9"/>
      <c r="O856" s="9"/>
      <c r="P856" s="9"/>
      <c r="Q856" s="9"/>
      <c r="R856" s="9"/>
      <c r="S856" s="232"/>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row>
    <row r="857">
      <c r="A857" s="9"/>
      <c r="B857" s="9"/>
      <c r="C857" s="9"/>
      <c r="D857" s="9"/>
      <c r="E857" s="9"/>
      <c r="F857" s="9"/>
      <c r="G857" s="9"/>
      <c r="H857" s="9"/>
      <c r="I857" s="9"/>
      <c r="J857" s="9"/>
      <c r="K857" s="232"/>
      <c r="L857" s="9"/>
      <c r="M857" s="9"/>
      <c r="N857" s="9"/>
      <c r="O857" s="9"/>
      <c r="P857" s="9"/>
      <c r="Q857" s="9"/>
      <c r="R857" s="9"/>
      <c r="S857" s="232"/>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row>
    <row r="858">
      <c r="A858" s="9"/>
      <c r="B858" s="9"/>
      <c r="C858" s="9"/>
      <c r="D858" s="9"/>
      <c r="E858" s="9"/>
      <c r="F858" s="9"/>
      <c r="G858" s="9"/>
      <c r="H858" s="9"/>
      <c r="I858" s="9"/>
      <c r="J858" s="9"/>
      <c r="K858" s="232"/>
      <c r="L858" s="9"/>
      <c r="M858" s="9"/>
      <c r="N858" s="9"/>
      <c r="O858" s="9"/>
      <c r="P858" s="9"/>
      <c r="Q858" s="9"/>
      <c r="R858" s="9"/>
      <c r="S858" s="232"/>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row>
    <row r="859">
      <c r="A859" s="9"/>
      <c r="B859" s="9"/>
      <c r="C859" s="9"/>
      <c r="D859" s="9"/>
      <c r="E859" s="9"/>
      <c r="F859" s="9"/>
      <c r="G859" s="9"/>
      <c r="H859" s="9"/>
      <c r="I859" s="9"/>
      <c r="J859" s="9"/>
      <c r="K859" s="232"/>
      <c r="L859" s="9"/>
      <c r="M859" s="9"/>
      <c r="N859" s="9"/>
      <c r="O859" s="9"/>
      <c r="P859" s="9"/>
      <c r="Q859" s="9"/>
      <c r="R859" s="9"/>
      <c r="S859" s="232"/>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row>
    <row r="860">
      <c r="A860" s="9"/>
      <c r="B860" s="9"/>
      <c r="C860" s="9"/>
      <c r="D860" s="9"/>
      <c r="E860" s="9"/>
      <c r="F860" s="9"/>
      <c r="G860" s="9"/>
      <c r="H860" s="9"/>
      <c r="I860" s="9"/>
      <c r="J860" s="9"/>
      <c r="K860" s="232"/>
      <c r="L860" s="9"/>
      <c r="M860" s="9"/>
      <c r="N860" s="9"/>
      <c r="O860" s="9"/>
      <c r="P860" s="9"/>
      <c r="Q860" s="9"/>
      <c r="R860" s="9"/>
      <c r="S860" s="232"/>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row>
    <row r="861">
      <c r="A861" s="9"/>
      <c r="B861" s="9"/>
      <c r="C861" s="9"/>
      <c r="D861" s="9"/>
      <c r="E861" s="9"/>
      <c r="F861" s="9"/>
      <c r="G861" s="9"/>
      <c r="H861" s="9"/>
      <c r="I861" s="9"/>
      <c r="J861" s="9"/>
      <c r="K861" s="232"/>
      <c r="L861" s="9"/>
      <c r="M861" s="9"/>
      <c r="N861" s="9"/>
      <c r="O861" s="9"/>
      <c r="P861" s="9"/>
      <c r="Q861" s="9"/>
      <c r="R861" s="9"/>
      <c r="S861" s="232"/>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row>
    <row r="862">
      <c r="A862" s="9"/>
      <c r="B862" s="9"/>
      <c r="C862" s="9"/>
      <c r="D862" s="9"/>
      <c r="E862" s="9"/>
      <c r="F862" s="9"/>
      <c r="G862" s="9"/>
      <c r="H862" s="9"/>
      <c r="I862" s="9"/>
      <c r="J862" s="9"/>
      <c r="K862" s="232"/>
      <c r="L862" s="9"/>
      <c r="M862" s="9"/>
      <c r="N862" s="9"/>
      <c r="O862" s="9"/>
      <c r="P862" s="9"/>
      <c r="Q862" s="9"/>
      <c r="R862" s="9"/>
      <c r="S862" s="232"/>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row>
    <row r="863">
      <c r="A863" s="9"/>
      <c r="B863" s="9"/>
      <c r="C863" s="9"/>
      <c r="D863" s="9"/>
      <c r="E863" s="9"/>
      <c r="F863" s="9"/>
      <c r="G863" s="9"/>
      <c r="H863" s="9"/>
      <c r="I863" s="9"/>
      <c r="J863" s="9"/>
      <c r="K863" s="232"/>
      <c r="L863" s="9"/>
      <c r="M863" s="9"/>
      <c r="N863" s="9"/>
      <c r="O863" s="9"/>
      <c r="P863" s="9"/>
      <c r="Q863" s="9"/>
      <c r="R863" s="9"/>
      <c r="S863" s="232"/>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row>
    <row r="864">
      <c r="A864" s="9"/>
      <c r="B864" s="9"/>
      <c r="C864" s="9"/>
      <c r="D864" s="9"/>
      <c r="E864" s="9"/>
      <c r="F864" s="9"/>
      <c r="G864" s="9"/>
      <c r="H864" s="9"/>
      <c r="I864" s="9"/>
      <c r="J864" s="9"/>
      <c r="K864" s="232"/>
      <c r="L864" s="9"/>
      <c r="M864" s="9"/>
      <c r="N864" s="9"/>
      <c r="O864" s="9"/>
      <c r="P864" s="9"/>
      <c r="Q864" s="9"/>
      <c r="R864" s="9"/>
      <c r="S864" s="232"/>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row>
    <row r="865">
      <c r="A865" s="9"/>
      <c r="B865" s="9"/>
      <c r="C865" s="9"/>
      <c r="D865" s="9"/>
      <c r="E865" s="9"/>
      <c r="F865" s="9"/>
      <c r="G865" s="9"/>
      <c r="H865" s="9"/>
      <c r="I865" s="9"/>
      <c r="J865" s="9"/>
      <c r="K865" s="232"/>
      <c r="L865" s="9"/>
      <c r="M865" s="9"/>
      <c r="N865" s="9"/>
      <c r="O865" s="9"/>
      <c r="P865" s="9"/>
      <c r="Q865" s="9"/>
      <c r="R865" s="9"/>
      <c r="S865" s="232"/>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row>
    <row r="866">
      <c r="A866" s="9"/>
      <c r="B866" s="9"/>
      <c r="C866" s="9"/>
      <c r="D866" s="9"/>
      <c r="E866" s="9"/>
      <c r="F866" s="9"/>
      <c r="G866" s="9"/>
      <c r="H866" s="9"/>
      <c r="I866" s="9"/>
      <c r="J866" s="9"/>
      <c r="K866" s="232"/>
      <c r="L866" s="9"/>
      <c r="M866" s="9"/>
      <c r="N866" s="9"/>
      <c r="O866" s="9"/>
      <c r="P866" s="9"/>
      <c r="Q866" s="9"/>
      <c r="R866" s="9"/>
      <c r="S866" s="232"/>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row>
    <row r="867">
      <c r="A867" s="9"/>
      <c r="B867" s="9"/>
      <c r="C867" s="9"/>
      <c r="D867" s="9"/>
      <c r="E867" s="9"/>
      <c r="F867" s="9"/>
      <c r="G867" s="9"/>
      <c r="H867" s="9"/>
      <c r="I867" s="9"/>
      <c r="J867" s="9"/>
      <c r="K867" s="232"/>
      <c r="L867" s="9"/>
      <c r="M867" s="9"/>
      <c r="N867" s="9"/>
      <c r="O867" s="9"/>
      <c r="P867" s="9"/>
      <c r="Q867" s="9"/>
      <c r="R867" s="9"/>
      <c r="S867" s="232"/>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row>
    <row r="868">
      <c r="A868" s="9"/>
      <c r="B868" s="9"/>
      <c r="C868" s="9"/>
      <c r="D868" s="9"/>
      <c r="E868" s="9"/>
      <c r="F868" s="9"/>
      <c r="G868" s="9"/>
      <c r="H868" s="9"/>
      <c r="I868" s="9"/>
      <c r="J868" s="9"/>
      <c r="K868" s="232"/>
      <c r="L868" s="9"/>
      <c r="M868" s="9"/>
      <c r="N868" s="9"/>
      <c r="O868" s="9"/>
      <c r="P868" s="9"/>
      <c r="Q868" s="9"/>
      <c r="R868" s="9"/>
      <c r="S868" s="232"/>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row>
    <row r="869">
      <c r="A869" s="9"/>
      <c r="B869" s="9"/>
      <c r="C869" s="9"/>
      <c r="D869" s="9"/>
      <c r="E869" s="9"/>
      <c r="F869" s="9"/>
      <c r="G869" s="9"/>
      <c r="H869" s="9"/>
      <c r="I869" s="9"/>
      <c r="J869" s="9"/>
      <c r="K869" s="232"/>
      <c r="L869" s="9"/>
      <c r="M869" s="9"/>
      <c r="N869" s="9"/>
      <c r="O869" s="9"/>
      <c r="P869" s="9"/>
      <c r="Q869" s="9"/>
      <c r="R869" s="9"/>
      <c r="S869" s="232"/>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row>
    <row r="870">
      <c r="A870" s="9"/>
      <c r="B870" s="9"/>
      <c r="C870" s="9"/>
      <c r="D870" s="9"/>
      <c r="E870" s="9"/>
      <c r="F870" s="9"/>
      <c r="G870" s="9"/>
      <c r="H870" s="9"/>
      <c r="I870" s="9"/>
      <c r="J870" s="9"/>
      <c r="K870" s="232"/>
      <c r="L870" s="9"/>
      <c r="M870" s="9"/>
      <c r="N870" s="9"/>
      <c r="O870" s="9"/>
      <c r="P870" s="9"/>
      <c r="Q870" s="9"/>
      <c r="R870" s="9"/>
      <c r="S870" s="232"/>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row>
    <row r="871">
      <c r="A871" s="9"/>
      <c r="B871" s="9"/>
      <c r="C871" s="9"/>
      <c r="D871" s="9"/>
      <c r="E871" s="9"/>
      <c r="F871" s="9"/>
      <c r="G871" s="9"/>
      <c r="H871" s="9"/>
      <c r="I871" s="9"/>
      <c r="J871" s="9"/>
      <c r="K871" s="232"/>
      <c r="L871" s="9"/>
      <c r="M871" s="9"/>
      <c r="N871" s="9"/>
      <c r="O871" s="9"/>
      <c r="P871" s="9"/>
      <c r="Q871" s="9"/>
      <c r="R871" s="9"/>
      <c r="S871" s="232"/>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row>
    <row r="872">
      <c r="A872" s="9"/>
      <c r="B872" s="9"/>
      <c r="C872" s="9"/>
      <c r="D872" s="9"/>
      <c r="E872" s="9"/>
      <c r="F872" s="9"/>
      <c r="G872" s="9"/>
      <c r="H872" s="9"/>
      <c r="I872" s="9"/>
      <c r="J872" s="9"/>
      <c r="K872" s="232"/>
      <c r="L872" s="9"/>
      <c r="M872" s="9"/>
      <c r="N872" s="9"/>
      <c r="O872" s="9"/>
      <c r="P872" s="9"/>
      <c r="Q872" s="9"/>
      <c r="R872" s="9"/>
      <c r="S872" s="232"/>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row>
    <row r="873">
      <c r="A873" s="9"/>
      <c r="B873" s="9"/>
      <c r="C873" s="9"/>
      <c r="D873" s="9"/>
      <c r="E873" s="9"/>
      <c r="F873" s="9"/>
      <c r="G873" s="9"/>
      <c r="H873" s="9"/>
      <c r="I873" s="9"/>
      <c r="J873" s="9"/>
      <c r="K873" s="232"/>
      <c r="L873" s="9"/>
      <c r="M873" s="9"/>
      <c r="N873" s="9"/>
      <c r="O873" s="9"/>
      <c r="P873" s="9"/>
      <c r="Q873" s="9"/>
      <c r="R873" s="9"/>
      <c r="S873" s="232"/>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row>
    <row r="874">
      <c r="A874" s="9"/>
      <c r="B874" s="9"/>
      <c r="C874" s="9"/>
      <c r="D874" s="9"/>
      <c r="E874" s="9"/>
      <c r="F874" s="9"/>
      <c r="G874" s="9"/>
      <c r="H874" s="9"/>
      <c r="I874" s="9"/>
      <c r="J874" s="9"/>
      <c r="K874" s="232"/>
      <c r="L874" s="9"/>
      <c r="M874" s="9"/>
      <c r="N874" s="9"/>
      <c r="O874" s="9"/>
      <c r="P874" s="9"/>
      <c r="Q874" s="9"/>
      <c r="R874" s="9"/>
      <c r="S874" s="232"/>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row>
    <row r="875">
      <c r="A875" s="9"/>
      <c r="B875" s="9"/>
      <c r="C875" s="9"/>
      <c r="D875" s="9"/>
      <c r="E875" s="9"/>
      <c r="F875" s="9"/>
      <c r="G875" s="9"/>
      <c r="H875" s="9"/>
      <c r="I875" s="9"/>
      <c r="J875" s="9"/>
      <c r="K875" s="232"/>
      <c r="L875" s="9"/>
      <c r="M875" s="9"/>
      <c r="N875" s="9"/>
      <c r="O875" s="9"/>
      <c r="P875" s="9"/>
      <c r="Q875" s="9"/>
      <c r="R875" s="9"/>
      <c r="S875" s="232"/>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row>
    <row r="876">
      <c r="A876" s="9"/>
      <c r="B876" s="9"/>
      <c r="C876" s="9"/>
      <c r="D876" s="9"/>
      <c r="E876" s="9"/>
      <c r="F876" s="9"/>
      <c r="G876" s="9"/>
      <c r="H876" s="9"/>
      <c r="I876" s="9"/>
      <c r="J876" s="9"/>
      <c r="K876" s="232"/>
      <c r="L876" s="9"/>
      <c r="M876" s="9"/>
      <c r="N876" s="9"/>
      <c r="O876" s="9"/>
      <c r="P876" s="9"/>
      <c r="Q876" s="9"/>
      <c r="R876" s="9"/>
      <c r="S876" s="232"/>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row>
    <row r="877">
      <c r="A877" s="9"/>
      <c r="B877" s="9"/>
      <c r="C877" s="9"/>
      <c r="D877" s="9"/>
      <c r="E877" s="9"/>
      <c r="F877" s="9"/>
      <c r="G877" s="9"/>
      <c r="H877" s="9"/>
      <c r="I877" s="9"/>
      <c r="J877" s="9"/>
      <c r="K877" s="232"/>
      <c r="L877" s="9"/>
      <c r="M877" s="9"/>
      <c r="N877" s="9"/>
      <c r="O877" s="9"/>
      <c r="P877" s="9"/>
      <c r="Q877" s="9"/>
      <c r="R877" s="9"/>
      <c r="S877" s="232"/>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row>
    <row r="878">
      <c r="A878" s="9"/>
      <c r="B878" s="9"/>
      <c r="C878" s="9"/>
      <c r="D878" s="9"/>
      <c r="E878" s="9"/>
      <c r="F878" s="9"/>
      <c r="G878" s="9"/>
      <c r="H878" s="9"/>
      <c r="I878" s="9"/>
      <c r="J878" s="9"/>
      <c r="K878" s="232"/>
      <c r="L878" s="9"/>
      <c r="M878" s="9"/>
      <c r="N878" s="9"/>
      <c r="O878" s="9"/>
      <c r="P878" s="9"/>
      <c r="Q878" s="9"/>
      <c r="R878" s="9"/>
      <c r="S878" s="232"/>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row>
    <row r="879">
      <c r="A879" s="9"/>
      <c r="B879" s="9"/>
      <c r="C879" s="9"/>
      <c r="D879" s="9"/>
      <c r="E879" s="9"/>
      <c r="F879" s="9"/>
      <c r="G879" s="9"/>
      <c r="H879" s="9"/>
      <c r="I879" s="9"/>
      <c r="J879" s="9"/>
      <c r="K879" s="232"/>
      <c r="L879" s="9"/>
      <c r="M879" s="9"/>
      <c r="N879" s="9"/>
      <c r="O879" s="9"/>
      <c r="P879" s="9"/>
      <c r="Q879" s="9"/>
      <c r="R879" s="9"/>
      <c r="S879" s="232"/>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row>
    <row r="880">
      <c r="A880" s="9"/>
      <c r="B880" s="9"/>
      <c r="C880" s="9"/>
      <c r="D880" s="9"/>
      <c r="E880" s="9"/>
      <c r="F880" s="9"/>
      <c r="G880" s="9"/>
      <c r="H880" s="9"/>
      <c r="I880" s="9"/>
      <c r="J880" s="9"/>
      <c r="K880" s="232"/>
      <c r="L880" s="9"/>
      <c r="M880" s="9"/>
      <c r="N880" s="9"/>
      <c r="O880" s="9"/>
      <c r="P880" s="9"/>
      <c r="Q880" s="9"/>
      <c r="R880" s="9"/>
      <c r="S880" s="232"/>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row>
    <row r="881">
      <c r="A881" s="9"/>
      <c r="B881" s="9"/>
      <c r="C881" s="9"/>
      <c r="D881" s="9"/>
      <c r="E881" s="9"/>
      <c r="F881" s="9"/>
      <c r="G881" s="9"/>
      <c r="H881" s="9"/>
      <c r="I881" s="9"/>
      <c r="J881" s="9"/>
      <c r="K881" s="232"/>
      <c r="L881" s="9"/>
      <c r="M881" s="9"/>
      <c r="N881" s="9"/>
      <c r="O881" s="9"/>
      <c r="P881" s="9"/>
      <c r="Q881" s="9"/>
      <c r="R881" s="9"/>
      <c r="S881" s="232"/>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row>
    <row r="882">
      <c r="A882" s="9"/>
      <c r="B882" s="9"/>
      <c r="C882" s="9"/>
      <c r="D882" s="9"/>
      <c r="E882" s="9"/>
      <c r="F882" s="9"/>
      <c r="G882" s="9"/>
      <c r="H882" s="9"/>
      <c r="I882" s="9"/>
      <c r="J882" s="9"/>
      <c r="K882" s="232"/>
      <c r="L882" s="9"/>
      <c r="M882" s="9"/>
      <c r="N882" s="9"/>
      <c r="O882" s="9"/>
      <c r="P882" s="9"/>
      <c r="Q882" s="9"/>
      <c r="R882" s="9"/>
      <c r="S882" s="232"/>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row>
    <row r="883">
      <c r="A883" s="9"/>
      <c r="B883" s="9"/>
      <c r="C883" s="9"/>
      <c r="D883" s="9"/>
      <c r="E883" s="9"/>
      <c r="F883" s="9"/>
      <c r="G883" s="9"/>
      <c r="H883" s="9"/>
      <c r="I883" s="9"/>
      <c r="J883" s="9"/>
      <c r="K883" s="232"/>
      <c r="L883" s="9"/>
      <c r="M883" s="9"/>
      <c r="N883" s="9"/>
      <c r="O883" s="9"/>
      <c r="P883" s="9"/>
      <c r="Q883" s="9"/>
      <c r="R883" s="9"/>
      <c r="S883" s="232"/>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row>
    <row r="884">
      <c r="A884" s="9"/>
      <c r="B884" s="9"/>
      <c r="C884" s="9"/>
      <c r="D884" s="9"/>
      <c r="E884" s="9"/>
      <c r="F884" s="9"/>
      <c r="G884" s="9"/>
      <c r="H884" s="9"/>
      <c r="I884" s="9"/>
      <c r="J884" s="9"/>
      <c r="K884" s="232"/>
      <c r="L884" s="9"/>
      <c r="M884" s="9"/>
      <c r="N884" s="9"/>
      <c r="O884" s="9"/>
      <c r="P884" s="9"/>
      <c r="Q884" s="9"/>
      <c r="R884" s="9"/>
      <c r="S884" s="232"/>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row>
    <row r="885">
      <c r="A885" s="9"/>
      <c r="B885" s="9"/>
      <c r="C885" s="9"/>
      <c r="D885" s="9"/>
      <c r="E885" s="9"/>
      <c r="F885" s="9"/>
      <c r="G885" s="9"/>
      <c r="H885" s="9"/>
      <c r="I885" s="9"/>
      <c r="J885" s="9"/>
      <c r="K885" s="232"/>
      <c r="L885" s="9"/>
      <c r="M885" s="9"/>
      <c r="N885" s="9"/>
      <c r="O885" s="9"/>
      <c r="P885" s="9"/>
      <c r="Q885" s="9"/>
      <c r="R885" s="9"/>
      <c r="S885" s="232"/>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row>
    <row r="886">
      <c r="A886" s="9"/>
      <c r="B886" s="9"/>
      <c r="C886" s="9"/>
      <c r="D886" s="9"/>
      <c r="E886" s="9"/>
      <c r="F886" s="9"/>
      <c r="G886" s="9"/>
      <c r="H886" s="9"/>
      <c r="I886" s="9"/>
      <c r="J886" s="9"/>
      <c r="K886" s="232"/>
      <c r="L886" s="9"/>
      <c r="M886" s="9"/>
      <c r="N886" s="9"/>
      <c r="O886" s="9"/>
      <c r="P886" s="9"/>
      <c r="Q886" s="9"/>
      <c r="R886" s="9"/>
      <c r="S886" s="232"/>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row>
    <row r="887">
      <c r="A887" s="9"/>
      <c r="B887" s="9"/>
      <c r="C887" s="9"/>
      <c r="D887" s="9"/>
      <c r="E887" s="9"/>
      <c r="F887" s="9"/>
      <c r="G887" s="9"/>
      <c r="H887" s="9"/>
      <c r="I887" s="9"/>
      <c r="J887" s="9"/>
      <c r="K887" s="232"/>
      <c r="L887" s="9"/>
      <c r="M887" s="9"/>
      <c r="N887" s="9"/>
      <c r="O887" s="9"/>
      <c r="P887" s="9"/>
      <c r="Q887" s="9"/>
      <c r="R887" s="9"/>
      <c r="S887" s="232"/>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row>
    <row r="888">
      <c r="A888" s="9"/>
      <c r="B888" s="9"/>
      <c r="C888" s="9"/>
      <c r="D888" s="9"/>
      <c r="E888" s="9"/>
      <c r="F888" s="9"/>
      <c r="G888" s="9"/>
      <c r="H888" s="9"/>
      <c r="I888" s="9"/>
      <c r="J888" s="9"/>
      <c r="K888" s="232"/>
      <c r="L888" s="9"/>
      <c r="M888" s="9"/>
      <c r="N888" s="9"/>
      <c r="O888" s="9"/>
      <c r="P888" s="9"/>
      <c r="Q888" s="9"/>
      <c r="R888" s="9"/>
      <c r="S888" s="232"/>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row>
    <row r="889">
      <c r="A889" s="9"/>
      <c r="B889" s="9"/>
      <c r="C889" s="9"/>
      <c r="D889" s="9"/>
      <c r="E889" s="9"/>
      <c r="F889" s="9"/>
      <c r="G889" s="9"/>
      <c r="H889" s="9"/>
      <c r="I889" s="9"/>
      <c r="J889" s="9"/>
      <c r="K889" s="232"/>
      <c r="L889" s="9"/>
      <c r="M889" s="9"/>
      <c r="N889" s="9"/>
      <c r="O889" s="9"/>
      <c r="P889" s="9"/>
      <c r="Q889" s="9"/>
      <c r="R889" s="9"/>
      <c r="S889" s="232"/>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row>
    <row r="890">
      <c r="A890" s="9"/>
      <c r="B890" s="9"/>
      <c r="C890" s="9"/>
      <c r="D890" s="9"/>
      <c r="E890" s="9"/>
      <c r="F890" s="9"/>
      <c r="G890" s="9"/>
      <c r="H890" s="9"/>
      <c r="I890" s="9"/>
      <c r="J890" s="9"/>
      <c r="K890" s="232"/>
      <c r="L890" s="9"/>
      <c r="M890" s="9"/>
      <c r="N890" s="9"/>
      <c r="O890" s="9"/>
      <c r="P890" s="9"/>
      <c r="Q890" s="9"/>
      <c r="R890" s="9"/>
      <c r="S890" s="232"/>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row>
    <row r="891">
      <c r="A891" s="9"/>
      <c r="B891" s="9"/>
      <c r="C891" s="9"/>
      <c r="D891" s="9"/>
      <c r="E891" s="9"/>
      <c r="F891" s="9"/>
      <c r="G891" s="9"/>
      <c r="H891" s="9"/>
      <c r="I891" s="9"/>
      <c r="J891" s="9"/>
      <c r="K891" s="232"/>
      <c r="L891" s="9"/>
      <c r="M891" s="9"/>
      <c r="N891" s="9"/>
      <c r="O891" s="9"/>
      <c r="P891" s="9"/>
      <c r="Q891" s="9"/>
      <c r="R891" s="9"/>
      <c r="S891" s="232"/>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row>
    <row r="892">
      <c r="A892" s="9"/>
      <c r="B892" s="9"/>
      <c r="C892" s="9"/>
      <c r="D892" s="9"/>
      <c r="E892" s="9"/>
      <c r="F892" s="9"/>
      <c r="G892" s="9"/>
      <c r="H892" s="9"/>
      <c r="I892" s="9"/>
      <c r="J892" s="9"/>
      <c r="K892" s="232"/>
      <c r="L892" s="9"/>
      <c r="M892" s="9"/>
      <c r="N892" s="9"/>
      <c r="O892" s="9"/>
      <c r="P892" s="9"/>
      <c r="Q892" s="9"/>
      <c r="R892" s="9"/>
      <c r="S892" s="232"/>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row>
    <row r="893">
      <c r="A893" s="9"/>
      <c r="B893" s="9"/>
      <c r="C893" s="9"/>
      <c r="D893" s="9"/>
      <c r="E893" s="9"/>
      <c r="F893" s="9"/>
      <c r="G893" s="9"/>
      <c r="H893" s="9"/>
      <c r="I893" s="9"/>
      <c r="J893" s="9"/>
      <c r="K893" s="232"/>
      <c r="L893" s="9"/>
      <c r="M893" s="9"/>
      <c r="N893" s="9"/>
      <c r="O893" s="9"/>
      <c r="P893" s="9"/>
      <c r="Q893" s="9"/>
      <c r="R893" s="9"/>
      <c r="S893" s="232"/>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row>
    <row r="894">
      <c r="A894" s="9"/>
      <c r="B894" s="9"/>
      <c r="C894" s="9"/>
      <c r="D894" s="9"/>
      <c r="E894" s="9"/>
      <c r="F894" s="9"/>
      <c r="G894" s="9"/>
      <c r="H894" s="9"/>
      <c r="I894" s="9"/>
      <c r="J894" s="9"/>
      <c r="K894" s="232"/>
      <c r="L894" s="9"/>
      <c r="M894" s="9"/>
      <c r="N894" s="9"/>
      <c r="O894" s="9"/>
      <c r="P894" s="9"/>
      <c r="Q894" s="9"/>
      <c r="R894" s="9"/>
      <c r="S894" s="232"/>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row>
    <row r="895">
      <c r="A895" s="9"/>
      <c r="B895" s="9"/>
      <c r="C895" s="9"/>
      <c r="D895" s="9"/>
      <c r="E895" s="9"/>
      <c r="F895" s="9"/>
      <c r="G895" s="9"/>
      <c r="H895" s="9"/>
      <c r="I895" s="9"/>
      <c r="J895" s="9"/>
      <c r="K895" s="232"/>
      <c r="L895" s="9"/>
      <c r="M895" s="9"/>
      <c r="N895" s="9"/>
      <c r="O895" s="9"/>
      <c r="P895" s="9"/>
      <c r="Q895" s="9"/>
      <c r="R895" s="9"/>
      <c r="S895" s="232"/>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row>
    <row r="896">
      <c r="A896" s="9"/>
      <c r="B896" s="9"/>
      <c r="C896" s="9"/>
      <c r="D896" s="9"/>
      <c r="E896" s="9"/>
      <c r="F896" s="9"/>
      <c r="G896" s="9"/>
      <c r="H896" s="9"/>
      <c r="I896" s="9"/>
      <c r="J896" s="9"/>
      <c r="K896" s="232"/>
      <c r="L896" s="9"/>
      <c r="M896" s="9"/>
      <c r="N896" s="9"/>
      <c r="O896" s="9"/>
      <c r="P896" s="9"/>
      <c r="Q896" s="9"/>
      <c r="R896" s="9"/>
      <c r="S896" s="232"/>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row>
    <row r="897">
      <c r="A897" s="9"/>
      <c r="B897" s="9"/>
      <c r="C897" s="9"/>
      <c r="D897" s="9"/>
      <c r="E897" s="9"/>
      <c r="F897" s="9"/>
      <c r="G897" s="9"/>
      <c r="H897" s="9"/>
      <c r="I897" s="9"/>
      <c r="J897" s="9"/>
      <c r="K897" s="232"/>
      <c r="L897" s="9"/>
      <c r="M897" s="9"/>
      <c r="N897" s="9"/>
      <c r="O897" s="9"/>
      <c r="P897" s="9"/>
      <c r="Q897" s="9"/>
      <c r="R897" s="9"/>
      <c r="S897" s="232"/>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row>
    <row r="898">
      <c r="A898" s="9"/>
      <c r="B898" s="9"/>
      <c r="C898" s="9"/>
      <c r="D898" s="9"/>
      <c r="E898" s="9"/>
      <c r="F898" s="9"/>
      <c r="G898" s="9"/>
      <c r="H898" s="9"/>
      <c r="I898" s="9"/>
      <c r="J898" s="9"/>
      <c r="K898" s="232"/>
      <c r="L898" s="9"/>
      <c r="M898" s="9"/>
      <c r="N898" s="9"/>
      <c r="O898" s="9"/>
      <c r="P898" s="9"/>
      <c r="Q898" s="9"/>
      <c r="R898" s="9"/>
      <c r="S898" s="232"/>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row>
    <row r="899">
      <c r="A899" s="9"/>
      <c r="B899" s="9"/>
      <c r="C899" s="9"/>
      <c r="D899" s="9"/>
      <c r="E899" s="9"/>
      <c r="F899" s="9"/>
      <c r="G899" s="9"/>
      <c r="H899" s="9"/>
      <c r="I899" s="9"/>
      <c r="J899" s="9"/>
      <c r="K899" s="232"/>
      <c r="L899" s="9"/>
      <c r="M899" s="9"/>
      <c r="N899" s="9"/>
      <c r="O899" s="9"/>
      <c r="P899" s="9"/>
      <c r="Q899" s="9"/>
      <c r="R899" s="9"/>
      <c r="S899" s="232"/>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row>
    <row r="900">
      <c r="A900" s="9"/>
      <c r="B900" s="9"/>
      <c r="C900" s="9"/>
      <c r="D900" s="9"/>
      <c r="E900" s="9"/>
      <c r="F900" s="9"/>
      <c r="G900" s="9"/>
      <c r="H900" s="9"/>
      <c r="I900" s="9"/>
      <c r="J900" s="9"/>
      <c r="K900" s="232"/>
      <c r="L900" s="9"/>
      <c r="M900" s="9"/>
      <c r="N900" s="9"/>
      <c r="O900" s="9"/>
      <c r="P900" s="9"/>
      <c r="Q900" s="9"/>
      <c r="R900" s="9"/>
      <c r="S900" s="232"/>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row>
    <row r="901">
      <c r="A901" s="9"/>
      <c r="B901" s="9"/>
      <c r="C901" s="9"/>
      <c r="D901" s="9"/>
      <c r="E901" s="9"/>
      <c r="F901" s="9"/>
      <c r="G901" s="9"/>
      <c r="H901" s="9"/>
      <c r="I901" s="9"/>
      <c r="J901" s="9"/>
      <c r="K901" s="232"/>
      <c r="L901" s="9"/>
      <c r="M901" s="9"/>
      <c r="N901" s="9"/>
      <c r="O901" s="9"/>
      <c r="P901" s="9"/>
      <c r="Q901" s="9"/>
      <c r="R901" s="9"/>
      <c r="S901" s="232"/>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row>
    <row r="902">
      <c r="A902" s="9"/>
      <c r="B902" s="9"/>
      <c r="C902" s="9"/>
      <c r="D902" s="9"/>
      <c r="E902" s="9"/>
      <c r="F902" s="9"/>
      <c r="G902" s="9"/>
      <c r="H902" s="9"/>
      <c r="I902" s="9"/>
      <c r="J902" s="9"/>
      <c r="K902" s="232"/>
      <c r="L902" s="9"/>
      <c r="M902" s="9"/>
      <c r="N902" s="9"/>
      <c r="O902" s="9"/>
      <c r="P902" s="9"/>
      <c r="Q902" s="9"/>
      <c r="R902" s="9"/>
      <c r="S902" s="232"/>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row>
    <row r="903">
      <c r="A903" s="9"/>
      <c r="B903" s="9"/>
      <c r="C903" s="9"/>
      <c r="D903" s="9"/>
      <c r="E903" s="9"/>
      <c r="F903" s="9"/>
      <c r="G903" s="9"/>
      <c r="H903" s="9"/>
      <c r="I903" s="9"/>
      <c r="J903" s="9"/>
      <c r="K903" s="232"/>
      <c r="L903" s="9"/>
      <c r="M903" s="9"/>
      <c r="N903" s="9"/>
      <c r="O903" s="9"/>
      <c r="P903" s="9"/>
      <c r="Q903" s="9"/>
      <c r="R903" s="9"/>
      <c r="S903" s="232"/>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row>
    <row r="904">
      <c r="A904" s="9"/>
      <c r="B904" s="9"/>
      <c r="C904" s="9"/>
      <c r="D904" s="9"/>
      <c r="E904" s="9"/>
      <c r="F904" s="9"/>
      <c r="G904" s="9"/>
      <c r="H904" s="9"/>
      <c r="I904" s="9"/>
      <c r="J904" s="9"/>
      <c r="K904" s="232"/>
      <c r="L904" s="9"/>
      <c r="M904" s="9"/>
      <c r="N904" s="9"/>
      <c r="O904" s="9"/>
      <c r="P904" s="9"/>
      <c r="Q904" s="9"/>
      <c r="R904" s="9"/>
      <c r="S904" s="232"/>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row>
    <row r="905">
      <c r="A905" s="9"/>
      <c r="B905" s="9"/>
      <c r="C905" s="9"/>
      <c r="D905" s="9"/>
      <c r="E905" s="9"/>
      <c r="F905" s="9"/>
      <c r="G905" s="9"/>
      <c r="H905" s="9"/>
      <c r="I905" s="9"/>
      <c r="J905" s="9"/>
      <c r="K905" s="232"/>
      <c r="L905" s="9"/>
      <c r="M905" s="9"/>
      <c r="N905" s="9"/>
      <c r="O905" s="9"/>
      <c r="P905" s="9"/>
      <c r="Q905" s="9"/>
      <c r="R905" s="9"/>
      <c r="S905" s="232"/>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row>
    <row r="906">
      <c r="A906" s="9"/>
      <c r="B906" s="9"/>
      <c r="C906" s="9"/>
      <c r="D906" s="9"/>
      <c r="E906" s="9"/>
      <c r="F906" s="9"/>
      <c r="G906" s="9"/>
      <c r="H906" s="9"/>
      <c r="I906" s="9"/>
      <c r="J906" s="9"/>
      <c r="K906" s="232"/>
      <c r="L906" s="9"/>
      <c r="M906" s="9"/>
      <c r="N906" s="9"/>
      <c r="O906" s="9"/>
      <c r="P906" s="9"/>
      <c r="Q906" s="9"/>
      <c r="R906" s="9"/>
      <c r="S906" s="232"/>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row>
    <row r="907">
      <c r="A907" s="9"/>
      <c r="B907" s="9"/>
      <c r="C907" s="9"/>
      <c r="D907" s="9"/>
      <c r="E907" s="9"/>
      <c r="F907" s="9"/>
      <c r="G907" s="9"/>
      <c r="H907" s="9"/>
      <c r="I907" s="9"/>
      <c r="J907" s="9"/>
      <c r="K907" s="232"/>
      <c r="L907" s="9"/>
      <c r="M907" s="9"/>
      <c r="N907" s="9"/>
      <c r="O907" s="9"/>
      <c r="P907" s="9"/>
      <c r="Q907" s="9"/>
      <c r="R907" s="9"/>
      <c r="S907" s="232"/>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row>
    <row r="908">
      <c r="A908" s="9"/>
      <c r="B908" s="9"/>
      <c r="C908" s="9"/>
      <c r="D908" s="9"/>
      <c r="E908" s="9"/>
      <c r="F908" s="9"/>
      <c r="G908" s="9"/>
      <c r="H908" s="9"/>
      <c r="I908" s="9"/>
      <c r="J908" s="9"/>
      <c r="K908" s="232"/>
      <c r="L908" s="9"/>
      <c r="M908" s="9"/>
      <c r="N908" s="9"/>
      <c r="O908" s="9"/>
      <c r="P908" s="9"/>
      <c r="Q908" s="9"/>
      <c r="R908" s="9"/>
      <c r="S908" s="232"/>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row>
    <row r="909">
      <c r="A909" s="9"/>
      <c r="B909" s="9"/>
      <c r="C909" s="9"/>
      <c r="D909" s="9"/>
      <c r="E909" s="9"/>
      <c r="F909" s="9"/>
      <c r="G909" s="9"/>
      <c r="H909" s="9"/>
      <c r="I909" s="9"/>
      <c r="J909" s="9"/>
      <c r="K909" s="232"/>
      <c r="L909" s="9"/>
      <c r="M909" s="9"/>
      <c r="N909" s="9"/>
      <c r="O909" s="9"/>
      <c r="P909" s="9"/>
      <c r="Q909" s="9"/>
      <c r="R909" s="9"/>
      <c r="S909" s="232"/>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row>
    <row r="910">
      <c r="A910" s="9"/>
      <c r="B910" s="9"/>
      <c r="C910" s="9"/>
      <c r="D910" s="9"/>
      <c r="E910" s="9"/>
      <c r="F910" s="9"/>
      <c r="G910" s="9"/>
      <c r="H910" s="9"/>
      <c r="I910" s="9"/>
      <c r="J910" s="9"/>
      <c r="K910" s="232"/>
      <c r="L910" s="9"/>
      <c r="M910" s="9"/>
      <c r="N910" s="9"/>
      <c r="O910" s="9"/>
      <c r="P910" s="9"/>
      <c r="Q910" s="9"/>
      <c r="R910" s="9"/>
      <c r="S910" s="232"/>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row>
    <row r="911">
      <c r="A911" s="9"/>
      <c r="B911" s="9"/>
      <c r="C911" s="9"/>
      <c r="D911" s="9"/>
      <c r="E911" s="9"/>
      <c r="F911" s="9"/>
      <c r="G911" s="9"/>
      <c r="H911" s="9"/>
      <c r="I911" s="9"/>
      <c r="J911" s="9"/>
      <c r="K911" s="232"/>
      <c r="L911" s="9"/>
      <c r="M911" s="9"/>
      <c r="N911" s="9"/>
      <c r="O911" s="9"/>
      <c r="P911" s="9"/>
      <c r="Q911" s="9"/>
      <c r="R911" s="9"/>
      <c r="S911" s="232"/>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row>
    <row r="912">
      <c r="A912" s="9"/>
      <c r="B912" s="9"/>
      <c r="C912" s="9"/>
      <c r="D912" s="9"/>
      <c r="E912" s="9"/>
      <c r="F912" s="9"/>
      <c r="G912" s="9"/>
      <c r="H912" s="9"/>
      <c r="I912" s="9"/>
      <c r="J912" s="9"/>
      <c r="K912" s="232"/>
      <c r="L912" s="9"/>
      <c r="M912" s="9"/>
      <c r="N912" s="9"/>
      <c r="O912" s="9"/>
      <c r="P912" s="9"/>
      <c r="Q912" s="9"/>
      <c r="R912" s="9"/>
      <c r="S912" s="232"/>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row>
    <row r="913">
      <c r="A913" s="9"/>
      <c r="B913" s="9"/>
      <c r="C913" s="9"/>
      <c r="D913" s="9"/>
      <c r="E913" s="9"/>
      <c r="F913" s="9"/>
      <c r="G913" s="9"/>
      <c r="H913" s="9"/>
      <c r="I913" s="9"/>
      <c r="J913" s="9"/>
      <c r="K913" s="232"/>
      <c r="L913" s="9"/>
      <c r="M913" s="9"/>
      <c r="N913" s="9"/>
      <c r="O913" s="9"/>
      <c r="P913" s="9"/>
      <c r="Q913" s="9"/>
      <c r="R913" s="9"/>
      <c r="S913" s="232"/>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row>
    <row r="914">
      <c r="A914" s="9"/>
      <c r="B914" s="9"/>
      <c r="C914" s="9"/>
      <c r="D914" s="9"/>
      <c r="E914" s="9"/>
      <c r="F914" s="9"/>
      <c r="G914" s="9"/>
      <c r="H914" s="9"/>
      <c r="I914" s="9"/>
      <c r="J914" s="9"/>
      <c r="K914" s="232"/>
      <c r="L914" s="9"/>
      <c r="M914" s="9"/>
      <c r="N914" s="9"/>
      <c r="O914" s="9"/>
      <c r="P914" s="9"/>
      <c r="Q914" s="9"/>
      <c r="R914" s="9"/>
      <c r="S914" s="232"/>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row>
    <row r="915">
      <c r="A915" s="9"/>
      <c r="B915" s="9"/>
      <c r="C915" s="9"/>
      <c r="D915" s="9"/>
      <c r="E915" s="9"/>
      <c r="F915" s="9"/>
      <c r="G915" s="9"/>
      <c r="H915" s="9"/>
      <c r="I915" s="9"/>
      <c r="J915" s="9"/>
      <c r="K915" s="232"/>
      <c r="L915" s="9"/>
      <c r="M915" s="9"/>
      <c r="N915" s="9"/>
      <c r="O915" s="9"/>
      <c r="P915" s="9"/>
      <c r="Q915" s="9"/>
      <c r="R915" s="9"/>
      <c r="S915" s="232"/>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row>
    <row r="916">
      <c r="A916" s="9"/>
      <c r="B916" s="9"/>
      <c r="C916" s="9"/>
      <c r="D916" s="9"/>
      <c r="E916" s="9"/>
      <c r="F916" s="9"/>
      <c r="G916" s="9"/>
      <c r="H916" s="9"/>
      <c r="I916" s="9"/>
      <c r="J916" s="9"/>
      <c r="K916" s="232"/>
      <c r="L916" s="9"/>
      <c r="M916" s="9"/>
      <c r="N916" s="9"/>
      <c r="O916" s="9"/>
      <c r="P916" s="9"/>
      <c r="Q916" s="9"/>
      <c r="R916" s="9"/>
      <c r="S916" s="232"/>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row>
    <row r="917">
      <c r="A917" s="9"/>
      <c r="B917" s="9"/>
      <c r="C917" s="9"/>
      <c r="D917" s="9"/>
      <c r="E917" s="9"/>
      <c r="F917" s="9"/>
      <c r="G917" s="9"/>
      <c r="H917" s="9"/>
      <c r="I917" s="9"/>
      <c r="J917" s="9"/>
      <c r="K917" s="232"/>
      <c r="L917" s="9"/>
      <c r="M917" s="9"/>
      <c r="N917" s="9"/>
      <c r="O917" s="9"/>
      <c r="P917" s="9"/>
      <c r="Q917" s="9"/>
      <c r="R917" s="9"/>
      <c r="S917" s="232"/>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row>
    <row r="918">
      <c r="A918" s="9"/>
      <c r="B918" s="9"/>
      <c r="C918" s="9"/>
      <c r="D918" s="9"/>
      <c r="E918" s="9"/>
      <c r="F918" s="9"/>
      <c r="G918" s="9"/>
      <c r="H918" s="9"/>
      <c r="I918" s="9"/>
      <c r="J918" s="9"/>
      <c r="K918" s="232"/>
      <c r="L918" s="9"/>
      <c r="M918" s="9"/>
      <c r="N918" s="9"/>
      <c r="O918" s="9"/>
      <c r="P918" s="9"/>
      <c r="Q918" s="9"/>
      <c r="R918" s="9"/>
      <c r="S918" s="232"/>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row>
    <row r="919">
      <c r="A919" s="9"/>
      <c r="B919" s="9"/>
      <c r="C919" s="9"/>
      <c r="D919" s="9"/>
      <c r="E919" s="9"/>
      <c r="F919" s="9"/>
      <c r="G919" s="9"/>
      <c r="H919" s="9"/>
      <c r="I919" s="9"/>
      <c r="J919" s="9"/>
      <c r="K919" s="232"/>
      <c r="L919" s="9"/>
      <c r="M919" s="9"/>
      <c r="N919" s="9"/>
      <c r="O919" s="9"/>
      <c r="P919" s="9"/>
      <c r="Q919" s="9"/>
      <c r="R919" s="9"/>
      <c r="S919" s="232"/>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row>
    <row r="920">
      <c r="A920" s="9"/>
      <c r="B920" s="9"/>
      <c r="C920" s="9"/>
      <c r="D920" s="9"/>
      <c r="E920" s="9"/>
      <c r="F920" s="9"/>
      <c r="G920" s="9"/>
      <c r="H920" s="9"/>
      <c r="I920" s="9"/>
      <c r="J920" s="9"/>
      <c r="K920" s="232"/>
      <c r="L920" s="9"/>
      <c r="M920" s="9"/>
      <c r="N920" s="9"/>
      <c r="O920" s="9"/>
      <c r="P920" s="9"/>
      <c r="Q920" s="9"/>
      <c r="R920" s="9"/>
      <c r="S920" s="232"/>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row>
    <row r="921">
      <c r="A921" s="9"/>
      <c r="B921" s="9"/>
      <c r="C921" s="9"/>
      <c r="D921" s="9"/>
      <c r="E921" s="9"/>
      <c r="F921" s="9"/>
      <c r="G921" s="9"/>
      <c r="H921" s="9"/>
      <c r="I921" s="9"/>
      <c r="J921" s="9"/>
      <c r="K921" s="232"/>
      <c r="L921" s="9"/>
      <c r="M921" s="9"/>
      <c r="N921" s="9"/>
      <c r="O921" s="9"/>
      <c r="P921" s="9"/>
      <c r="Q921" s="9"/>
      <c r="R921" s="9"/>
      <c r="S921" s="232"/>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row>
    <row r="922">
      <c r="A922" s="9"/>
      <c r="B922" s="9"/>
      <c r="C922" s="9"/>
      <c r="D922" s="9"/>
      <c r="E922" s="9"/>
      <c r="F922" s="9"/>
      <c r="G922" s="9"/>
      <c r="H922" s="9"/>
      <c r="I922" s="9"/>
      <c r="J922" s="9"/>
      <c r="K922" s="232"/>
      <c r="L922" s="9"/>
      <c r="M922" s="9"/>
      <c r="N922" s="9"/>
      <c r="O922" s="9"/>
      <c r="P922" s="9"/>
      <c r="Q922" s="9"/>
      <c r="R922" s="9"/>
      <c r="S922" s="232"/>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row>
    <row r="923">
      <c r="A923" s="9"/>
      <c r="B923" s="9"/>
      <c r="C923" s="9"/>
      <c r="D923" s="9"/>
      <c r="E923" s="9"/>
      <c r="F923" s="9"/>
      <c r="G923" s="9"/>
      <c r="H923" s="9"/>
      <c r="I923" s="9"/>
      <c r="J923" s="9"/>
      <c r="K923" s="232"/>
      <c r="L923" s="9"/>
      <c r="M923" s="9"/>
      <c r="N923" s="9"/>
      <c r="O923" s="9"/>
      <c r="P923" s="9"/>
      <c r="Q923" s="9"/>
      <c r="R923" s="9"/>
      <c r="S923" s="232"/>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row>
    <row r="924">
      <c r="A924" s="9"/>
      <c r="B924" s="9"/>
      <c r="C924" s="9"/>
      <c r="D924" s="9"/>
      <c r="E924" s="9"/>
      <c r="F924" s="9"/>
      <c r="G924" s="9"/>
      <c r="H924" s="9"/>
      <c r="I924" s="9"/>
      <c r="J924" s="9"/>
      <c r="K924" s="232"/>
      <c r="L924" s="9"/>
      <c r="M924" s="9"/>
      <c r="N924" s="9"/>
      <c r="O924" s="9"/>
      <c r="P924" s="9"/>
      <c r="Q924" s="9"/>
      <c r="R924" s="9"/>
      <c r="S924" s="232"/>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row>
    <row r="925">
      <c r="A925" s="9"/>
      <c r="B925" s="9"/>
      <c r="C925" s="9"/>
      <c r="D925" s="9"/>
      <c r="E925" s="9"/>
      <c r="F925" s="9"/>
      <c r="G925" s="9"/>
      <c r="H925" s="9"/>
      <c r="I925" s="9"/>
      <c r="J925" s="9"/>
      <c r="K925" s="232"/>
      <c r="L925" s="9"/>
      <c r="M925" s="9"/>
      <c r="N925" s="9"/>
      <c r="O925" s="9"/>
      <c r="P925" s="9"/>
      <c r="Q925" s="9"/>
      <c r="R925" s="9"/>
      <c r="S925" s="232"/>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row>
    <row r="926">
      <c r="A926" s="9"/>
      <c r="B926" s="9"/>
      <c r="C926" s="9"/>
      <c r="D926" s="9"/>
      <c r="E926" s="9"/>
      <c r="F926" s="9"/>
      <c r="G926" s="9"/>
      <c r="H926" s="9"/>
      <c r="I926" s="9"/>
      <c r="J926" s="9"/>
      <c r="K926" s="232"/>
      <c r="L926" s="9"/>
      <c r="M926" s="9"/>
      <c r="N926" s="9"/>
      <c r="O926" s="9"/>
      <c r="P926" s="9"/>
      <c r="Q926" s="9"/>
      <c r="R926" s="9"/>
      <c r="S926" s="232"/>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row>
    <row r="927">
      <c r="A927" s="9"/>
      <c r="B927" s="9"/>
      <c r="C927" s="9"/>
      <c r="D927" s="9"/>
      <c r="E927" s="9"/>
      <c r="F927" s="9"/>
      <c r="G927" s="9"/>
      <c r="H927" s="9"/>
      <c r="I927" s="9"/>
      <c r="J927" s="9"/>
      <c r="K927" s="232"/>
      <c r="L927" s="9"/>
      <c r="M927" s="9"/>
      <c r="N927" s="9"/>
      <c r="O927" s="9"/>
      <c r="P927" s="9"/>
      <c r="Q927" s="9"/>
      <c r="R927" s="9"/>
      <c r="S927" s="232"/>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row>
    <row r="928">
      <c r="A928" s="9"/>
      <c r="B928" s="9"/>
      <c r="C928" s="9"/>
      <c r="D928" s="9"/>
      <c r="E928" s="9"/>
      <c r="F928" s="9"/>
      <c r="G928" s="9"/>
      <c r="H928" s="9"/>
      <c r="I928" s="9"/>
      <c r="J928" s="9"/>
      <c r="K928" s="232"/>
      <c r="L928" s="9"/>
      <c r="M928" s="9"/>
      <c r="N928" s="9"/>
      <c r="O928" s="9"/>
      <c r="P928" s="9"/>
      <c r="Q928" s="9"/>
      <c r="R928" s="9"/>
      <c r="S928" s="232"/>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row>
    <row r="929">
      <c r="A929" s="9"/>
      <c r="B929" s="9"/>
      <c r="C929" s="9"/>
      <c r="D929" s="9"/>
      <c r="E929" s="9"/>
      <c r="F929" s="9"/>
      <c r="G929" s="9"/>
      <c r="H929" s="9"/>
      <c r="I929" s="9"/>
      <c r="J929" s="9"/>
      <c r="K929" s="232"/>
      <c r="L929" s="9"/>
      <c r="M929" s="9"/>
      <c r="N929" s="9"/>
      <c r="O929" s="9"/>
      <c r="P929" s="9"/>
      <c r="Q929" s="9"/>
      <c r="R929" s="9"/>
      <c r="S929" s="232"/>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row>
    <row r="930">
      <c r="A930" s="9"/>
      <c r="B930" s="9"/>
      <c r="C930" s="9"/>
      <c r="D930" s="9"/>
      <c r="E930" s="9"/>
      <c r="F930" s="9"/>
      <c r="G930" s="9"/>
      <c r="H930" s="9"/>
      <c r="I930" s="9"/>
      <c r="J930" s="9"/>
      <c r="K930" s="232"/>
      <c r="L930" s="9"/>
      <c r="M930" s="9"/>
      <c r="N930" s="9"/>
      <c r="O930" s="9"/>
      <c r="P930" s="9"/>
      <c r="Q930" s="9"/>
      <c r="R930" s="9"/>
      <c r="S930" s="232"/>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row>
    <row r="931">
      <c r="A931" s="9"/>
      <c r="B931" s="9"/>
      <c r="C931" s="9"/>
      <c r="D931" s="9"/>
      <c r="E931" s="9"/>
      <c r="F931" s="9"/>
      <c r="G931" s="9"/>
      <c r="H931" s="9"/>
      <c r="I931" s="9"/>
      <c r="J931" s="9"/>
      <c r="K931" s="232"/>
      <c r="L931" s="9"/>
      <c r="M931" s="9"/>
      <c r="N931" s="9"/>
      <c r="O931" s="9"/>
      <c r="P931" s="9"/>
      <c r="Q931" s="9"/>
      <c r="R931" s="9"/>
      <c r="S931" s="232"/>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row>
    <row r="932">
      <c r="A932" s="9"/>
      <c r="B932" s="9"/>
      <c r="C932" s="9"/>
      <c r="D932" s="9"/>
      <c r="E932" s="9"/>
      <c r="F932" s="9"/>
      <c r="G932" s="9"/>
      <c r="H932" s="9"/>
      <c r="I932" s="9"/>
      <c r="J932" s="9"/>
      <c r="K932" s="232"/>
      <c r="L932" s="9"/>
      <c r="M932" s="9"/>
      <c r="N932" s="9"/>
      <c r="O932" s="9"/>
      <c r="P932" s="9"/>
      <c r="Q932" s="9"/>
      <c r="R932" s="9"/>
      <c r="S932" s="232"/>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row>
    <row r="933">
      <c r="A933" s="9"/>
      <c r="B933" s="9"/>
      <c r="C933" s="9"/>
      <c r="D933" s="9"/>
      <c r="E933" s="9"/>
      <c r="F933" s="9"/>
      <c r="G933" s="9"/>
      <c r="H933" s="9"/>
      <c r="I933" s="9"/>
      <c r="J933" s="9"/>
      <c r="K933" s="232"/>
      <c r="L933" s="9"/>
      <c r="M933" s="9"/>
      <c r="N933" s="9"/>
      <c r="O933" s="9"/>
      <c r="P933" s="9"/>
      <c r="Q933" s="9"/>
      <c r="R933" s="9"/>
      <c r="S933" s="232"/>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row>
    <row r="934">
      <c r="A934" s="9"/>
      <c r="B934" s="9"/>
      <c r="C934" s="9"/>
      <c r="D934" s="9"/>
      <c r="E934" s="9"/>
      <c r="F934" s="9"/>
      <c r="G934" s="9"/>
      <c r="H934" s="9"/>
      <c r="I934" s="9"/>
      <c r="J934" s="9"/>
      <c r="K934" s="232"/>
      <c r="L934" s="9"/>
      <c r="M934" s="9"/>
      <c r="N934" s="9"/>
      <c r="O934" s="9"/>
      <c r="P934" s="9"/>
      <c r="Q934" s="9"/>
      <c r="R934" s="9"/>
      <c r="S934" s="232"/>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row>
    <row r="935">
      <c r="A935" s="9"/>
      <c r="B935" s="9"/>
      <c r="C935" s="9"/>
      <c r="D935" s="9"/>
      <c r="E935" s="9"/>
      <c r="F935" s="9"/>
      <c r="G935" s="9"/>
      <c r="H935" s="9"/>
      <c r="I935" s="9"/>
      <c r="J935" s="9"/>
      <c r="K935" s="232"/>
      <c r="L935" s="9"/>
      <c r="M935" s="9"/>
      <c r="N935" s="9"/>
      <c r="O935" s="9"/>
      <c r="P935" s="9"/>
      <c r="Q935" s="9"/>
      <c r="R935" s="9"/>
      <c r="S935" s="232"/>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row>
    <row r="936">
      <c r="A936" s="9"/>
      <c r="B936" s="9"/>
      <c r="C936" s="9"/>
      <c r="D936" s="9"/>
      <c r="E936" s="9"/>
      <c r="F936" s="9"/>
      <c r="G936" s="9"/>
      <c r="H936" s="9"/>
      <c r="I936" s="9"/>
      <c r="J936" s="9"/>
      <c r="K936" s="232"/>
      <c r="L936" s="9"/>
      <c r="M936" s="9"/>
      <c r="N936" s="9"/>
      <c r="O936" s="9"/>
      <c r="P936" s="9"/>
      <c r="Q936" s="9"/>
      <c r="R936" s="9"/>
      <c r="S936" s="232"/>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row>
    <row r="937">
      <c r="A937" s="9"/>
      <c r="B937" s="9"/>
      <c r="C937" s="9"/>
      <c r="D937" s="9"/>
      <c r="E937" s="9"/>
      <c r="F937" s="9"/>
      <c r="G937" s="9"/>
      <c r="H937" s="9"/>
      <c r="I937" s="9"/>
      <c r="J937" s="9"/>
      <c r="K937" s="232"/>
      <c r="L937" s="9"/>
      <c r="M937" s="9"/>
      <c r="N937" s="9"/>
      <c r="O937" s="9"/>
      <c r="P937" s="9"/>
      <c r="Q937" s="9"/>
      <c r="R937" s="9"/>
      <c r="S937" s="232"/>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row>
    <row r="938">
      <c r="A938" s="9"/>
      <c r="B938" s="9"/>
      <c r="C938" s="9"/>
      <c r="D938" s="9"/>
      <c r="E938" s="9"/>
      <c r="F938" s="9"/>
      <c r="G938" s="9"/>
      <c r="H938" s="9"/>
      <c r="I938" s="9"/>
      <c r="J938" s="9"/>
      <c r="K938" s="232"/>
      <c r="L938" s="9"/>
      <c r="M938" s="9"/>
      <c r="N938" s="9"/>
      <c r="O938" s="9"/>
      <c r="P938" s="9"/>
      <c r="Q938" s="9"/>
      <c r="R938" s="9"/>
      <c r="S938" s="232"/>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row>
    <row r="939">
      <c r="A939" s="9"/>
      <c r="B939" s="9"/>
      <c r="C939" s="9"/>
      <c r="D939" s="9"/>
      <c r="E939" s="9"/>
      <c r="F939" s="9"/>
      <c r="G939" s="9"/>
      <c r="H939" s="9"/>
      <c r="I939" s="9"/>
      <c r="J939" s="9"/>
      <c r="K939" s="232"/>
      <c r="L939" s="9"/>
      <c r="M939" s="9"/>
      <c r="N939" s="9"/>
      <c r="O939" s="9"/>
      <c r="P939" s="9"/>
      <c r="Q939" s="9"/>
      <c r="R939" s="9"/>
      <c r="S939" s="232"/>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row>
    <row r="940">
      <c r="A940" s="9"/>
      <c r="B940" s="9"/>
      <c r="C940" s="9"/>
      <c r="D940" s="9"/>
      <c r="E940" s="9"/>
      <c r="F940" s="9"/>
      <c r="G940" s="9"/>
      <c r="H940" s="9"/>
      <c r="I940" s="9"/>
      <c r="J940" s="9"/>
      <c r="K940" s="232"/>
      <c r="L940" s="9"/>
      <c r="M940" s="9"/>
      <c r="N940" s="9"/>
      <c r="O940" s="9"/>
      <c r="P940" s="9"/>
      <c r="Q940" s="9"/>
      <c r="R940" s="9"/>
      <c r="S940" s="232"/>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row>
    <row r="941">
      <c r="A941" s="9"/>
      <c r="B941" s="9"/>
      <c r="C941" s="9"/>
      <c r="D941" s="9"/>
      <c r="E941" s="9"/>
      <c r="F941" s="9"/>
      <c r="G941" s="9"/>
      <c r="H941" s="9"/>
      <c r="I941" s="9"/>
      <c r="J941" s="9"/>
      <c r="K941" s="232"/>
      <c r="L941" s="9"/>
      <c r="M941" s="9"/>
      <c r="N941" s="9"/>
      <c r="O941" s="9"/>
      <c r="P941" s="9"/>
      <c r="Q941" s="9"/>
      <c r="R941" s="9"/>
      <c r="S941" s="232"/>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row>
    <row r="942">
      <c r="A942" s="9"/>
      <c r="B942" s="9"/>
      <c r="C942" s="9"/>
      <c r="D942" s="9"/>
      <c r="E942" s="9"/>
      <c r="F942" s="9"/>
      <c r="G942" s="9"/>
      <c r="H942" s="9"/>
      <c r="I942" s="9"/>
      <c r="J942" s="9"/>
      <c r="K942" s="232"/>
      <c r="L942" s="9"/>
      <c r="M942" s="9"/>
      <c r="N942" s="9"/>
      <c r="O942" s="9"/>
      <c r="P942" s="9"/>
      <c r="Q942" s="9"/>
      <c r="R942" s="9"/>
      <c r="S942" s="232"/>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row>
    <row r="943">
      <c r="A943" s="9"/>
      <c r="B943" s="9"/>
      <c r="C943" s="9"/>
      <c r="D943" s="9"/>
      <c r="E943" s="9"/>
      <c r="F943" s="9"/>
      <c r="G943" s="9"/>
      <c r="H943" s="9"/>
      <c r="I943" s="9"/>
      <c r="J943" s="9"/>
      <c r="K943" s="232"/>
      <c r="L943" s="9"/>
      <c r="M943" s="9"/>
      <c r="N943" s="9"/>
      <c r="O943" s="9"/>
      <c r="P943" s="9"/>
      <c r="Q943" s="9"/>
      <c r="R943" s="9"/>
      <c r="S943" s="232"/>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row>
    <row r="944">
      <c r="A944" s="9"/>
      <c r="B944" s="9"/>
      <c r="C944" s="9"/>
      <c r="D944" s="9"/>
      <c r="E944" s="9"/>
      <c r="F944" s="9"/>
      <c r="G944" s="9"/>
      <c r="H944" s="9"/>
      <c r="I944" s="9"/>
      <c r="J944" s="9"/>
      <c r="K944" s="232"/>
      <c r="L944" s="9"/>
      <c r="M944" s="9"/>
      <c r="N944" s="9"/>
      <c r="O944" s="9"/>
      <c r="P944" s="9"/>
      <c r="Q944" s="9"/>
      <c r="R944" s="9"/>
      <c r="S944" s="232"/>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row>
    <row r="945">
      <c r="A945" s="9"/>
      <c r="B945" s="9"/>
      <c r="C945" s="9"/>
      <c r="D945" s="9"/>
      <c r="E945" s="9"/>
      <c r="F945" s="9"/>
      <c r="G945" s="9"/>
      <c r="H945" s="9"/>
      <c r="I945" s="9"/>
      <c r="J945" s="9"/>
      <c r="K945" s="232"/>
      <c r="L945" s="9"/>
      <c r="M945" s="9"/>
      <c r="N945" s="9"/>
      <c r="O945" s="9"/>
      <c r="P945" s="9"/>
      <c r="Q945" s="9"/>
      <c r="R945" s="9"/>
      <c r="S945" s="232"/>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row>
    <row r="946">
      <c r="A946" s="9"/>
      <c r="B946" s="9"/>
      <c r="C946" s="9"/>
      <c r="D946" s="9"/>
      <c r="E946" s="9"/>
      <c r="F946" s="9"/>
      <c r="G946" s="9"/>
      <c r="H946" s="9"/>
      <c r="I946" s="9"/>
      <c r="J946" s="9"/>
      <c r="K946" s="232"/>
      <c r="L946" s="9"/>
      <c r="M946" s="9"/>
      <c r="N946" s="9"/>
      <c r="O946" s="9"/>
      <c r="P946" s="9"/>
      <c r="Q946" s="9"/>
      <c r="R946" s="9"/>
      <c r="S946" s="232"/>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row>
    <row r="947">
      <c r="A947" s="9"/>
      <c r="B947" s="9"/>
      <c r="C947" s="9"/>
      <c r="D947" s="9"/>
      <c r="E947" s="9"/>
      <c r="F947" s="9"/>
      <c r="G947" s="9"/>
      <c r="H947" s="9"/>
      <c r="I947" s="9"/>
      <c r="J947" s="9"/>
      <c r="K947" s="232"/>
      <c r="L947" s="9"/>
      <c r="M947" s="9"/>
      <c r="N947" s="9"/>
      <c r="O947" s="9"/>
      <c r="P947" s="9"/>
      <c r="Q947" s="9"/>
      <c r="R947" s="9"/>
      <c r="S947" s="232"/>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row>
    <row r="948">
      <c r="A948" s="9"/>
      <c r="B948" s="9"/>
      <c r="C948" s="9"/>
      <c r="D948" s="9"/>
      <c r="E948" s="9"/>
      <c r="F948" s="9"/>
      <c r="G948" s="9"/>
      <c r="H948" s="9"/>
      <c r="I948" s="9"/>
      <c r="J948" s="9"/>
      <c r="K948" s="232"/>
      <c r="L948" s="9"/>
      <c r="M948" s="9"/>
      <c r="N948" s="9"/>
      <c r="O948" s="9"/>
      <c r="P948" s="9"/>
      <c r="Q948" s="9"/>
      <c r="R948" s="9"/>
      <c r="S948" s="232"/>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row>
    <row r="949">
      <c r="A949" s="9"/>
      <c r="B949" s="9"/>
      <c r="C949" s="9"/>
      <c r="D949" s="9"/>
      <c r="E949" s="9"/>
      <c r="F949" s="9"/>
      <c r="G949" s="9"/>
      <c r="H949" s="9"/>
      <c r="I949" s="9"/>
      <c r="J949" s="9"/>
      <c r="K949" s="232"/>
      <c r="L949" s="9"/>
      <c r="M949" s="9"/>
      <c r="N949" s="9"/>
      <c r="O949" s="9"/>
      <c r="P949" s="9"/>
      <c r="Q949" s="9"/>
      <c r="R949" s="9"/>
      <c r="S949" s="232"/>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row>
    <row r="950">
      <c r="A950" s="9"/>
      <c r="B950" s="9"/>
      <c r="C950" s="9"/>
      <c r="D950" s="9"/>
      <c r="E950" s="9"/>
      <c r="F950" s="9"/>
      <c r="G950" s="9"/>
      <c r="H950" s="9"/>
      <c r="I950" s="9"/>
      <c r="J950" s="9"/>
      <c r="K950" s="232"/>
      <c r="L950" s="9"/>
      <c r="M950" s="9"/>
      <c r="N950" s="9"/>
      <c r="O950" s="9"/>
      <c r="P950" s="9"/>
      <c r="Q950" s="9"/>
      <c r="R950" s="9"/>
      <c r="S950" s="232"/>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row>
    <row r="951">
      <c r="A951" s="9"/>
      <c r="B951" s="9"/>
      <c r="C951" s="9"/>
      <c r="D951" s="9"/>
      <c r="E951" s="9"/>
      <c r="F951" s="9"/>
      <c r="G951" s="9"/>
      <c r="H951" s="9"/>
      <c r="I951" s="9"/>
      <c r="J951" s="9"/>
      <c r="K951" s="232"/>
      <c r="L951" s="9"/>
      <c r="M951" s="9"/>
      <c r="N951" s="9"/>
      <c r="O951" s="9"/>
      <c r="P951" s="9"/>
      <c r="Q951" s="9"/>
      <c r="R951" s="9"/>
      <c r="S951" s="232"/>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row>
    <row r="952">
      <c r="A952" s="9"/>
      <c r="B952" s="9"/>
      <c r="C952" s="9"/>
      <c r="D952" s="9"/>
      <c r="E952" s="9"/>
      <c r="F952" s="9"/>
      <c r="G952" s="9"/>
      <c r="H952" s="9"/>
      <c r="I952" s="9"/>
      <c r="J952" s="9"/>
      <c r="K952" s="232"/>
      <c r="L952" s="9"/>
      <c r="M952" s="9"/>
      <c r="N952" s="9"/>
      <c r="O952" s="9"/>
      <c r="P952" s="9"/>
      <c r="Q952" s="9"/>
      <c r="R952" s="9"/>
      <c r="S952" s="232"/>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row>
    <row r="953">
      <c r="A953" s="9"/>
      <c r="B953" s="9"/>
      <c r="C953" s="9"/>
      <c r="D953" s="9"/>
      <c r="E953" s="9"/>
      <c r="F953" s="9"/>
      <c r="G953" s="9"/>
      <c r="H953" s="9"/>
      <c r="I953" s="9"/>
      <c r="J953" s="9"/>
      <c r="K953" s="232"/>
      <c r="L953" s="9"/>
      <c r="M953" s="9"/>
      <c r="N953" s="9"/>
      <c r="O953" s="9"/>
      <c r="P953" s="9"/>
      <c r="Q953" s="9"/>
      <c r="R953" s="9"/>
      <c r="S953" s="232"/>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row>
    <row r="954">
      <c r="A954" s="9"/>
      <c r="B954" s="9"/>
      <c r="C954" s="9"/>
      <c r="D954" s="9"/>
      <c r="E954" s="9"/>
      <c r="F954" s="9"/>
      <c r="G954" s="9"/>
      <c r="H954" s="9"/>
      <c r="I954" s="9"/>
      <c r="J954" s="9"/>
      <c r="K954" s="232"/>
      <c r="L954" s="9"/>
      <c r="M954" s="9"/>
      <c r="N954" s="9"/>
      <c r="O954" s="9"/>
      <c r="P954" s="9"/>
      <c r="Q954" s="9"/>
      <c r="R954" s="9"/>
      <c r="S954" s="232"/>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9"/>
      <c r="BE954" s="9"/>
    </row>
    <row r="955">
      <c r="A955" s="9"/>
      <c r="B955" s="9"/>
      <c r="C955" s="9"/>
      <c r="D955" s="9"/>
      <c r="E955" s="9"/>
      <c r="F955" s="9"/>
      <c r="G955" s="9"/>
      <c r="H955" s="9"/>
      <c r="I955" s="9"/>
      <c r="J955" s="9"/>
      <c r="K955" s="232"/>
      <c r="L955" s="9"/>
      <c r="M955" s="9"/>
      <c r="N955" s="9"/>
      <c r="O955" s="9"/>
      <c r="P955" s="9"/>
      <c r="Q955" s="9"/>
      <c r="R955" s="9"/>
      <c r="S955" s="232"/>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row>
    <row r="956">
      <c r="A956" s="9"/>
      <c r="B956" s="9"/>
      <c r="C956" s="9"/>
      <c r="D956" s="9"/>
      <c r="E956" s="9"/>
      <c r="F956" s="9"/>
      <c r="G956" s="9"/>
      <c r="H956" s="9"/>
      <c r="I956" s="9"/>
      <c r="J956" s="9"/>
      <c r="K956" s="232"/>
      <c r="L956" s="9"/>
      <c r="M956" s="9"/>
      <c r="N956" s="9"/>
      <c r="O956" s="9"/>
      <c r="P956" s="9"/>
      <c r="Q956" s="9"/>
      <c r="R956" s="9"/>
      <c r="S956" s="232"/>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row>
    <row r="957">
      <c r="A957" s="9"/>
      <c r="B957" s="9"/>
      <c r="C957" s="9"/>
      <c r="D957" s="9"/>
      <c r="E957" s="9"/>
      <c r="F957" s="9"/>
      <c r="G957" s="9"/>
      <c r="H957" s="9"/>
      <c r="I957" s="9"/>
      <c r="J957" s="9"/>
      <c r="K957" s="232"/>
      <c r="L957" s="9"/>
      <c r="M957" s="9"/>
      <c r="N957" s="9"/>
      <c r="O957" s="9"/>
      <c r="P957" s="9"/>
      <c r="Q957" s="9"/>
      <c r="R957" s="9"/>
      <c r="S957" s="232"/>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row>
    <row r="958">
      <c r="A958" s="9"/>
      <c r="B958" s="9"/>
      <c r="C958" s="9"/>
      <c r="D958" s="9"/>
      <c r="E958" s="9"/>
      <c r="F958" s="9"/>
      <c r="G958" s="9"/>
      <c r="H958" s="9"/>
      <c r="I958" s="9"/>
      <c r="J958" s="9"/>
      <c r="K958" s="232"/>
      <c r="L958" s="9"/>
      <c r="M958" s="9"/>
      <c r="N958" s="9"/>
      <c r="O958" s="9"/>
      <c r="P958" s="9"/>
      <c r="Q958" s="9"/>
      <c r="R958" s="9"/>
      <c r="S958" s="232"/>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row>
    <row r="959">
      <c r="A959" s="9"/>
      <c r="B959" s="9"/>
      <c r="C959" s="9"/>
      <c r="D959" s="9"/>
      <c r="E959" s="9"/>
      <c r="F959" s="9"/>
      <c r="G959" s="9"/>
      <c r="H959" s="9"/>
      <c r="I959" s="9"/>
      <c r="J959" s="9"/>
      <c r="K959" s="232"/>
      <c r="L959" s="9"/>
      <c r="M959" s="9"/>
      <c r="N959" s="9"/>
      <c r="O959" s="9"/>
      <c r="P959" s="9"/>
      <c r="Q959" s="9"/>
      <c r="R959" s="9"/>
      <c r="S959" s="232"/>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row>
    <row r="960">
      <c r="A960" s="9"/>
      <c r="B960" s="9"/>
      <c r="C960" s="9"/>
      <c r="D960" s="9"/>
      <c r="E960" s="9"/>
      <c r="F960" s="9"/>
      <c r="G960" s="9"/>
      <c r="H960" s="9"/>
      <c r="I960" s="9"/>
      <c r="J960" s="9"/>
      <c r="K960" s="232"/>
      <c r="L960" s="9"/>
      <c r="M960" s="9"/>
      <c r="N960" s="9"/>
      <c r="O960" s="9"/>
      <c r="P960" s="9"/>
      <c r="Q960" s="9"/>
      <c r="R960" s="9"/>
      <c r="S960" s="232"/>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row>
    <row r="961">
      <c r="A961" s="9"/>
      <c r="B961" s="9"/>
      <c r="C961" s="9"/>
      <c r="D961" s="9"/>
      <c r="E961" s="9"/>
      <c r="F961" s="9"/>
      <c r="G961" s="9"/>
      <c r="H961" s="9"/>
      <c r="I961" s="9"/>
      <c r="J961" s="9"/>
      <c r="K961" s="232"/>
      <c r="L961" s="9"/>
      <c r="M961" s="9"/>
      <c r="N961" s="9"/>
      <c r="O961" s="9"/>
      <c r="P961" s="9"/>
      <c r="Q961" s="9"/>
      <c r="R961" s="9"/>
      <c r="S961" s="232"/>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row>
    <row r="962">
      <c r="A962" s="9"/>
      <c r="B962" s="9"/>
      <c r="C962" s="9"/>
      <c r="D962" s="9"/>
      <c r="E962" s="9"/>
      <c r="F962" s="9"/>
      <c r="G962" s="9"/>
      <c r="H962" s="9"/>
      <c r="I962" s="9"/>
      <c r="J962" s="9"/>
      <c r="K962" s="232"/>
      <c r="L962" s="9"/>
      <c r="M962" s="9"/>
      <c r="N962" s="9"/>
      <c r="O962" s="9"/>
      <c r="P962" s="9"/>
      <c r="Q962" s="9"/>
      <c r="R962" s="9"/>
      <c r="S962" s="232"/>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row>
    <row r="963">
      <c r="A963" s="9"/>
      <c r="B963" s="9"/>
      <c r="C963" s="9"/>
      <c r="D963" s="9"/>
      <c r="E963" s="9"/>
      <c r="F963" s="9"/>
      <c r="G963" s="9"/>
      <c r="H963" s="9"/>
      <c r="I963" s="9"/>
      <c r="J963" s="9"/>
      <c r="K963" s="232"/>
      <c r="L963" s="9"/>
      <c r="M963" s="9"/>
      <c r="N963" s="9"/>
      <c r="O963" s="9"/>
      <c r="P963" s="9"/>
      <c r="Q963" s="9"/>
      <c r="R963" s="9"/>
      <c r="S963" s="232"/>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row>
    <row r="964">
      <c r="A964" s="9"/>
      <c r="B964" s="9"/>
      <c r="C964" s="9"/>
      <c r="D964" s="9"/>
      <c r="E964" s="9"/>
      <c r="F964" s="9"/>
      <c r="G964" s="9"/>
      <c r="H964" s="9"/>
      <c r="I964" s="9"/>
      <c r="J964" s="9"/>
      <c r="K964" s="232"/>
      <c r="L964" s="9"/>
      <c r="M964" s="9"/>
      <c r="N964" s="9"/>
      <c r="O964" s="9"/>
      <c r="P964" s="9"/>
      <c r="Q964" s="9"/>
      <c r="R964" s="9"/>
      <c r="S964" s="232"/>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row>
    <row r="965">
      <c r="A965" s="9"/>
      <c r="B965" s="9"/>
      <c r="C965" s="9"/>
      <c r="D965" s="9"/>
      <c r="E965" s="9"/>
      <c r="F965" s="9"/>
      <c r="G965" s="9"/>
      <c r="H965" s="9"/>
      <c r="I965" s="9"/>
      <c r="J965" s="9"/>
      <c r="K965" s="232"/>
      <c r="L965" s="9"/>
      <c r="M965" s="9"/>
      <c r="N965" s="9"/>
      <c r="O965" s="9"/>
      <c r="P965" s="9"/>
      <c r="Q965" s="9"/>
      <c r="R965" s="9"/>
      <c r="S965" s="232"/>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row>
    <row r="966">
      <c r="A966" s="9"/>
      <c r="B966" s="9"/>
      <c r="C966" s="9"/>
      <c r="D966" s="9"/>
      <c r="E966" s="9"/>
      <c r="F966" s="9"/>
      <c r="G966" s="9"/>
      <c r="H966" s="9"/>
      <c r="I966" s="9"/>
      <c r="J966" s="9"/>
      <c r="K966" s="232"/>
      <c r="L966" s="9"/>
      <c r="M966" s="9"/>
      <c r="N966" s="9"/>
      <c r="O966" s="9"/>
      <c r="P966" s="9"/>
      <c r="Q966" s="9"/>
      <c r="R966" s="9"/>
      <c r="S966" s="232"/>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row>
    <row r="967">
      <c r="A967" s="9"/>
      <c r="B967" s="9"/>
      <c r="C967" s="9"/>
      <c r="D967" s="9"/>
      <c r="E967" s="9"/>
      <c r="F967" s="9"/>
      <c r="G967" s="9"/>
      <c r="H967" s="9"/>
      <c r="I967" s="9"/>
      <c r="J967" s="9"/>
      <c r="K967" s="232"/>
      <c r="L967" s="9"/>
      <c r="M967" s="9"/>
      <c r="N967" s="9"/>
      <c r="O967" s="9"/>
      <c r="P967" s="9"/>
      <c r="Q967" s="9"/>
      <c r="R967" s="9"/>
      <c r="S967" s="232"/>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row>
    <row r="968">
      <c r="A968" s="9"/>
      <c r="B968" s="9"/>
      <c r="C968" s="9"/>
      <c r="D968" s="9"/>
      <c r="E968" s="9"/>
      <c r="F968" s="9"/>
      <c r="G968" s="9"/>
      <c r="H968" s="9"/>
      <c r="I968" s="9"/>
      <c r="J968" s="9"/>
      <c r="K968" s="232"/>
      <c r="L968" s="9"/>
      <c r="M968" s="9"/>
      <c r="N968" s="9"/>
      <c r="O968" s="9"/>
      <c r="P968" s="9"/>
      <c r="Q968" s="9"/>
      <c r="R968" s="9"/>
      <c r="S968" s="232"/>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row>
    <row r="969">
      <c r="A969" s="9"/>
      <c r="B969" s="9"/>
      <c r="C969" s="9"/>
      <c r="D969" s="9"/>
      <c r="E969" s="9"/>
      <c r="F969" s="9"/>
      <c r="G969" s="9"/>
      <c r="H969" s="9"/>
      <c r="I969" s="9"/>
      <c r="J969" s="9"/>
      <c r="K969" s="232"/>
      <c r="L969" s="9"/>
      <c r="M969" s="9"/>
      <c r="N969" s="9"/>
      <c r="O969" s="9"/>
      <c r="P969" s="9"/>
      <c r="Q969" s="9"/>
      <c r="R969" s="9"/>
      <c r="S969" s="232"/>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row>
    <row r="970">
      <c r="A970" s="9"/>
      <c r="B970" s="9"/>
      <c r="C970" s="9"/>
      <c r="D970" s="9"/>
      <c r="E970" s="9"/>
      <c r="F970" s="9"/>
      <c r="G970" s="9"/>
      <c r="H970" s="9"/>
      <c r="I970" s="9"/>
      <c r="J970" s="9"/>
      <c r="K970" s="232"/>
      <c r="L970" s="9"/>
      <c r="M970" s="9"/>
      <c r="N970" s="9"/>
      <c r="O970" s="9"/>
      <c r="P970" s="9"/>
      <c r="Q970" s="9"/>
      <c r="R970" s="9"/>
      <c r="S970" s="232"/>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row>
    <row r="971">
      <c r="A971" s="9"/>
      <c r="B971" s="9"/>
      <c r="C971" s="9"/>
      <c r="D971" s="9"/>
      <c r="E971" s="9"/>
      <c r="F971" s="9"/>
      <c r="G971" s="9"/>
      <c r="H971" s="9"/>
      <c r="I971" s="9"/>
      <c r="J971" s="9"/>
      <c r="K971" s="232"/>
      <c r="L971" s="9"/>
      <c r="M971" s="9"/>
      <c r="N971" s="9"/>
      <c r="O971" s="9"/>
      <c r="P971" s="9"/>
      <c r="Q971" s="9"/>
      <c r="R971" s="9"/>
      <c r="S971" s="232"/>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row>
    <row r="972">
      <c r="A972" s="9"/>
      <c r="B972" s="9"/>
      <c r="C972" s="9"/>
      <c r="D972" s="9"/>
      <c r="E972" s="9"/>
      <c r="F972" s="9"/>
      <c r="G972" s="9"/>
      <c r="H972" s="9"/>
      <c r="I972" s="9"/>
      <c r="J972" s="9"/>
      <c r="K972" s="232"/>
      <c r="L972" s="9"/>
      <c r="M972" s="9"/>
      <c r="N972" s="9"/>
      <c r="O972" s="9"/>
      <c r="P972" s="9"/>
      <c r="Q972" s="9"/>
      <c r="R972" s="9"/>
      <c r="S972" s="232"/>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row>
    <row r="973">
      <c r="A973" s="9"/>
      <c r="B973" s="9"/>
      <c r="C973" s="9"/>
      <c r="D973" s="9"/>
      <c r="E973" s="9"/>
      <c r="F973" s="9"/>
      <c r="G973" s="9"/>
      <c r="H973" s="9"/>
      <c r="I973" s="9"/>
      <c r="J973" s="9"/>
      <c r="K973" s="232"/>
      <c r="L973" s="9"/>
      <c r="M973" s="9"/>
      <c r="N973" s="9"/>
      <c r="O973" s="9"/>
      <c r="P973" s="9"/>
      <c r="Q973" s="9"/>
      <c r="R973" s="9"/>
      <c r="S973" s="232"/>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row>
    <row r="974">
      <c r="A974" s="9"/>
      <c r="B974" s="9"/>
      <c r="C974" s="9"/>
      <c r="D974" s="9"/>
      <c r="E974" s="9"/>
      <c r="F974" s="9"/>
      <c r="G974" s="9"/>
      <c r="H974" s="9"/>
      <c r="I974" s="9"/>
      <c r="J974" s="9"/>
      <c r="K974" s="232"/>
      <c r="L974" s="9"/>
      <c r="M974" s="9"/>
      <c r="N974" s="9"/>
      <c r="O974" s="9"/>
      <c r="P974" s="9"/>
      <c r="Q974" s="9"/>
      <c r="R974" s="9"/>
      <c r="S974" s="232"/>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row>
    <row r="975">
      <c r="A975" s="9"/>
      <c r="B975" s="9"/>
      <c r="C975" s="9"/>
      <c r="D975" s="9"/>
      <c r="E975" s="9"/>
      <c r="F975" s="9"/>
      <c r="G975" s="9"/>
      <c r="H975" s="9"/>
      <c r="I975" s="9"/>
      <c r="J975" s="9"/>
      <c r="K975" s="232"/>
      <c r="L975" s="9"/>
      <c r="M975" s="9"/>
      <c r="N975" s="9"/>
      <c r="O975" s="9"/>
      <c r="P975" s="9"/>
      <c r="Q975" s="9"/>
      <c r="R975" s="9"/>
      <c r="S975" s="232"/>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row>
    <row r="976">
      <c r="A976" s="9"/>
      <c r="B976" s="9"/>
      <c r="C976" s="9"/>
      <c r="D976" s="9"/>
      <c r="E976" s="9"/>
      <c r="F976" s="9"/>
      <c r="G976" s="9"/>
      <c r="H976" s="9"/>
      <c r="I976" s="9"/>
      <c r="J976" s="9"/>
      <c r="K976" s="232"/>
      <c r="L976" s="9"/>
      <c r="M976" s="9"/>
      <c r="N976" s="9"/>
      <c r="O976" s="9"/>
      <c r="P976" s="9"/>
      <c r="Q976" s="9"/>
      <c r="R976" s="9"/>
      <c r="S976" s="232"/>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row>
    <row r="977">
      <c r="A977" s="9"/>
      <c r="B977" s="9"/>
      <c r="C977" s="9"/>
      <c r="D977" s="9"/>
      <c r="E977" s="9"/>
      <c r="F977" s="9"/>
      <c r="G977" s="9"/>
      <c r="H977" s="9"/>
      <c r="I977" s="9"/>
      <c r="J977" s="9"/>
      <c r="K977" s="232"/>
      <c r="L977" s="9"/>
      <c r="M977" s="9"/>
      <c r="N977" s="9"/>
      <c r="O977" s="9"/>
      <c r="P977" s="9"/>
      <c r="Q977" s="9"/>
      <c r="R977" s="9"/>
      <c r="S977" s="232"/>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row>
    <row r="978">
      <c r="A978" s="9"/>
      <c r="B978" s="9"/>
      <c r="C978" s="9"/>
      <c r="D978" s="9"/>
      <c r="E978" s="9"/>
      <c r="F978" s="9"/>
      <c r="G978" s="9"/>
      <c r="H978" s="9"/>
      <c r="I978" s="9"/>
      <c r="J978" s="9"/>
      <c r="K978" s="232"/>
      <c r="L978" s="9"/>
      <c r="M978" s="9"/>
      <c r="N978" s="9"/>
      <c r="O978" s="9"/>
      <c r="P978" s="9"/>
      <c r="Q978" s="9"/>
      <c r="R978" s="9"/>
      <c r="S978" s="232"/>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row>
    <row r="979">
      <c r="A979" s="9"/>
      <c r="B979" s="9"/>
      <c r="C979" s="9"/>
      <c r="D979" s="9"/>
      <c r="E979" s="9"/>
      <c r="F979" s="9"/>
      <c r="G979" s="9"/>
      <c r="H979" s="9"/>
      <c r="I979" s="9"/>
      <c r="J979" s="9"/>
      <c r="K979" s="232"/>
      <c r="L979" s="9"/>
      <c r="M979" s="9"/>
      <c r="N979" s="9"/>
      <c r="O979" s="9"/>
      <c r="P979" s="9"/>
      <c r="Q979" s="9"/>
      <c r="R979" s="9"/>
      <c r="S979" s="232"/>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row>
    <row r="980">
      <c r="A980" s="9"/>
      <c r="B980" s="9"/>
      <c r="C980" s="9"/>
      <c r="D980" s="9"/>
      <c r="E980" s="9"/>
      <c r="F980" s="9"/>
      <c r="G980" s="9"/>
      <c r="H980" s="9"/>
      <c r="I980" s="9"/>
      <c r="J980" s="9"/>
      <c r="K980" s="232"/>
      <c r="L980" s="9"/>
      <c r="M980" s="9"/>
      <c r="N980" s="9"/>
      <c r="O980" s="9"/>
      <c r="P980" s="9"/>
      <c r="Q980" s="9"/>
      <c r="R980" s="9"/>
      <c r="S980" s="232"/>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row>
    <row r="981">
      <c r="A981" s="9"/>
      <c r="B981" s="9"/>
      <c r="C981" s="9"/>
      <c r="D981" s="9"/>
      <c r="E981" s="9"/>
      <c r="F981" s="9"/>
      <c r="G981" s="9"/>
      <c r="H981" s="9"/>
      <c r="I981" s="9"/>
      <c r="J981" s="9"/>
      <c r="K981" s="232"/>
      <c r="L981" s="9"/>
      <c r="M981" s="9"/>
      <c r="N981" s="9"/>
      <c r="O981" s="9"/>
      <c r="P981" s="9"/>
      <c r="Q981" s="9"/>
      <c r="R981" s="9"/>
      <c r="S981" s="232"/>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row>
    <row r="982">
      <c r="A982" s="9"/>
      <c r="B982" s="9"/>
      <c r="C982" s="9"/>
      <c r="D982" s="9"/>
      <c r="E982" s="9"/>
      <c r="F982" s="9"/>
      <c r="G982" s="9"/>
      <c r="H982" s="9"/>
      <c r="I982" s="9"/>
      <c r="J982" s="9"/>
      <c r="K982" s="232"/>
      <c r="L982" s="9"/>
      <c r="M982" s="9"/>
      <c r="N982" s="9"/>
      <c r="O982" s="9"/>
      <c r="P982" s="9"/>
      <c r="Q982" s="9"/>
      <c r="R982" s="9"/>
      <c r="S982" s="232"/>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row>
    <row r="983">
      <c r="A983" s="9"/>
      <c r="B983" s="9"/>
      <c r="C983" s="9"/>
      <c r="D983" s="9"/>
      <c r="E983" s="9"/>
      <c r="F983" s="9"/>
      <c r="G983" s="9"/>
      <c r="H983" s="9"/>
      <c r="I983" s="9"/>
      <c r="J983" s="9"/>
      <c r="K983" s="232"/>
      <c r="L983" s="9"/>
      <c r="M983" s="9"/>
      <c r="N983" s="9"/>
      <c r="O983" s="9"/>
      <c r="P983" s="9"/>
      <c r="Q983" s="9"/>
      <c r="R983" s="9"/>
      <c r="S983" s="232"/>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row>
    <row r="984">
      <c r="A984" s="9"/>
      <c r="B984" s="9"/>
      <c r="C984" s="9"/>
      <c r="D984" s="9"/>
      <c r="E984" s="9"/>
      <c r="F984" s="9"/>
      <c r="G984" s="9"/>
      <c r="H984" s="9"/>
      <c r="I984" s="9"/>
      <c r="J984" s="9"/>
      <c r="K984" s="232"/>
      <c r="L984" s="9"/>
      <c r="M984" s="9"/>
      <c r="N984" s="9"/>
      <c r="O984" s="9"/>
      <c r="P984" s="9"/>
      <c r="Q984" s="9"/>
      <c r="R984" s="9"/>
      <c r="S984" s="232"/>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row>
    <row r="985">
      <c r="A985" s="9"/>
      <c r="B985" s="9"/>
      <c r="C985" s="9"/>
      <c r="D985" s="9"/>
      <c r="E985" s="9"/>
      <c r="F985" s="9"/>
      <c r="G985" s="9"/>
      <c r="H985" s="9"/>
      <c r="I985" s="9"/>
      <c r="J985" s="9"/>
      <c r="K985" s="232"/>
      <c r="L985" s="9"/>
      <c r="M985" s="9"/>
      <c r="N985" s="9"/>
      <c r="O985" s="9"/>
      <c r="P985" s="9"/>
      <c r="Q985" s="9"/>
      <c r="R985" s="9"/>
      <c r="S985" s="232"/>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row>
    <row r="986">
      <c r="A986" s="9"/>
      <c r="B986" s="9"/>
      <c r="C986" s="9"/>
      <c r="D986" s="9"/>
      <c r="E986" s="9"/>
      <c r="F986" s="9"/>
      <c r="G986" s="9"/>
      <c r="H986" s="9"/>
      <c r="I986" s="9"/>
      <c r="J986" s="9"/>
      <c r="K986" s="232"/>
      <c r="L986" s="9"/>
      <c r="M986" s="9"/>
      <c r="N986" s="9"/>
      <c r="O986" s="9"/>
      <c r="P986" s="9"/>
      <c r="Q986" s="9"/>
      <c r="R986" s="9"/>
      <c r="S986" s="232"/>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row>
    <row r="987">
      <c r="A987" s="9"/>
      <c r="B987" s="9"/>
      <c r="C987" s="9"/>
      <c r="D987" s="9"/>
      <c r="E987" s="9"/>
      <c r="F987" s="9"/>
      <c r="G987" s="9"/>
      <c r="H987" s="9"/>
      <c r="I987" s="9"/>
      <c r="J987" s="9"/>
      <c r="K987" s="232"/>
      <c r="L987" s="9"/>
      <c r="M987" s="9"/>
      <c r="N987" s="9"/>
      <c r="O987" s="9"/>
      <c r="P987" s="9"/>
      <c r="Q987" s="9"/>
      <c r="R987" s="9"/>
      <c r="S987" s="232"/>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row>
    <row r="988">
      <c r="A988" s="9"/>
      <c r="B988" s="9"/>
      <c r="C988" s="9"/>
      <c r="D988" s="9"/>
      <c r="E988" s="9"/>
      <c r="F988" s="9"/>
      <c r="G988" s="9"/>
      <c r="H988" s="9"/>
      <c r="I988" s="9"/>
      <c r="J988" s="9"/>
      <c r="K988" s="232"/>
      <c r="L988" s="9"/>
      <c r="M988" s="9"/>
      <c r="N988" s="9"/>
      <c r="O988" s="9"/>
      <c r="P988" s="9"/>
      <c r="Q988" s="9"/>
      <c r="R988" s="9"/>
      <c r="S988" s="232"/>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row>
    <row r="989">
      <c r="A989" s="9"/>
      <c r="B989" s="9"/>
      <c r="C989" s="9"/>
      <c r="D989" s="9"/>
      <c r="E989" s="9"/>
      <c r="F989" s="9"/>
      <c r="G989" s="9"/>
      <c r="H989" s="9"/>
      <c r="I989" s="9"/>
      <c r="J989" s="9"/>
      <c r="K989" s="232"/>
      <c r="L989" s="9"/>
      <c r="M989" s="9"/>
      <c r="N989" s="9"/>
      <c r="O989" s="9"/>
      <c r="P989" s="9"/>
      <c r="Q989" s="9"/>
      <c r="R989" s="9"/>
      <c r="S989" s="232"/>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row>
    <row r="990">
      <c r="A990" s="9"/>
      <c r="B990" s="9"/>
      <c r="C990" s="9"/>
      <c r="D990" s="9"/>
      <c r="E990" s="9"/>
      <c r="F990" s="9"/>
      <c r="G990" s="9"/>
      <c r="H990" s="9"/>
      <c r="I990" s="9"/>
      <c r="J990" s="9"/>
      <c r="K990" s="232"/>
      <c r="L990" s="9"/>
      <c r="M990" s="9"/>
      <c r="N990" s="9"/>
      <c r="O990" s="9"/>
      <c r="P990" s="9"/>
      <c r="Q990" s="9"/>
      <c r="R990" s="9"/>
      <c r="S990" s="232"/>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row>
    <row r="991">
      <c r="A991" s="9"/>
      <c r="B991" s="9"/>
      <c r="C991" s="9"/>
      <c r="D991" s="9"/>
      <c r="E991" s="9"/>
      <c r="F991" s="9"/>
      <c r="G991" s="9"/>
      <c r="H991" s="9"/>
      <c r="I991" s="9"/>
      <c r="J991" s="9"/>
      <c r="K991" s="232"/>
      <c r="L991" s="9"/>
      <c r="M991" s="9"/>
      <c r="N991" s="9"/>
      <c r="O991" s="9"/>
      <c r="P991" s="9"/>
      <c r="Q991" s="9"/>
      <c r="R991" s="9"/>
      <c r="S991" s="232"/>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row>
    <row r="992">
      <c r="A992" s="9"/>
      <c r="B992" s="9"/>
      <c r="C992" s="9"/>
      <c r="D992" s="9"/>
      <c r="E992" s="9"/>
      <c r="F992" s="9"/>
      <c r="G992" s="9"/>
      <c r="H992" s="9"/>
      <c r="I992" s="9"/>
      <c r="J992" s="9"/>
      <c r="K992" s="232"/>
      <c r="L992" s="9"/>
      <c r="M992" s="9"/>
      <c r="N992" s="9"/>
      <c r="O992" s="9"/>
      <c r="P992" s="9"/>
      <c r="Q992" s="9"/>
      <c r="R992" s="9"/>
      <c r="S992" s="232"/>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row>
    <row r="993">
      <c r="A993" s="9"/>
      <c r="B993" s="9"/>
      <c r="C993" s="9"/>
      <c r="D993" s="9"/>
      <c r="E993" s="9"/>
      <c r="F993" s="9"/>
      <c r="G993" s="9"/>
      <c r="H993" s="9"/>
      <c r="I993" s="9"/>
      <c r="J993" s="9"/>
      <c r="K993" s="232"/>
      <c r="L993" s="9"/>
      <c r="M993" s="9"/>
      <c r="N993" s="9"/>
      <c r="O993" s="9"/>
      <c r="P993" s="9"/>
      <c r="Q993" s="9"/>
      <c r="R993" s="9"/>
      <c r="S993" s="232"/>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row>
    <row r="994">
      <c r="A994" s="9"/>
      <c r="B994" s="9"/>
      <c r="C994" s="9"/>
      <c r="D994" s="9"/>
      <c r="E994" s="9"/>
      <c r="F994" s="9"/>
      <c r="G994" s="9"/>
      <c r="H994" s="9"/>
      <c r="I994" s="9"/>
      <c r="J994" s="9"/>
      <c r="K994" s="232"/>
      <c r="L994" s="9"/>
      <c r="M994" s="9"/>
      <c r="N994" s="9"/>
      <c r="O994" s="9"/>
      <c r="P994" s="9"/>
      <c r="Q994" s="9"/>
      <c r="R994" s="9"/>
      <c r="S994" s="232"/>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row>
    <row r="995">
      <c r="A995" s="9"/>
      <c r="B995" s="9"/>
      <c r="C995" s="9"/>
      <c r="D995" s="9"/>
      <c r="E995" s="9"/>
      <c r="F995" s="9"/>
      <c r="G995" s="9"/>
      <c r="H995" s="9"/>
      <c r="I995" s="9"/>
      <c r="J995" s="9"/>
      <c r="K995" s="232"/>
      <c r="L995" s="9"/>
      <c r="M995" s="9"/>
      <c r="N995" s="9"/>
      <c r="O995" s="9"/>
      <c r="P995" s="9"/>
      <c r="Q995" s="9"/>
      <c r="R995" s="9"/>
      <c r="S995" s="232"/>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row>
    <row r="996">
      <c r="A996" s="9"/>
      <c r="B996" s="9"/>
      <c r="C996" s="9"/>
      <c r="D996" s="9"/>
      <c r="E996" s="9"/>
      <c r="F996" s="9"/>
      <c r="G996" s="9"/>
      <c r="H996" s="9"/>
      <c r="I996" s="9"/>
      <c r="J996" s="9"/>
      <c r="K996" s="232"/>
      <c r="L996" s="9"/>
      <c r="M996" s="9"/>
      <c r="N996" s="9"/>
      <c r="O996" s="9"/>
      <c r="P996" s="9"/>
      <c r="Q996" s="9"/>
      <c r="R996" s="9"/>
      <c r="S996" s="232"/>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row>
    <row r="997">
      <c r="A997" s="9"/>
      <c r="B997" s="9"/>
      <c r="C997" s="9"/>
      <c r="D997" s="9"/>
      <c r="E997" s="9"/>
      <c r="F997" s="9"/>
      <c r="G997" s="9"/>
      <c r="H997" s="9"/>
      <c r="I997" s="9"/>
      <c r="J997" s="9"/>
      <c r="K997" s="232"/>
      <c r="L997" s="9"/>
      <c r="M997" s="9"/>
      <c r="N997" s="9"/>
      <c r="O997" s="9"/>
      <c r="P997" s="9"/>
      <c r="Q997" s="9"/>
      <c r="R997" s="9"/>
      <c r="S997" s="232"/>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row>
    <row r="998">
      <c r="A998" s="9"/>
      <c r="B998" s="9"/>
      <c r="C998" s="9"/>
      <c r="D998" s="9"/>
      <c r="E998" s="9"/>
      <c r="F998" s="9"/>
      <c r="G998" s="9"/>
      <c r="H998" s="9"/>
      <c r="I998" s="9"/>
      <c r="J998" s="9"/>
      <c r="K998" s="232"/>
      <c r="L998" s="9"/>
      <c r="M998" s="9"/>
      <c r="N998" s="9"/>
      <c r="O998" s="9"/>
      <c r="P998" s="9"/>
      <c r="Q998" s="9"/>
      <c r="R998" s="9"/>
      <c r="S998" s="232"/>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row>
    <row r="999">
      <c r="A999" s="9"/>
      <c r="B999" s="9"/>
      <c r="C999" s="9"/>
      <c r="D999" s="9"/>
      <c r="E999" s="9"/>
      <c r="F999" s="9"/>
      <c r="G999" s="9"/>
      <c r="H999" s="9"/>
      <c r="I999" s="9"/>
      <c r="J999" s="9"/>
      <c r="K999" s="232"/>
      <c r="L999" s="9"/>
      <c r="M999" s="9"/>
      <c r="N999" s="9"/>
      <c r="O999" s="9"/>
      <c r="P999" s="9"/>
      <c r="Q999" s="9"/>
      <c r="R999" s="9"/>
      <c r="S999" s="232"/>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row>
    <row r="1000">
      <c r="A1000" s="9"/>
      <c r="B1000" s="9"/>
      <c r="C1000" s="9"/>
      <c r="D1000" s="9"/>
      <c r="E1000" s="9"/>
      <c r="F1000" s="9"/>
      <c r="G1000" s="9"/>
      <c r="H1000" s="9"/>
      <c r="I1000" s="9"/>
      <c r="J1000" s="9"/>
      <c r="K1000" s="232"/>
      <c r="L1000" s="9"/>
      <c r="M1000" s="9"/>
      <c r="N1000" s="9"/>
      <c r="O1000" s="9"/>
      <c r="P1000" s="9"/>
      <c r="Q1000" s="9"/>
      <c r="R1000" s="9"/>
      <c r="S1000" s="232"/>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row>
    <row r="1001">
      <c r="A1001" s="9"/>
      <c r="B1001" s="9"/>
      <c r="C1001" s="9"/>
      <c r="D1001" s="9"/>
      <c r="E1001" s="9"/>
      <c r="F1001" s="9"/>
      <c r="G1001" s="9"/>
      <c r="H1001" s="9"/>
      <c r="I1001" s="9"/>
      <c r="J1001" s="9"/>
      <c r="K1001" s="232"/>
      <c r="L1001" s="9"/>
      <c r="M1001" s="9"/>
      <c r="N1001" s="9"/>
      <c r="O1001" s="9"/>
      <c r="P1001" s="9"/>
      <c r="Q1001" s="9"/>
      <c r="R1001" s="9"/>
      <c r="S1001" s="232"/>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9"/>
      <c r="BC1001" s="9"/>
      <c r="BD1001" s="9"/>
      <c r="BE1001" s="9"/>
    </row>
    <row r="1002">
      <c r="A1002" s="9"/>
      <c r="B1002" s="9"/>
      <c r="C1002" s="9"/>
      <c r="D1002" s="9"/>
      <c r="E1002" s="9"/>
      <c r="F1002" s="9"/>
      <c r="G1002" s="9"/>
      <c r="H1002" s="9"/>
      <c r="I1002" s="9"/>
      <c r="J1002" s="9"/>
      <c r="K1002" s="232"/>
      <c r="L1002" s="9"/>
      <c r="M1002" s="9"/>
      <c r="N1002" s="9"/>
      <c r="O1002" s="9"/>
      <c r="P1002" s="9"/>
      <c r="Q1002" s="9"/>
      <c r="R1002" s="9"/>
      <c r="S1002" s="232"/>
      <c r="T1002" s="9"/>
      <c r="U1002" s="9"/>
      <c r="V1002" s="9"/>
      <c r="W1002" s="9"/>
      <c r="X1002" s="9"/>
      <c r="Y1002" s="9"/>
      <c r="Z1002" s="9"/>
      <c r="AA1002" s="9"/>
      <c r="AB1002" s="9"/>
      <c r="AC1002" s="9"/>
      <c r="AD1002" s="9"/>
      <c r="AE1002" s="9"/>
      <c r="AF1002" s="9"/>
      <c r="AG1002" s="9"/>
      <c r="AH1002" s="9"/>
      <c r="AI1002" s="9"/>
      <c r="AJ1002" s="9"/>
      <c r="AK1002" s="9"/>
      <c r="AL1002" s="9"/>
      <c r="AM1002" s="9"/>
      <c r="AN1002" s="9"/>
      <c r="AO1002" s="9"/>
      <c r="AP1002" s="9"/>
      <c r="AQ1002" s="9"/>
      <c r="AR1002" s="9"/>
      <c r="AS1002" s="9"/>
      <c r="AT1002" s="9"/>
      <c r="AU1002" s="9"/>
      <c r="AV1002" s="9"/>
      <c r="AW1002" s="9"/>
      <c r="AX1002" s="9"/>
      <c r="AY1002" s="9"/>
      <c r="AZ1002" s="9"/>
      <c r="BA1002" s="9"/>
      <c r="BB1002" s="9"/>
      <c r="BC1002" s="9"/>
      <c r="BD1002" s="9"/>
      <c r="BE1002" s="9"/>
    </row>
    <row r="1003">
      <c r="A1003" s="9"/>
      <c r="B1003" s="9"/>
      <c r="C1003" s="9"/>
      <c r="D1003" s="9"/>
      <c r="E1003" s="9"/>
      <c r="F1003" s="9"/>
      <c r="G1003" s="9"/>
      <c r="H1003" s="9"/>
      <c r="I1003" s="9"/>
      <c r="J1003" s="9"/>
      <c r="K1003" s="232"/>
      <c r="L1003" s="9"/>
      <c r="M1003" s="9"/>
      <c r="N1003" s="9"/>
      <c r="O1003" s="9"/>
      <c r="P1003" s="9"/>
      <c r="Q1003" s="9"/>
      <c r="R1003" s="9"/>
      <c r="S1003" s="232"/>
      <c r="T1003" s="9"/>
      <c r="U1003" s="9"/>
      <c r="V1003" s="9"/>
      <c r="W1003" s="9"/>
      <c r="X1003" s="9"/>
      <c r="Y1003" s="9"/>
      <c r="Z1003" s="9"/>
      <c r="AA1003" s="9"/>
      <c r="AB1003" s="9"/>
      <c r="AC1003" s="9"/>
      <c r="AD1003" s="9"/>
      <c r="AE1003" s="9"/>
      <c r="AF1003" s="9"/>
      <c r="AG1003" s="9"/>
      <c r="AH1003" s="9"/>
      <c r="AI1003" s="9"/>
      <c r="AJ1003" s="9"/>
      <c r="AK1003" s="9"/>
      <c r="AL1003" s="9"/>
      <c r="AM1003" s="9"/>
      <c r="AN1003" s="9"/>
      <c r="AO1003" s="9"/>
      <c r="AP1003" s="9"/>
      <c r="AQ1003" s="9"/>
      <c r="AR1003" s="9"/>
      <c r="AS1003" s="9"/>
      <c r="AT1003" s="9"/>
      <c r="AU1003" s="9"/>
      <c r="AV1003" s="9"/>
      <c r="AW1003" s="9"/>
      <c r="AX1003" s="9"/>
      <c r="AY1003" s="9"/>
      <c r="AZ1003" s="9"/>
      <c r="BA1003" s="9"/>
      <c r="BB1003" s="9"/>
      <c r="BC1003" s="9"/>
      <c r="BD1003" s="9"/>
      <c r="BE1003" s="9"/>
    </row>
    <row r="1004">
      <c r="A1004" s="9"/>
      <c r="B1004" s="9"/>
      <c r="C1004" s="9"/>
      <c r="D1004" s="9"/>
      <c r="E1004" s="9"/>
      <c r="F1004" s="9"/>
      <c r="G1004" s="9"/>
      <c r="H1004" s="9"/>
      <c r="I1004" s="9"/>
      <c r="J1004" s="9"/>
      <c r="K1004" s="232"/>
      <c r="L1004" s="9"/>
      <c r="M1004" s="9"/>
      <c r="N1004" s="9"/>
      <c r="O1004" s="9"/>
      <c r="P1004" s="9"/>
      <c r="Q1004" s="9"/>
      <c r="R1004" s="9"/>
      <c r="S1004" s="232"/>
      <c r="T1004" s="9"/>
      <c r="U1004" s="9"/>
      <c r="V1004" s="9"/>
      <c r="W1004" s="9"/>
      <c r="X1004" s="9"/>
      <c r="Y1004" s="9"/>
      <c r="Z1004" s="9"/>
      <c r="AA1004" s="9"/>
      <c r="AB1004" s="9"/>
      <c r="AC1004" s="9"/>
      <c r="AD1004" s="9"/>
      <c r="AE1004" s="9"/>
      <c r="AF1004" s="9"/>
      <c r="AG1004" s="9"/>
      <c r="AH1004" s="9"/>
      <c r="AI1004" s="9"/>
      <c r="AJ1004" s="9"/>
      <c r="AK1004" s="9"/>
      <c r="AL1004" s="9"/>
      <c r="AM1004" s="9"/>
      <c r="AN1004" s="9"/>
      <c r="AO1004" s="9"/>
      <c r="AP1004" s="9"/>
      <c r="AQ1004" s="9"/>
      <c r="AR1004" s="9"/>
      <c r="AS1004" s="9"/>
      <c r="AT1004" s="9"/>
      <c r="AU1004" s="9"/>
      <c r="AV1004" s="9"/>
      <c r="AW1004" s="9"/>
      <c r="AX1004" s="9"/>
      <c r="AY1004" s="9"/>
      <c r="AZ1004" s="9"/>
      <c r="BA1004" s="9"/>
      <c r="BB1004" s="9"/>
      <c r="BC1004" s="9"/>
      <c r="BD1004" s="9"/>
      <c r="BE1004" s="9"/>
    </row>
    <row r="1005">
      <c r="A1005" s="9"/>
      <c r="B1005" s="9"/>
      <c r="C1005" s="9"/>
      <c r="D1005" s="9"/>
      <c r="E1005" s="9"/>
      <c r="F1005" s="9"/>
      <c r="G1005" s="9"/>
      <c r="H1005" s="9"/>
      <c r="I1005" s="9"/>
      <c r="J1005" s="9"/>
      <c r="K1005" s="232"/>
      <c r="L1005" s="9"/>
      <c r="M1005" s="9"/>
      <c r="N1005" s="9"/>
      <c r="O1005" s="9"/>
      <c r="P1005" s="9"/>
      <c r="Q1005" s="9"/>
      <c r="R1005" s="9"/>
      <c r="S1005" s="232"/>
      <c r="T1005" s="9"/>
      <c r="U1005" s="9"/>
      <c r="V1005" s="9"/>
      <c r="W1005" s="9"/>
      <c r="X1005" s="9"/>
      <c r="Y1005" s="9"/>
      <c r="Z1005" s="9"/>
      <c r="AA1005" s="9"/>
      <c r="AB1005" s="9"/>
      <c r="AC1005" s="9"/>
      <c r="AD1005" s="9"/>
      <c r="AE1005" s="9"/>
      <c r="AF1005" s="9"/>
      <c r="AG1005" s="9"/>
      <c r="AH1005" s="9"/>
      <c r="AI1005" s="9"/>
      <c r="AJ1005" s="9"/>
      <c r="AK1005" s="9"/>
      <c r="AL1005" s="9"/>
      <c r="AM1005" s="9"/>
      <c r="AN1005" s="9"/>
      <c r="AO1005" s="9"/>
      <c r="AP1005" s="9"/>
      <c r="AQ1005" s="9"/>
      <c r="AR1005" s="9"/>
      <c r="AS1005" s="9"/>
      <c r="AT1005" s="9"/>
      <c r="AU1005" s="9"/>
      <c r="AV1005" s="9"/>
      <c r="AW1005" s="9"/>
      <c r="AX1005" s="9"/>
      <c r="AY1005" s="9"/>
      <c r="AZ1005" s="9"/>
      <c r="BA1005" s="9"/>
      <c r="BB1005" s="9"/>
      <c r="BC1005" s="9"/>
      <c r="BD1005" s="9"/>
      <c r="BE1005" s="9"/>
    </row>
    <row r="1006">
      <c r="A1006" s="9"/>
      <c r="B1006" s="9"/>
      <c r="C1006" s="9"/>
      <c r="D1006" s="9"/>
      <c r="E1006" s="9"/>
      <c r="F1006" s="9"/>
      <c r="G1006" s="9"/>
      <c r="H1006" s="9"/>
      <c r="I1006" s="9"/>
      <c r="J1006" s="9"/>
      <c r="K1006" s="232"/>
      <c r="L1006" s="9"/>
      <c r="M1006" s="9"/>
      <c r="N1006" s="9"/>
      <c r="O1006" s="9"/>
      <c r="P1006" s="9"/>
      <c r="Q1006" s="9"/>
      <c r="R1006" s="9"/>
      <c r="S1006" s="232"/>
      <c r="T1006" s="9"/>
      <c r="U1006" s="9"/>
      <c r="V1006" s="9"/>
      <c r="W1006" s="9"/>
      <c r="X1006" s="9"/>
      <c r="Y1006" s="9"/>
      <c r="Z1006" s="9"/>
      <c r="AA1006" s="9"/>
      <c r="AB1006" s="9"/>
      <c r="AC1006" s="9"/>
      <c r="AD1006" s="9"/>
      <c r="AE1006" s="9"/>
      <c r="AF1006" s="9"/>
      <c r="AG1006" s="9"/>
      <c r="AH1006" s="9"/>
      <c r="AI1006" s="9"/>
      <c r="AJ1006" s="9"/>
      <c r="AK1006" s="9"/>
      <c r="AL1006" s="9"/>
      <c r="AM1006" s="9"/>
      <c r="AN1006" s="9"/>
      <c r="AO1006" s="9"/>
      <c r="AP1006" s="9"/>
      <c r="AQ1006" s="9"/>
      <c r="AR1006" s="9"/>
      <c r="AS1006" s="9"/>
      <c r="AT1006" s="9"/>
      <c r="AU1006" s="9"/>
      <c r="AV1006" s="9"/>
      <c r="AW1006" s="9"/>
      <c r="AX1006" s="9"/>
      <c r="AY1006" s="9"/>
      <c r="AZ1006" s="9"/>
      <c r="BA1006" s="9"/>
      <c r="BB1006" s="9"/>
      <c r="BC1006" s="9"/>
      <c r="BD1006" s="9"/>
      <c r="BE1006" s="9"/>
    </row>
    <row r="1007">
      <c r="A1007" s="9"/>
      <c r="B1007" s="9"/>
      <c r="C1007" s="9"/>
      <c r="D1007" s="9"/>
      <c r="E1007" s="9"/>
      <c r="F1007" s="9"/>
      <c r="G1007" s="9"/>
      <c r="H1007" s="9"/>
      <c r="I1007" s="9"/>
      <c r="J1007" s="9"/>
      <c r="K1007" s="232"/>
      <c r="L1007" s="9"/>
      <c r="M1007" s="9"/>
      <c r="N1007" s="9"/>
      <c r="O1007" s="9"/>
      <c r="P1007" s="9"/>
      <c r="Q1007" s="9"/>
      <c r="R1007" s="9"/>
      <c r="S1007" s="232"/>
      <c r="T1007" s="9"/>
      <c r="U1007" s="9"/>
      <c r="V1007" s="9"/>
      <c r="W1007" s="9"/>
      <c r="X1007" s="9"/>
      <c r="Y1007" s="9"/>
      <c r="Z1007" s="9"/>
      <c r="AA1007" s="9"/>
      <c r="AB1007" s="9"/>
      <c r="AC1007" s="9"/>
      <c r="AD1007" s="9"/>
      <c r="AE1007" s="9"/>
      <c r="AF1007" s="9"/>
      <c r="AG1007" s="9"/>
      <c r="AH1007" s="9"/>
      <c r="AI1007" s="9"/>
      <c r="AJ1007" s="9"/>
      <c r="AK1007" s="9"/>
      <c r="AL1007" s="9"/>
      <c r="AM1007" s="9"/>
      <c r="AN1007" s="9"/>
      <c r="AO1007" s="9"/>
      <c r="AP1007" s="9"/>
      <c r="AQ1007" s="9"/>
      <c r="AR1007" s="9"/>
      <c r="AS1007" s="9"/>
      <c r="AT1007" s="9"/>
      <c r="AU1007" s="9"/>
      <c r="AV1007" s="9"/>
      <c r="AW1007" s="9"/>
      <c r="AX1007" s="9"/>
      <c r="AY1007" s="9"/>
      <c r="AZ1007" s="9"/>
      <c r="BA1007" s="9"/>
      <c r="BB1007" s="9"/>
      <c r="BC1007" s="9"/>
      <c r="BD1007" s="9"/>
      <c r="BE1007" s="9"/>
    </row>
    <row r="1008">
      <c r="A1008" s="9"/>
      <c r="B1008" s="9"/>
      <c r="C1008" s="9"/>
      <c r="D1008" s="9"/>
      <c r="E1008" s="9"/>
      <c r="F1008" s="9"/>
      <c r="G1008" s="9"/>
      <c r="H1008" s="9"/>
      <c r="I1008" s="9"/>
      <c r="J1008" s="9"/>
      <c r="K1008" s="232"/>
      <c r="L1008" s="9"/>
      <c r="M1008" s="9"/>
      <c r="N1008" s="9"/>
      <c r="O1008" s="9"/>
      <c r="P1008" s="9"/>
      <c r="Q1008" s="9"/>
      <c r="R1008" s="9"/>
      <c r="S1008" s="232"/>
      <c r="T1008" s="9"/>
      <c r="U1008" s="9"/>
      <c r="V1008" s="9"/>
      <c r="W1008" s="9"/>
      <c r="X1008" s="9"/>
      <c r="Y1008" s="9"/>
      <c r="Z1008" s="9"/>
      <c r="AA1008" s="9"/>
      <c r="AB1008" s="9"/>
      <c r="AC1008" s="9"/>
      <c r="AD1008" s="9"/>
      <c r="AE1008" s="9"/>
      <c r="AF1008" s="9"/>
      <c r="AG1008" s="9"/>
      <c r="AH1008" s="9"/>
      <c r="AI1008" s="9"/>
      <c r="AJ1008" s="9"/>
      <c r="AK1008" s="9"/>
      <c r="AL1008" s="9"/>
      <c r="AM1008" s="9"/>
      <c r="AN1008" s="9"/>
      <c r="AO1008" s="9"/>
      <c r="AP1008" s="9"/>
      <c r="AQ1008" s="9"/>
      <c r="AR1008" s="9"/>
      <c r="AS1008" s="9"/>
      <c r="AT1008" s="9"/>
      <c r="AU1008" s="9"/>
      <c r="AV1008" s="9"/>
      <c r="AW1008" s="9"/>
      <c r="AX1008" s="9"/>
      <c r="AY1008" s="9"/>
      <c r="AZ1008" s="9"/>
      <c r="BA1008" s="9"/>
      <c r="BB1008" s="9"/>
      <c r="BC1008" s="9"/>
      <c r="BD1008" s="9"/>
      <c r="BE1008" s="9"/>
    </row>
    <row r="1009">
      <c r="A1009" s="9"/>
      <c r="B1009" s="9"/>
      <c r="C1009" s="9"/>
      <c r="D1009" s="9"/>
      <c r="E1009" s="9"/>
      <c r="F1009" s="9"/>
      <c r="G1009" s="9"/>
      <c r="H1009" s="9"/>
      <c r="I1009" s="9"/>
      <c r="J1009" s="9"/>
      <c r="K1009" s="232"/>
      <c r="L1009" s="9"/>
      <c r="M1009" s="9"/>
      <c r="N1009" s="9"/>
      <c r="O1009" s="9"/>
      <c r="P1009" s="9"/>
      <c r="Q1009" s="9"/>
      <c r="R1009" s="9"/>
      <c r="S1009" s="232"/>
      <c r="T1009" s="9"/>
      <c r="U1009" s="9"/>
      <c r="V1009" s="9"/>
      <c r="W1009" s="9"/>
      <c r="X1009" s="9"/>
      <c r="Y1009" s="9"/>
      <c r="Z1009" s="9"/>
      <c r="AA1009" s="9"/>
      <c r="AB1009" s="9"/>
      <c r="AC1009" s="9"/>
      <c r="AD1009" s="9"/>
      <c r="AE1009" s="9"/>
      <c r="AF1009" s="9"/>
      <c r="AG1009" s="9"/>
      <c r="AH1009" s="9"/>
      <c r="AI1009" s="9"/>
      <c r="AJ1009" s="9"/>
      <c r="AK1009" s="9"/>
      <c r="AL1009" s="9"/>
      <c r="AM1009" s="9"/>
      <c r="AN1009" s="9"/>
      <c r="AO1009" s="9"/>
      <c r="AP1009" s="9"/>
      <c r="AQ1009" s="9"/>
      <c r="AR1009" s="9"/>
      <c r="AS1009" s="9"/>
      <c r="AT1009" s="9"/>
      <c r="AU1009" s="9"/>
      <c r="AV1009" s="9"/>
      <c r="AW1009" s="9"/>
      <c r="AX1009" s="9"/>
      <c r="AY1009" s="9"/>
      <c r="AZ1009" s="9"/>
      <c r="BA1009" s="9"/>
      <c r="BB1009" s="9"/>
      <c r="BC1009" s="9"/>
      <c r="BD1009" s="9"/>
      <c r="BE1009" s="9"/>
    </row>
    <row r="1010">
      <c r="A1010" s="9"/>
      <c r="B1010" s="9"/>
      <c r="C1010" s="9"/>
      <c r="D1010" s="9"/>
      <c r="E1010" s="9"/>
      <c r="F1010" s="9"/>
      <c r="G1010" s="9"/>
      <c r="H1010" s="9"/>
      <c r="I1010" s="9"/>
      <c r="J1010" s="9"/>
      <c r="K1010" s="232"/>
      <c r="L1010" s="9"/>
      <c r="M1010" s="9"/>
      <c r="N1010" s="9"/>
      <c r="O1010" s="9"/>
      <c r="P1010" s="9"/>
      <c r="Q1010" s="9"/>
      <c r="R1010" s="9"/>
      <c r="S1010" s="232"/>
      <c r="T1010" s="9"/>
      <c r="U1010" s="9"/>
      <c r="V1010" s="9"/>
      <c r="W1010" s="9"/>
      <c r="X1010" s="9"/>
      <c r="Y1010" s="9"/>
      <c r="Z1010" s="9"/>
      <c r="AA1010" s="9"/>
      <c r="AB1010" s="9"/>
      <c r="AC1010" s="9"/>
      <c r="AD1010" s="9"/>
      <c r="AE1010" s="9"/>
      <c r="AF1010" s="9"/>
      <c r="AG1010" s="9"/>
      <c r="AH1010" s="9"/>
      <c r="AI1010" s="9"/>
      <c r="AJ1010" s="9"/>
      <c r="AK1010" s="9"/>
      <c r="AL1010" s="9"/>
      <c r="AM1010" s="9"/>
      <c r="AN1010" s="9"/>
      <c r="AO1010" s="9"/>
      <c r="AP1010" s="9"/>
      <c r="AQ1010" s="9"/>
      <c r="AR1010" s="9"/>
      <c r="AS1010" s="9"/>
      <c r="AT1010" s="9"/>
      <c r="AU1010" s="9"/>
      <c r="AV1010" s="9"/>
      <c r="AW1010" s="9"/>
      <c r="AX1010" s="9"/>
      <c r="AY1010" s="9"/>
      <c r="AZ1010" s="9"/>
      <c r="BA1010" s="9"/>
      <c r="BB1010" s="9"/>
      <c r="BC1010" s="9"/>
      <c r="BD1010" s="9"/>
      <c r="BE1010" s="9"/>
    </row>
    <row r="1011">
      <c r="A1011" s="9"/>
      <c r="B1011" s="9"/>
      <c r="C1011" s="9"/>
      <c r="D1011" s="9"/>
      <c r="E1011" s="9"/>
      <c r="F1011" s="9"/>
      <c r="G1011" s="9"/>
      <c r="H1011" s="9"/>
      <c r="I1011" s="9"/>
      <c r="J1011" s="9"/>
      <c r="K1011" s="232"/>
      <c r="L1011" s="9"/>
      <c r="M1011" s="9"/>
      <c r="N1011" s="9"/>
      <c r="O1011" s="9"/>
      <c r="P1011" s="9"/>
      <c r="Q1011" s="9"/>
      <c r="R1011" s="9"/>
      <c r="S1011" s="232"/>
      <c r="T1011" s="9"/>
      <c r="U1011" s="9"/>
      <c r="V1011" s="9"/>
      <c r="W1011" s="9"/>
      <c r="X1011" s="9"/>
      <c r="Y1011" s="9"/>
      <c r="Z1011" s="9"/>
      <c r="AA1011" s="9"/>
      <c r="AB1011" s="9"/>
      <c r="AC1011" s="9"/>
      <c r="AD1011" s="9"/>
      <c r="AE1011" s="9"/>
      <c r="AF1011" s="9"/>
      <c r="AG1011" s="9"/>
      <c r="AH1011" s="9"/>
      <c r="AI1011" s="9"/>
      <c r="AJ1011" s="9"/>
      <c r="AK1011" s="9"/>
      <c r="AL1011" s="9"/>
      <c r="AM1011" s="9"/>
      <c r="AN1011" s="9"/>
      <c r="AO1011" s="9"/>
      <c r="AP1011" s="9"/>
      <c r="AQ1011" s="9"/>
      <c r="AR1011" s="9"/>
      <c r="AS1011" s="9"/>
      <c r="AT1011" s="9"/>
      <c r="AU1011" s="9"/>
      <c r="AV1011" s="9"/>
      <c r="AW1011" s="9"/>
      <c r="AX1011" s="9"/>
      <c r="AY1011" s="9"/>
      <c r="AZ1011" s="9"/>
      <c r="BA1011" s="9"/>
      <c r="BB1011" s="9"/>
      <c r="BC1011" s="9"/>
      <c r="BD1011" s="9"/>
      <c r="BE1011" s="9"/>
    </row>
    <row r="1012">
      <c r="A1012" s="9"/>
      <c r="B1012" s="9"/>
      <c r="C1012" s="9"/>
      <c r="D1012" s="9"/>
      <c r="E1012" s="9"/>
      <c r="F1012" s="9"/>
      <c r="G1012" s="9"/>
      <c r="H1012" s="9"/>
      <c r="I1012" s="9"/>
      <c r="J1012" s="9"/>
      <c r="K1012" s="232"/>
      <c r="L1012" s="9"/>
      <c r="M1012" s="9"/>
      <c r="N1012" s="9"/>
      <c r="O1012" s="9"/>
      <c r="P1012" s="9"/>
      <c r="Q1012" s="9"/>
      <c r="R1012" s="9"/>
      <c r="S1012" s="232"/>
      <c r="T1012" s="9"/>
      <c r="U1012" s="9"/>
      <c r="V1012" s="9"/>
      <c r="W1012" s="9"/>
      <c r="X1012" s="9"/>
      <c r="Y1012" s="9"/>
      <c r="Z1012" s="9"/>
      <c r="AA1012" s="9"/>
      <c r="AB1012" s="9"/>
      <c r="AC1012" s="9"/>
      <c r="AD1012" s="9"/>
      <c r="AE1012" s="9"/>
      <c r="AF1012" s="9"/>
      <c r="AG1012" s="9"/>
      <c r="AH1012" s="9"/>
      <c r="AI1012" s="9"/>
      <c r="AJ1012" s="9"/>
      <c r="AK1012" s="9"/>
      <c r="AL1012" s="9"/>
      <c r="AM1012" s="9"/>
      <c r="AN1012" s="9"/>
      <c r="AO1012" s="9"/>
      <c r="AP1012" s="9"/>
      <c r="AQ1012" s="9"/>
      <c r="AR1012" s="9"/>
      <c r="AS1012" s="9"/>
      <c r="AT1012" s="9"/>
      <c r="AU1012" s="9"/>
      <c r="AV1012" s="9"/>
      <c r="AW1012" s="9"/>
      <c r="AX1012" s="9"/>
      <c r="AY1012" s="9"/>
      <c r="AZ1012" s="9"/>
      <c r="BA1012" s="9"/>
      <c r="BB1012" s="9"/>
      <c r="BC1012" s="9"/>
      <c r="BD1012" s="9"/>
      <c r="BE1012" s="9"/>
    </row>
    <row r="1013">
      <c r="A1013" s="9"/>
      <c r="B1013" s="9"/>
      <c r="C1013" s="9"/>
      <c r="D1013" s="9"/>
      <c r="E1013" s="9"/>
      <c r="F1013" s="9"/>
      <c r="G1013" s="9"/>
      <c r="H1013" s="9"/>
      <c r="I1013" s="9"/>
      <c r="J1013" s="9"/>
      <c r="K1013" s="232"/>
      <c r="L1013" s="9"/>
      <c r="M1013" s="9"/>
      <c r="N1013" s="9"/>
      <c r="O1013" s="9"/>
      <c r="P1013" s="9"/>
      <c r="Q1013" s="9"/>
      <c r="R1013" s="9"/>
      <c r="S1013" s="232"/>
      <c r="T1013" s="9"/>
      <c r="U1013" s="9"/>
      <c r="V1013" s="9"/>
      <c r="W1013" s="9"/>
      <c r="X1013" s="9"/>
      <c r="Y1013" s="9"/>
      <c r="Z1013" s="9"/>
      <c r="AA1013" s="9"/>
      <c r="AB1013" s="9"/>
      <c r="AC1013" s="9"/>
      <c r="AD1013" s="9"/>
      <c r="AE1013" s="9"/>
      <c r="AF1013" s="9"/>
      <c r="AG1013" s="9"/>
      <c r="AH1013" s="9"/>
      <c r="AI1013" s="9"/>
      <c r="AJ1013" s="9"/>
      <c r="AK1013" s="9"/>
      <c r="AL1013" s="9"/>
      <c r="AM1013" s="9"/>
      <c r="AN1013" s="9"/>
      <c r="AO1013" s="9"/>
      <c r="AP1013" s="9"/>
      <c r="AQ1013" s="9"/>
      <c r="AR1013" s="9"/>
      <c r="AS1013" s="9"/>
      <c r="AT1013" s="9"/>
      <c r="AU1013" s="9"/>
      <c r="AV1013" s="9"/>
      <c r="AW1013" s="9"/>
      <c r="AX1013" s="9"/>
      <c r="AY1013" s="9"/>
      <c r="AZ1013" s="9"/>
      <c r="BA1013" s="9"/>
      <c r="BB1013" s="9"/>
      <c r="BC1013" s="9"/>
      <c r="BD1013" s="9"/>
      <c r="BE1013" s="9"/>
    </row>
    <row r="1014">
      <c r="A1014" s="9"/>
      <c r="B1014" s="9"/>
      <c r="C1014" s="9"/>
      <c r="D1014" s="9"/>
      <c r="E1014" s="9"/>
      <c r="F1014" s="9"/>
      <c r="G1014" s="9"/>
      <c r="H1014" s="9"/>
      <c r="I1014" s="9"/>
      <c r="J1014" s="9"/>
      <c r="K1014" s="232"/>
      <c r="L1014" s="9"/>
      <c r="M1014" s="9"/>
      <c r="N1014" s="9"/>
      <c r="O1014" s="9"/>
      <c r="P1014" s="9"/>
      <c r="Q1014" s="9"/>
      <c r="R1014" s="9"/>
      <c r="S1014" s="232"/>
      <c r="T1014" s="9"/>
      <c r="U1014" s="9"/>
      <c r="V1014" s="9"/>
      <c r="W1014" s="9"/>
      <c r="X1014" s="9"/>
      <c r="Y1014" s="9"/>
      <c r="Z1014" s="9"/>
      <c r="AA1014" s="9"/>
      <c r="AB1014" s="9"/>
      <c r="AC1014" s="9"/>
      <c r="AD1014" s="9"/>
      <c r="AE1014" s="9"/>
      <c r="AF1014" s="9"/>
      <c r="AG1014" s="9"/>
      <c r="AH1014" s="9"/>
      <c r="AI1014" s="9"/>
      <c r="AJ1014" s="9"/>
      <c r="AK1014" s="9"/>
      <c r="AL1014" s="9"/>
      <c r="AM1014" s="9"/>
      <c r="AN1014" s="9"/>
      <c r="AO1014" s="9"/>
      <c r="AP1014" s="9"/>
      <c r="AQ1014" s="9"/>
      <c r="AR1014" s="9"/>
      <c r="AS1014" s="9"/>
      <c r="AT1014" s="9"/>
      <c r="AU1014" s="9"/>
      <c r="AV1014" s="9"/>
      <c r="AW1014" s="9"/>
      <c r="AX1014" s="9"/>
      <c r="AY1014" s="9"/>
      <c r="AZ1014" s="9"/>
      <c r="BA1014" s="9"/>
      <c r="BB1014" s="9"/>
      <c r="BC1014" s="9"/>
      <c r="BD1014" s="9"/>
      <c r="BE1014" s="9"/>
    </row>
    <row r="1015">
      <c r="A1015" s="9"/>
      <c r="B1015" s="9"/>
      <c r="C1015" s="9"/>
      <c r="D1015" s="9"/>
      <c r="E1015" s="9"/>
      <c r="F1015" s="9"/>
      <c r="G1015" s="9"/>
      <c r="H1015" s="9"/>
      <c r="I1015" s="9"/>
      <c r="J1015" s="9"/>
      <c r="K1015" s="232"/>
      <c r="L1015" s="9"/>
      <c r="M1015" s="9"/>
      <c r="N1015" s="9"/>
      <c r="O1015" s="9"/>
      <c r="P1015" s="9"/>
      <c r="Q1015" s="9"/>
      <c r="R1015" s="9"/>
      <c r="S1015" s="232"/>
      <c r="T1015" s="9"/>
      <c r="U1015" s="9"/>
      <c r="V1015" s="9"/>
      <c r="W1015" s="9"/>
      <c r="X1015" s="9"/>
      <c r="Y1015" s="9"/>
      <c r="Z1015" s="9"/>
      <c r="AA1015" s="9"/>
      <c r="AB1015" s="9"/>
      <c r="AC1015" s="9"/>
      <c r="AD1015" s="9"/>
      <c r="AE1015" s="9"/>
      <c r="AF1015" s="9"/>
      <c r="AG1015" s="9"/>
      <c r="AH1015" s="9"/>
      <c r="AI1015" s="9"/>
      <c r="AJ1015" s="9"/>
      <c r="AK1015" s="9"/>
      <c r="AL1015" s="9"/>
      <c r="AM1015" s="9"/>
      <c r="AN1015" s="9"/>
      <c r="AO1015" s="9"/>
      <c r="AP1015" s="9"/>
      <c r="AQ1015" s="9"/>
      <c r="AR1015" s="9"/>
      <c r="AS1015" s="9"/>
      <c r="AT1015" s="9"/>
      <c r="AU1015" s="9"/>
      <c r="AV1015" s="9"/>
      <c r="AW1015" s="9"/>
      <c r="AX1015" s="9"/>
      <c r="AY1015" s="9"/>
      <c r="AZ1015" s="9"/>
      <c r="BA1015" s="9"/>
      <c r="BB1015" s="9"/>
      <c r="BC1015" s="9"/>
      <c r="BD1015" s="9"/>
      <c r="BE1015" s="9"/>
    </row>
    <row r="1016">
      <c r="A1016" s="9"/>
      <c r="B1016" s="9"/>
      <c r="C1016" s="9"/>
      <c r="D1016" s="9"/>
      <c r="E1016" s="9"/>
      <c r="F1016" s="9"/>
      <c r="G1016" s="9"/>
      <c r="H1016" s="9"/>
      <c r="I1016" s="9"/>
      <c r="J1016" s="9"/>
      <c r="K1016" s="232"/>
      <c r="L1016" s="9"/>
      <c r="M1016" s="9"/>
      <c r="N1016" s="9"/>
      <c r="O1016" s="9"/>
      <c r="P1016" s="9"/>
      <c r="Q1016" s="9"/>
      <c r="R1016" s="9"/>
      <c r="S1016" s="232"/>
      <c r="T1016" s="9"/>
      <c r="U1016" s="9"/>
      <c r="V1016" s="9"/>
      <c r="W1016" s="9"/>
      <c r="X1016" s="9"/>
      <c r="Y1016" s="9"/>
      <c r="Z1016" s="9"/>
      <c r="AA1016" s="9"/>
      <c r="AB1016" s="9"/>
      <c r="AC1016" s="9"/>
      <c r="AD1016" s="9"/>
      <c r="AE1016" s="9"/>
      <c r="AF1016" s="9"/>
      <c r="AG1016" s="9"/>
      <c r="AH1016" s="9"/>
      <c r="AI1016" s="9"/>
      <c r="AJ1016" s="9"/>
      <c r="AK1016" s="9"/>
      <c r="AL1016" s="9"/>
      <c r="AM1016" s="9"/>
      <c r="AN1016" s="9"/>
      <c r="AO1016" s="9"/>
      <c r="AP1016" s="9"/>
      <c r="AQ1016" s="9"/>
      <c r="AR1016" s="9"/>
      <c r="AS1016" s="9"/>
      <c r="AT1016" s="9"/>
      <c r="AU1016" s="9"/>
      <c r="AV1016" s="9"/>
      <c r="AW1016" s="9"/>
      <c r="AX1016" s="9"/>
      <c r="AY1016" s="9"/>
      <c r="AZ1016" s="9"/>
      <c r="BA1016" s="9"/>
      <c r="BB1016" s="9"/>
      <c r="BC1016" s="9"/>
      <c r="BD1016" s="9"/>
      <c r="BE1016" s="9"/>
    </row>
    <row r="1017">
      <c r="A1017" s="9"/>
      <c r="B1017" s="9"/>
      <c r="C1017" s="9"/>
      <c r="D1017" s="9"/>
      <c r="E1017" s="9"/>
      <c r="F1017" s="9"/>
      <c r="G1017" s="9"/>
      <c r="H1017" s="9"/>
      <c r="I1017" s="9"/>
      <c r="J1017" s="9"/>
      <c r="K1017" s="232"/>
      <c r="L1017" s="9"/>
      <c r="M1017" s="9"/>
      <c r="N1017" s="9"/>
      <c r="O1017" s="9"/>
      <c r="P1017" s="9"/>
      <c r="Q1017" s="9"/>
      <c r="R1017" s="9"/>
      <c r="S1017" s="232"/>
      <c r="T1017" s="9"/>
      <c r="U1017" s="9"/>
      <c r="V1017" s="9"/>
      <c r="W1017" s="9"/>
      <c r="X1017" s="9"/>
      <c r="Y1017" s="9"/>
      <c r="Z1017" s="9"/>
      <c r="AA1017" s="9"/>
      <c r="AB1017" s="9"/>
      <c r="AC1017" s="9"/>
      <c r="AD1017" s="9"/>
      <c r="AE1017" s="9"/>
      <c r="AF1017" s="9"/>
      <c r="AG1017" s="9"/>
      <c r="AH1017" s="9"/>
      <c r="AI1017" s="9"/>
      <c r="AJ1017" s="9"/>
      <c r="AK1017" s="9"/>
      <c r="AL1017" s="9"/>
      <c r="AM1017" s="9"/>
      <c r="AN1017" s="9"/>
      <c r="AO1017" s="9"/>
      <c r="AP1017" s="9"/>
      <c r="AQ1017" s="9"/>
      <c r="AR1017" s="9"/>
      <c r="AS1017" s="9"/>
      <c r="AT1017" s="9"/>
      <c r="AU1017" s="9"/>
      <c r="AV1017" s="9"/>
      <c r="AW1017" s="9"/>
      <c r="AX1017" s="9"/>
      <c r="AY1017" s="9"/>
      <c r="AZ1017" s="9"/>
      <c r="BA1017" s="9"/>
      <c r="BB1017" s="9"/>
      <c r="BC1017" s="9"/>
      <c r="BD1017" s="9"/>
      <c r="BE1017" s="9"/>
    </row>
    <row r="1018">
      <c r="A1018" s="9"/>
      <c r="B1018" s="9"/>
      <c r="C1018" s="9"/>
      <c r="D1018" s="9"/>
      <c r="E1018" s="9"/>
      <c r="F1018" s="9"/>
      <c r="G1018" s="9"/>
      <c r="H1018" s="9"/>
      <c r="I1018" s="9"/>
      <c r="J1018" s="9"/>
      <c r="K1018" s="232"/>
      <c r="L1018" s="9"/>
      <c r="M1018" s="9"/>
      <c r="N1018" s="9"/>
      <c r="O1018" s="9"/>
      <c r="P1018" s="9"/>
      <c r="Q1018" s="9"/>
      <c r="R1018" s="9"/>
      <c r="S1018" s="232"/>
      <c r="T1018" s="9"/>
      <c r="U1018" s="9"/>
      <c r="V1018" s="9"/>
      <c r="W1018" s="9"/>
      <c r="X1018" s="9"/>
      <c r="Y1018" s="9"/>
      <c r="Z1018" s="9"/>
      <c r="AA1018" s="9"/>
      <c r="AB1018" s="9"/>
      <c r="AC1018" s="9"/>
      <c r="AD1018" s="9"/>
      <c r="AE1018" s="9"/>
      <c r="AF1018" s="9"/>
      <c r="AG1018" s="9"/>
      <c r="AH1018" s="9"/>
      <c r="AI1018" s="9"/>
      <c r="AJ1018" s="9"/>
      <c r="AK1018" s="9"/>
      <c r="AL1018" s="9"/>
      <c r="AM1018" s="9"/>
      <c r="AN1018" s="9"/>
      <c r="AO1018" s="9"/>
      <c r="AP1018" s="9"/>
      <c r="AQ1018" s="9"/>
      <c r="AR1018" s="9"/>
      <c r="AS1018" s="9"/>
      <c r="AT1018" s="9"/>
      <c r="AU1018" s="9"/>
      <c r="AV1018" s="9"/>
      <c r="AW1018" s="9"/>
      <c r="AX1018" s="9"/>
      <c r="AY1018" s="9"/>
      <c r="AZ1018" s="9"/>
      <c r="BA1018" s="9"/>
      <c r="BB1018" s="9"/>
      <c r="BC1018" s="9"/>
      <c r="BD1018" s="9"/>
      <c r="BE1018" s="9"/>
    </row>
    <row r="1019">
      <c r="A1019" s="9"/>
      <c r="B1019" s="9"/>
      <c r="C1019" s="9"/>
      <c r="D1019" s="9"/>
      <c r="E1019" s="9"/>
      <c r="F1019" s="9"/>
      <c r="G1019" s="9"/>
      <c r="H1019" s="9"/>
      <c r="I1019" s="9"/>
      <c r="J1019" s="9"/>
      <c r="K1019" s="232"/>
      <c r="L1019" s="9"/>
      <c r="M1019" s="9"/>
      <c r="N1019" s="9"/>
      <c r="O1019" s="9"/>
      <c r="P1019" s="9"/>
      <c r="Q1019" s="9"/>
      <c r="R1019" s="9"/>
      <c r="S1019" s="232"/>
      <c r="T1019" s="9"/>
      <c r="U1019" s="9"/>
      <c r="V1019" s="9"/>
      <c r="W1019" s="9"/>
      <c r="X1019" s="9"/>
      <c r="Y1019" s="9"/>
      <c r="Z1019" s="9"/>
      <c r="AA1019" s="9"/>
      <c r="AB1019" s="9"/>
      <c r="AC1019" s="9"/>
      <c r="AD1019" s="9"/>
      <c r="AE1019" s="9"/>
      <c r="AF1019" s="9"/>
      <c r="AG1019" s="9"/>
      <c r="AH1019" s="9"/>
      <c r="AI1019" s="9"/>
      <c r="AJ1019" s="9"/>
      <c r="AK1019" s="9"/>
      <c r="AL1019" s="9"/>
      <c r="AM1019" s="9"/>
      <c r="AN1019" s="9"/>
      <c r="AO1019" s="9"/>
      <c r="AP1019" s="9"/>
      <c r="AQ1019" s="9"/>
      <c r="AR1019" s="9"/>
      <c r="AS1019" s="9"/>
      <c r="AT1019" s="9"/>
      <c r="AU1019" s="9"/>
      <c r="AV1019" s="9"/>
      <c r="AW1019" s="9"/>
      <c r="AX1019" s="9"/>
      <c r="AY1019" s="9"/>
      <c r="AZ1019" s="9"/>
      <c r="BA1019" s="9"/>
      <c r="BB1019" s="9"/>
      <c r="BC1019" s="9"/>
      <c r="BD1019" s="9"/>
      <c r="BE1019" s="9"/>
    </row>
    <row r="1020">
      <c r="A1020" s="9"/>
      <c r="B1020" s="9"/>
      <c r="C1020" s="9"/>
      <c r="D1020" s="9"/>
      <c r="E1020" s="9"/>
      <c r="F1020" s="9"/>
      <c r="G1020" s="9"/>
      <c r="H1020" s="9"/>
      <c r="I1020" s="9"/>
      <c r="J1020" s="9"/>
      <c r="K1020" s="232"/>
      <c r="L1020" s="9"/>
      <c r="M1020" s="9"/>
      <c r="N1020" s="9"/>
      <c r="O1020" s="9"/>
      <c r="P1020" s="9"/>
      <c r="Q1020" s="9"/>
      <c r="R1020" s="9"/>
      <c r="S1020" s="232"/>
      <c r="T1020" s="9"/>
      <c r="U1020" s="9"/>
      <c r="V1020" s="9"/>
      <c r="W1020" s="9"/>
      <c r="X1020" s="9"/>
      <c r="Y1020" s="9"/>
      <c r="Z1020" s="9"/>
      <c r="AA1020" s="9"/>
      <c r="AB1020" s="9"/>
      <c r="AC1020" s="9"/>
      <c r="AD1020" s="9"/>
      <c r="AE1020" s="9"/>
      <c r="AF1020" s="9"/>
      <c r="AG1020" s="9"/>
      <c r="AH1020" s="9"/>
      <c r="AI1020" s="9"/>
      <c r="AJ1020" s="9"/>
      <c r="AK1020" s="9"/>
      <c r="AL1020" s="9"/>
      <c r="AM1020" s="9"/>
      <c r="AN1020" s="9"/>
      <c r="AO1020" s="9"/>
      <c r="AP1020" s="9"/>
      <c r="AQ1020" s="9"/>
      <c r="AR1020" s="9"/>
      <c r="AS1020" s="9"/>
      <c r="AT1020" s="9"/>
      <c r="AU1020" s="9"/>
      <c r="AV1020" s="9"/>
      <c r="AW1020" s="9"/>
      <c r="AX1020" s="9"/>
      <c r="AY1020" s="9"/>
      <c r="AZ1020" s="9"/>
      <c r="BA1020" s="9"/>
      <c r="BB1020" s="9"/>
      <c r="BC1020" s="9"/>
      <c r="BD1020" s="9"/>
      <c r="BE1020" s="9"/>
    </row>
    <row r="1021">
      <c r="A1021" s="9"/>
      <c r="B1021" s="9"/>
      <c r="C1021" s="9"/>
      <c r="D1021" s="9"/>
      <c r="E1021" s="9"/>
      <c r="F1021" s="9"/>
      <c r="G1021" s="9"/>
      <c r="H1021" s="9"/>
      <c r="I1021" s="9"/>
      <c r="J1021" s="9"/>
      <c r="K1021" s="232"/>
      <c r="L1021" s="9"/>
      <c r="M1021" s="9"/>
      <c r="N1021" s="9"/>
      <c r="O1021" s="9"/>
      <c r="P1021" s="9"/>
      <c r="Q1021" s="9"/>
      <c r="R1021" s="9"/>
      <c r="S1021" s="232"/>
      <c r="T1021" s="9"/>
      <c r="U1021" s="9"/>
      <c r="V1021" s="9"/>
      <c r="W1021" s="9"/>
      <c r="X1021" s="9"/>
      <c r="Y1021" s="9"/>
      <c r="Z1021" s="9"/>
      <c r="AA1021" s="9"/>
      <c r="AB1021" s="9"/>
      <c r="AC1021" s="9"/>
      <c r="AD1021" s="9"/>
      <c r="AE1021" s="9"/>
      <c r="AF1021" s="9"/>
      <c r="AG1021" s="9"/>
      <c r="AH1021" s="9"/>
      <c r="AI1021" s="9"/>
      <c r="AJ1021" s="9"/>
      <c r="AK1021" s="9"/>
      <c r="AL1021" s="9"/>
      <c r="AM1021" s="9"/>
      <c r="AN1021" s="9"/>
      <c r="AO1021" s="9"/>
      <c r="AP1021" s="9"/>
      <c r="AQ1021" s="9"/>
      <c r="AR1021" s="9"/>
      <c r="AS1021" s="9"/>
      <c r="AT1021" s="9"/>
      <c r="AU1021" s="9"/>
      <c r="AV1021" s="9"/>
      <c r="AW1021" s="9"/>
      <c r="AX1021" s="9"/>
      <c r="AY1021" s="9"/>
      <c r="AZ1021" s="9"/>
      <c r="BA1021" s="9"/>
      <c r="BB1021" s="9"/>
      <c r="BC1021" s="9"/>
      <c r="BD1021" s="9"/>
      <c r="BE1021" s="9"/>
    </row>
    <row r="1022">
      <c r="A1022" s="9"/>
      <c r="B1022" s="9"/>
      <c r="C1022" s="9"/>
      <c r="D1022" s="9"/>
      <c r="E1022" s="9"/>
      <c r="F1022" s="9"/>
      <c r="G1022" s="9"/>
      <c r="H1022" s="9"/>
      <c r="I1022" s="9"/>
      <c r="J1022" s="9"/>
      <c r="K1022" s="232"/>
      <c r="L1022" s="9"/>
      <c r="M1022" s="9"/>
      <c r="N1022" s="9"/>
      <c r="O1022" s="9"/>
      <c r="P1022" s="9"/>
      <c r="Q1022" s="9"/>
      <c r="R1022" s="9"/>
      <c r="S1022" s="232"/>
      <c r="T1022" s="9"/>
      <c r="U1022" s="9"/>
      <c r="V1022" s="9"/>
      <c r="W1022" s="9"/>
      <c r="X1022" s="9"/>
      <c r="Y1022" s="9"/>
      <c r="Z1022" s="9"/>
      <c r="AA1022" s="9"/>
      <c r="AB1022" s="9"/>
      <c r="AC1022" s="9"/>
      <c r="AD1022" s="9"/>
      <c r="AE1022" s="9"/>
      <c r="AF1022" s="9"/>
      <c r="AG1022" s="9"/>
      <c r="AH1022" s="9"/>
      <c r="AI1022" s="9"/>
      <c r="AJ1022" s="9"/>
      <c r="AK1022" s="9"/>
      <c r="AL1022" s="9"/>
      <c r="AM1022" s="9"/>
      <c r="AN1022" s="9"/>
      <c r="AO1022" s="9"/>
      <c r="AP1022" s="9"/>
      <c r="AQ1022" s="9"/>
      <c r="AR1022" s="9"/>
      <c r="AS1022" s="9"/>
      <c r="AT1022" s="9"/>
      <c r="AU1022" s="9"/>
      <c r="AV1022" s="9"/>
      <c r="AW1022" s="9"/>
      <c r="AX1022" s="9"/>
      <c r="AY1022" s="9"/>
      <c r="AZ1022" s="9"/>
      <c r="BA1022" s="9"/>
      <c r="BB1022" s="9"/>
      <c r="BC1022" s="9"/>
      <c r="BD1022" s="9"/>
      <c r="BE1022" s="9"/>
    </row>
    <row r="1023">
      <c r="A1023" s="9"/>
      <c r="B1023" s="9"/>
      <c r="C1023" s="9"/>
      <c r="D1023" s="9"/>
      <c r="E1023" s="9"/>
      <c r="F1023" s="9"/>
      <c r="G1023" s="9"/>
      <c r="H1023" s="9"/>
      <c r="I1023" s="9"/>
      <c r="J1023" s="9"/>
      <c r="K1023" s="232"/>
      <c r="L1023" s="9"/>
      <c r="M1023" s="9"/>
      <c r="N1023" s="9"/>
      <c r="O1023" s="9"/>
      <c r="P1023" s="9"/>
      <c r="Q1023" s="9"/>
      <c r="R1023" s="9"/>
      <c r="S1023" s="232"/>
      <c r="T1023" s="9"/>
      <c r="U1023" s="9"/>
      <c r="V1023" s="9"/>
      <c r="W1023" s="9"/>
      <c r="X1023" s="9"/>
      <c r="Y1023" s="9"/>
      <c r="Z1023" s="9"/>
      <c r="AA1023" s="9"/>
      <c r="AB1023" s="9"/>
      <c r="AC1023" s="9"/>
      <c r="AD1023" s="9"/>
      <c r="AE1023" s="9"/>
      <c r="AF1023" s="9"/>
      <c r="AG1023" s="9"/>
      <c r="AH1023" s="9"/>
      <c r="AI1023" s="9"/>
      <c r="AJ1023" s="9"/>
      <c r="AK1023" s="9"/>
      <c r="AL1023" s="9"/>
      <c r="AM1023" s="9"/>
      <c r="AN1023" s="9"/>
      <c r="AO1023" s="9"/>
      <c r="AP1023" s="9"/>
      <c r="AQ1023" s="9"/>
      <c r="AR1023" s="9"/>
      <c r="AS1023" s="9"/>
      <c r="AT1023" s="9"/>
      <c r="AU1023" s="9"/>
      <c r="AV1023" s="9"/>
      <c r="AW1023" s="9"/>
      <c r="AX1023" s="9"/>
      <c r="AY1023" s="9"/>
      <c r="AZ1023" s="9"/>
      <c r="BA1023" s="9"/>
      <c r="BB1023" s="9"/>
      <c r="BC1023" s="9"/>
      <c r="BD1023" s="9"/>
      <c r="BE1023" s="9"/>
    </row>
    <row r="1024">
      <c r="A1024" s="9"/>
      <c r="B1024" s="9"/>
      <c r="C1024" s="9"/>
      <c r="D1024" s="9"/>
      <c r="E1024" s="9"/>
      <c r="F1024" s="9"/>
      <c r="G1024" s="9"/>
      <c r="H1024" s="9"/>
      <c r="I1024" s="9"/>
      <c r="J1024" s="9"/>
      <c r="K1024" s="232"/>
      <c r="L1024" s="9"/>
      <c r="M1024" s="9"/>
      <c r="N1024" s="9"/>
      <c r="O1024" s="9"/>
      <c r="P1024" s="9"/>
      <c r="Q1024" s="9"/>
      <c r="R1024" s="9"/>
      <c r="S1024" s="232"/>
      <c r="T1024" s="9"/>
      <c r="U1024" s="9"/>
      <c r="V1024" s="9"/>
      <c r="W1024" s="9"/>
      <c r="X1024" s="9"/>
      <c r="Y1024" s="9"/>
      <c r="Z1024" s="9"/>
      <c r="AA1024" s="9"/>
      <c r="AB1024" s="9"/>
      <c r="AC1024" s="9"/>
      <c r="AD1024" s="9"/>
      <c r="AE1024" s="9"/>
      <c r="AF1024" s="9"/>
      <c r="AG1024" s="9"/>
      <c r="AH1024" s="9"/>
      <c r="AI1024" s="9"/>
      <c r="AJ1024" s="9"/>
      <c r="AK1024" s="9"/>
      <c r="AL1024" s="9"/>
      <c r="AM1024" s="9"/>
      <c r="AN1024" s="9"/>
      <c r="AO1024" s="9"/>
      <c r="AP1024" s="9"/>
      <c r="AQ1024" s="9"/>
      <c r="AR1024" s="9"/>
      <c r="AS1024" s="9"/>
      <c r="AT1024" s="9"/>
      <c r="AU1024" s="9"/>
      <c r="AV1024" s="9"/>
      <c r="AW1024" s="9"/>
      <c r="AX1024" s="9"/>
      <c r="AY1024" s="9"/>
      <c r="AZ1024" s="9"/>
      <c r="BA1024" s="9"/>
      <c r="BB1024" s="9"/>
      <c r="BC1024" s="9"/>
      <c r="BD1024" s="9"/>
      <c r="BE1024" s="9"/>
    </row>
    <row r="1025">
      <c r="A1025" s="9"/>
      <c r="B1025" s="9"/>
      <c r="C1025" s="9"/>
      <c r="D1025" s="9"/>
      <c r="E1025" s="9"/>
      <c r="F1025" s="9"/>
      <c r="G1025" s="9"/>
      <c r="H1025" s="9"/>
      <c r="I1025" s="9"/>
      <c r="J1025" s="9"/>
      <c r="K1025" s="232"/>
      <c r="L1025" s="9"/>
      <c r="M1025" s="9"/>
      <c r="N1025" s="9"/>
      <c r="O1025" s="9"/>
      <c r="P1025" s="9"/>
      <c r="Q1025" s="9"/>
      <c r="R1025" s="9"/>
      <c r="S1025" s="232"/>
      <c r="T1025" s="9"/>
      <c r="U1025" s="9"/>
      <c r="V1025" s="9"/>
      <c r="W1025" s="9"/>
      <c r="X1025" s="9"/>
      <c r="Y1025" s="9"/>
      <c r="Z1025" s="9"/>
      <c r="AA1025" s="9"/>
      <c r="AB1025" s="9"/>
      <c r="AC1025" s="9"/>
      <c r="AD1025" s="9"/>
      <c r="AE1025" s="9"/>
      <c r="AF1025" s="9"/>
      <c r="AG1025" s="9"/>
      <c r="AH1025" s="9"/>
      <c r="AI1025" s="9"/>
      <c r="AJ1025" s="9"/>
      <c r="AK1025" s="9"/>
      <c r="AL1025" s="9"/>
      <c r="AM1025" s="9"/>
      <c r="AN1025" s="9"/>
      <c r="AO1025" s="9"/>
      <c r="AP1025" s="9"/>
      <c r="AQ1025" s="9"/>
      <c r="AR1025" s="9"/>
      <c r="AS1025" s="9"/>
      <c r="AT1025" s="9"/>
      <c r="AU1025" s="9"/>
      <c r="AV1025" s="9"/>
      <c r="AW1025" s="9"/>
      <c r="AX1025" s="9"/>
      <c r="AY1025" s="9"/>
      <c r="AZ1025" s="9"/>
      <c r="BA1025" s="9"/>
      <c r="BB1025" s="9"/>
      <c r="BC1025" s="9"/>
      <c r="BD1025" s="9"/>
      <c r="BE1025" s="9"/>
    </row>
    <row r="1026">
      <c r="A1026" s="9"/>
      <c r="B1026" s="9"/>
      <c r="C1026" s="9"/>
      <c r="D1026" s="9"/>
      <c r="E1026" s="9"/>
      <c r="F1026" s="9"/>
      <c r="G1026" s="9"/>
      <c r="H1026" s="9"/>
      <c r="I1026" s="9"/>
      <c r="J1026" s="9"/>
      <c r="K1026" s="232"/>
      <c r="L1026" s="9"/>
      <c r="M1026" s="9"/>
      <c r="N1026" s="9"/>
      <c r="O1026" s="9"/>
      <c r="P1026" s="9"/>
      <c r="Q1026" s="9"/>
      <c r="R1026" s="9"/>
      <c r="S1026" s="232"/>
      <c r="T1026" s="9"/>
      <c r="U1026" s="9"/>
      <c r="V1026" s="9"/>
      <c r="W1026" s="9"/>
      <c r="X1026" s="9"/>
      <c r="Y1026" s="9"/>
      <c r="AC1026" s="9"/>
      <c r="AD1026" s="9"/>
      <c r="AE1026" s="9"/>
      <c r="AF1026" s="9"/>
      <c r="AG1026" s="9"/>
      <c r="AH1026" s="9"/>
      <c r="AI1026" s="9"/>
      <c r="AJ1026" s="9"/>
      <c r="AK1026" s="9"/>
      <c r="AL1026" s="9"/>
      <c r="AM1026" s="9"/>
      <c r="AN1026" s="9"/>
      <c r="AO1026" s="9"/>
      <c r="AP1026" s="9"/>
      <c r="AQ1026" s="9"/>
      <c r="AR1026" s="9"/>
      <c r="AS1026" s="9"/>
      <c r="AT1026" s="9"/>
      <c r="AU1026" s="9"/>
      <c r="AV1026" s="9"/>
      <c r="AW1026" s="9"/>
      <c r="AX1026" s="9"/>
      <c r="AY1026" s="9"/>
      <c r="AZ1026" s="9"/>
      <c r="BA1026" s="9"/>
      <c r="BB1026" s="9"/>
      <c r="BC1026" s="9"/>
      <c r="BD1026" s="9"/>
      <c r="BE1026" s="9"/>
    </row>
    <row r="1027">
      <c r="A1027" s="9"/>
      <c r="B1027" s="9"/>
      <c r="C1027" s="9"/>
      <c r="D1027" s="9"/>
      <c r="E1027" s="9"/>
      <c r="F1027" s="9"/>
      <c r="G1027" s="9"/>
      <c r="H1027" s="9"/>
      <c r="I1027" s="9"/>
      <c r="J1027" s="9"/>
      <c r="K1027" s="232"/>
      <c r="L1027" s="9"/>
      <c r="M1027" s="9"/>
      <c r="N1027" s="9"/>
      <c r="O1027" s="9"/>
      <c r="P1027" s="9"/>
      <c r="Q1027" s="9"/>
      <c r="R1027" s="9"/>
      <c r="S1027" s="232"/>
      <c r="T1027" s="9"/>
      <c r="U1027" s="9"/>
      <c r="V1027" s="9"/>
      <c r="W1027" s="9"/>
      <c r="X1027" s="9"/>
      <c r="Y1027" s="9"/>
    </row>
    <row r="1028">
      <c r="A1028" s="9"/>
      <c r="B1028" s="9"/>
      <c r="C1028" s="9"/>
      <c r="D1028" s="9"/>
      <c r="E1028" s="9"/>
      <c r="F1028" s="9"/>
      <c r="G1028" s="9"/>
      <c r="H1028" s="9"/>
      <c r="I1028" s="9"/>
      <c r="J1028" s="9"/>
      <c r="K1028" s="232"/>
      <c r="L1028" s="9"/>
      <c r="M1028" s="9"/>
      <c r="N1028" s="9"/>
      <c r="O1028" s="9"/>
      <c r="P1028" s="9"/>
      <c r="Q1028" s="9"/>
      <c r="R1028" s="9"/>
      <c r="S1028" s="232"/>
      <c r="T1028" s="9"/>
      <c r="U1028" s="9"/>
      <c r="V1028" s="9"/>
      <c r="W1028" s="9"/>
      <c r="X1028" s="9"/>
      <c r="Y1028" s="9"/>
    </row>
    <row r="1029">
      <c r="A1029" s="9"/>
      <c r="B1029" s="9"/>
      <c r="C1029" s="9"/>
      <c r="D1029" s="9"/>
      <c r="E1029" s="9"/>
      <c r="F1029" s="9"/>
      <c r="G1029" s="9"/>
      <c r="H1029" s="9"/>
      <c r="I1029" s="9"/>
      <c r="J1029" s="9"/>
      <c r="K1029" s="232"/>
      <c r="L1029" s="9"/>
      <c r="M1029" s="9"/>
      <c r="N1029" s="9"/>
      <c r="O1029" s="9"/>
      <c r="P1029" s="9"/>
      <c r="Q1029" s="9"/>
      <c r="R1029" s="9"/>
      <c r="S1029" s="232"/>
      <c r="T1029" s="9"/>
      <c r="U1029" s="9"/>
      <c r="V1029" s="9"/>
      <c r="W1029" s="9"/>
      <c r="X1029" s="9"/>
      <c r="Y1029" s="9"/>
    </row>
    <row r="1030">
      <c r="A1030" s="9"/>
      <c r="B1030" s="9"/>
      <c r="C1030" s="9"/>
      <c r="D1030" s="9"/>
      <c r="E1030" s="9"/>
      <c r="F1030" s="9"/>
      <c r="G1030" s="9"/>
      <c r="H1030" s="9"/>
      <c r="I1030" s="9"/>
      <c r="J1030" s="9"/>
      <c r="K1030" s="232"/>
      <c r="L1030" s="9"/>
      <c r="M1030" s="9"/>
      <c r="N1030" s="9"/>
      <c r="O1030" s="9"/>
      <c r="P1030" s="9"/>
      <c r="Q1030" s="9"/>
      <c r="R1030" s="9"/>
      <c r="S1030" s="232"/>
      <c r="T1030" s="9"/>
      <c r="U1030" s="9"/>
      <c r="V1030" s="9"/>
      <c r="W1030" s="9"/>
      <c r="X1030" s="9"/>
      <c r="Y1030" s="9"/>
    </row>
    <row r="1031">
      <c r="A1031" s="9"/>
      <c r="B1031" s="9"/>
      <c r="C1031" s="9"/>
      <c r="D1031" s="9"/>
      <c r="E1031" s="9"/>
      <c r="F1031" s="9"/>
      <c r="G1031" s="9"/>
      <c r="H1031" s="9"/>
      <c r="I1031" s="9"/>
      <c r="J1031" s="9"/>
      <c r="K1031" s="232"/>
      <c r="L1031" s="9"/>
      <c r="M1031" s="9"/>
      <c r="N1031" s="9"/>
      <c r="O1031" s="9"/>
      <c r="P1031" s="9"/>
      <c r="Q1031" s="9"/>
      <c r="R1031" s="9"/>
      <c r="S1031" s="232"/>
      <c r="T1031" s="9"/>
      <c r="U1031" s="9"/>
      <c r="V1031" s="9"/>
      <c r="W1031" s="9"/>
      <c r="X1031" s="9"/>
      <c r="Y1031" s="9"/>
    </row>
    <row r="1032">
      <c r="A1032" s="9"/>
      <c r="B1032" s="9"/>
      <c r="C1032" s="9"/>
      <c r="D1032" s="9"/>
      <c r="E1032" s="9"/>
      <c r="F1032" s="9"/>
      <c r="G1032" s="9"/>
      <c r="H1032" s="9"/>
      <c r="I1032" s="9"/>
      <c r="J1032" s="9"/>
      <c r="K1032" s="232"/>
      <c r="L1032" s="9"/>
      <c r="M1032" s="9"/>
      <c r="N1032" s="9"/>
      <c r="O1032" s="9"/>
      <c r="P1032" s="9"/>
      <c r="Q1032" s="9"/>
      <c r="R1032" s="9"/>
      <c r="S1032" s="232"/>
      <c r="T1032" s="9"/>
      <c r="U1032" s="9"/>
      <c r="V1032" s="9"/>
      <c r="W1032" s="9"/>
      <c r="X1032" s="9"/>
      <c r="Y1032" s="9"/>
    </row>
    <row r="1033">
      <c r="A1033" s="9"/>
      <c r="B1033" s="9"/>
      <c r="C1033" s="9"/>
      <c r="D1033" s="9"/>
      <c r="E1033" s="9"/>
      <c r="F1033" s="9"/>
      <c r="G1033" s="9"/>
      <c r="H1033" s="9"/>
      <c r="I1033" s="9"/>
      <c r="J1033" s="9"/>
      <c r="K1033" s="232"/>
      <c r="L1033" s="9"/>
      <c r="M1033" s="9"/>
      <c r="N1033" s="9"/>
      <c r="O1033" s="9"/>
      <c r="P1033" s="9"/>
      <c r="Q1033" s="9"/>
      <c r="R1033" s="9"/>
      <c r="S1033" s="232"/>
      <c r="T1033" s="9"/>
      <c r="U1033" s="9"/>
      <c r="V1033" s="9"/>
      <c r="W1033" s="9"/>
      <c r="X1033" s="9"/>
      <c r="Y1033" s="9"/>
    </row>
    <row r="1034">
      <c r="A1034" s="9"/>
      <c r="B1034" s="9"/>
      <c r="C1034" s="9"/>
      <c r="D1034" s="9"/>
      <c r="E1034" s="9"/>
      <c r="F1034" s="9"/>
      <c r="G1034" s="9"/>
      <c r="H1034" s="9"/>
      <c r="I1034" s="9"/>
      <c r="J1034" s="9"/>
      <c r="K1034" s="232"/>
      <c r="L1034" s="9"/>
      <c r="M1034" s="9"/>
      <c r="N1034" s="9"/>
      <c r="O1034" s="9"/>
      <c r="P1034" s="9"/>
      <c r="Q1034" s="9"/>
      <c r="R1034" s="9"/>
      <c r="S1034" s="232"/>
      <c r="T1034" s="9"/>
      <c r="U1034" s="9"/>
      <c r="V1034" s="9"/>
      <c r="W1034" s="9"/>
      <c r="X1034" s="9"/>
      <c r="Y1034" s="9"/>
    </row>
    <row r="1035">
      <c r="A1035" s="9"/>
      <c r="B1035" s="9"/>
      <c r="C1035" s="9"/>
      <c r="D1035" s="9"/>
      <c r="E1035" s="9"/>
      <c r="F1035" s="9"/>
      <c r="G1035" s="9"/>
      <c r="H1035" s="9"/>
      <c r="I1035" s="9"/>
      <c r="J1035" s="9"/>
      <c r="K1035" s="232"/>
      <c r="L1035" s="9"/>
      <c r="M1035" s="9"/>
      <c r="N1035" s="9"/>
      <c r="O1035" s="9"/>
      <c r="P1035" s="9"/>
      <c r="Q1035" s="9"/>
      <c r="R1035" s="9"/>
      <c r="S1035" s="232"/>
      <c r="T1035" s="9"/>
      <c r="U1035" s="9"/>
      <c r="V1035" s="9"/>
      <c r="W1035" s="9"/>
      <c r="X1035" s="9"/>
      <c r="Y1035" s="9"/>
    </row>
    <row r="1036">
      <c r="A1036" s="9"/>
      <c r="B1036" s="9"/>
      <c r="C1036" s="9"/>
      <c r="D1036" s="9"/>
      <c r="E1036" s="9"/>
      <c r="F1036" s="9"/>
      <c r="G1036" s="9"/>
      <c r="H1036" s="9"/>
      <c r="I1036" s="9"/>
      <c r="J1036" s="9"/>
      <c r="K1036" s="232"/>
      <c r="L1036" s="9"/>
      <c r="M1036" s="9"/>
      <c r="N1036" s="9"/>
      <c r="O1036" s="9"/>
      <c r="P1036" s="9"/>
      <c r="Q1036" s="9"/>
      <c r="R1036" s="9"/>
      <c r="S1036" s="232"/>
      <c r="T1036" s="9"/>
      <c r="U1036" s="9"/>
      <c r="V1036" s="9"/>
      <c r="W1036" s="9"/>
      <c r="X1036" s="9"/>
      <c r="Y1036" s="9"/>
    </row>
    <row r="1037">
      <c r="A1037" s="9"/>
      <c r="B1037" s="9"/>
      <c r="C1037" s="9"/>
      <c r="D1037" s="9"/>
      <c r="E1037" s="9"/>
      <c r="F1037" s="9"/>
      <c r="G1037" s="9"/>
      <c r="H1037" s="9"/>
      <c r="I1037" s="9"/>
      <c r="J1037" s="9"/>
      <c r="K1037" s="232"/>
      <c r="L1037" s="9"/>
      <c r="M1037" s="9"/>
      <c r="N1037" s="9"/>
      <c r="O1037" s="9"/>
      <c r="P1037" s="9"/>
      <c r="Q1037" s="9"/>
      <c r="R1037" s="9"/>
      <c r="S1037" s="232"/>
      <c r="T1037" s="9"/>
      <c r="U1037" s="9"/>
      <c r="V1037" s="9"/>
      <c r="W1037" s="9"/>
      <c r="X1037" s="9"/>
      <c r="Y1037" s="9"/>
    </row>
    <row r="1038">
      <c r="A1038" s="9"/>
      <c r="B1038" s="9"/>
      <c r="C1038" s="9"/>
      <c r="D1038" s="9"/>
      <c r="E1038" s="9"/>
      <c r="F1038" s="9"/>
      <c r="G1038" s="9"/>
      <c r="H1038" s="9"/>
      <c r="I1038" s="9"/>
      <c r="J1038" s="9"/>
      <c r="K1038" s="232"/>
      <c r="L1038" s="9"/>
      <c r="M1038" s="9"/>
      <c r="N1038" s="9"/>
      <c r="O1038" s="9"/>
      <c r="P1038" s="9"/>
      <c r="Q1038" s="9"/>
      <c r="R1038" s="9"/>
      <c r="S1038" s="232"/>
      <c r="T1038" s="9"/>
      <c r="U1038" s="9"/>
      <c r="V1038" s="9"/>
      <c r="W1038" s="9"/>
      <c r="X1038" s="9"/>
      <c r="Y1038" s="9"/>
    </row>
    <row r="1039">
      <c r="A1039" s="9"/>
      <c r="B1039" s="9"/>
      <c r="C1039" s="9"/>
      <c r="D1039" s="9"/>
      <c r="E1039" s="9"/>
      <c r="F1039" s="9"/>
      <c r="G1039" s="9"/>
      <c r="H1039" s="9"/>
      <c r="I1039" s="9"/>
      <c r="J1039" s="9"/>
      <c r="K1039" s="232"/>
      <c r="L1039" s="9"/>
      <c r="M1039" s="9"/>
      <c r="N1039" s="9"/>
      <c r="O1039" s="9"/>
      <c r="P1039" s="9"/>
      <c r="Q1039" s="9"/>
      <c r="R1039" s="9"/>
      <c r="S1039" s="232"/>
      <c r="T1039" s="9"/>
      <c r="U1039" s="9"/>
      <c r="V1039" s="9"/>
      <c r="W1039" s="9"/>
      <c r="X1039" s="9"/>
      <c r="Y1039" s="9"/>
    </row>
    <row r="1040">
      <c r="A1040" s="9"/>
      <c r="B1040" s="9"/>
      <c r="C1040" s="9"/>
      <c r="D1040" s="9"/>
      <c r="E1040" s="9"/>
      <c r="F1040" s="9"/>
      <c r="G1040" s="9"/>
      <c r="H1040" s="9"/>
      <c r="I1040" s="9"/>
      <c r="J1040" s="9"/>
      <c r="K1040" s="232"/>
      <c r="L1040" s="9"/>
      <c r="M1040" s="9"/>
      <c r="N1040" s="9"/>
      <c r="O1040" s="9"/>
      <c r="P1040" s="9"/>
      <c r="Q1040" s="9"/>
      <c r="R1040" s="9"/>
      <c r="S1040" s="232"/>
      <c r="T1040" s="9"/>
      <c r="U1040" s="9"/>
      <c r="V1040" s="9"/>
      <c r="W1040" s="9"/>
      <c r="X1040" s="9"/>
      <c r="Y1040" s="9"/>
    </row>
    <row r="1041">
      <c r="A1041" s="9"/>
      <c r="B1041" s="9"/>
      <c r="C1041" s="9"/>
      <c r="D1041" s="9"/>
      <c r="E1041" s="9"/>
      <c r="F1041" s="9"/>
      <c r="G1041" s="9"/>
      <c r="H1041" s="9"/>
      <c r="I1041" s="9"/>
      <c r="J1041" s="9"/>
      <c r="K1041" s="232"/>
      <c r="L1041" s="9"/>
      <c r="M1041" s="9"/>
      <c r="N1041" s="9"/>
      <c r="O1041" s="9"/>
      <c r="P1041" s="9"/>
      <c r="Q1041" s="9"/>
      <c r="R1041" s="9"/>
      <c r="S1041" s="232"/>
      <c r="T1041" s="9"/>
      <c r="U1041" s="9"/>
      <c r="V1041" s="9"/>
      <c r="W1041" s="9"/>
      <c r="X1041" s="9"/>
      <c r="Y1041" s="9"/>
    </row>
    <row r="1042">
      <c r="A1042" s="9"/>
      <c r="B1042" s="9"/>
      <c r="C1042" s="9"/>
      <c r="D1042" s="9"/>
      <c r="E1042" s="9"/>
      <c r="F1042" s="9"/>
      <c r="G1042" s="9"/>
      <c r="H1042" s="9"/>
      <c r="I1042" s="9"/>
      <c r="J1042" s="9"/>
      <c r="K1042" s="232"/>
      <c r="L1042" s="9"/>
      <c r="M1042" s="9"/>
      <c r="N1042" s="9"/>
      <c r="O1042" s="9"/>
      <c r="P1042" s="9"/>
      <c r="Q1042" s="9"/>
      <c r="R1042" s="9"/>
      <c r="S1042" s="232"/>
      <c r="T1042" s="9"/>
      <c r="U1042" s="9"/>
      <c r="V1042" s="9"/>
      <c r="W1042" s="9"/>
      <c r="X1042" s="9"/>
      <c r="Y1042" s="9"/>
    </row>
    <row r="1043">
      <c r="A1043" s="9"/>
      <c r="B1043" s="9"/>
      <c r="C1043" s="9"/>
      <c r="D1043" s="9"/>
      <c r="E1043" s="9"/>
      <c r="F1043" s="9"/>
      <c r="G1043" s="9"/>
      <c r="H1043" s="9"/>
      <c r="I1043" s="9"/>
      <c r="J1043" s="9"/>
      <c r="K1043" s="232"/>
      <c r="L1043" s="9"/>
      <c r="M1043" s="9"/>
      <c r="N1043" s="9"/>
      <c r="O1043" s="9"/>
      <c r="P1043" s="9"/>
      <c r="Q1043" s="9"/>
      <c r="R1043" s="9"/>
      <c r="S1043" s="232"/>
      <c r="T1043" s="9"/>
      <c r="U1043" s="9"/>
      <c r="V1043" s="9"/>
      <c r="W1043" s="9"/>
      <c r="X1043" s="9"/>
      <c r="Y1043" s="9"/>
    </row>
    <row r="1044">
      <c r="A1044" s="9"/>
      <c r="B1044" s="9"/>
      <c r="C1044" s="9"/>
      <c r="D1044" s="9"/>
      <c r="E1044" s="9"/>
      <c r="F1044" s="9"/>
      <c r="G1044" s="9"/>
      <c r="H1044" s="9"/>
      <c r="I1044" s="9"/>
      <c r="J1044" s="9"/>
      <c r="K1044" s="232"/>
      <c r="L1044" s="9"/>
      <c r="M1044" s="9"/>
      <c r="N1044" s="9"/>
      <c r="O1044" s="9"/>
      <c r="P1044" s="9"/>
      <c r="Q1044" s="9"/>
      <c r="R1044" s="9"/>
      <c r="S1044" s="232"/>
      <c r="T1044" s="9"/>
      <c r="U1044" s="9"/>
      <c r="V1044" s="9"/>
      <c r="W1044" s="9"/>
      <c r="X1044" s="9"/>
      <c r="Y1044" s="9"/>
    </row>
    <row r="1045">
      <c r="A1045" s="9"/>
      <c r="B1045" s="9"/>
      <c r="C1045" s="9"/>
      <c r="D1045" s="9"/>
      <c r="E1045" s="9"/>
      <c r="F1045" s="9"/>
      <c r="G1045" s="9"/>
      <c r="H1045" s="9"/>
      <c r="I1045" s="9"/>
      <c r="J1045" s="9"/>
      <c r="K1045" s="232"/>
      <c r="L1045" s="9"/>
      <c r="M1045" s="9"/>
      <c r="N1045" s="9"/>
      <c r="O1045" s="9"/>
      <c r="P1045" s="9"/>
      <c r="Q1045" s="9"/>
      <c r="R1045" s="9"/>
      <c r="S1045" s="232"/>
      <c r="T1045" s="9"/>
      <c r="U1045" s="9"/>
      <c r="V1045" s="9"/>
      <c r="W1045" s="9"/>
      <c r="X1045" s="9"/>
      <c r="Y1045" s="9"/>
    </row>
    <row r="1046">
      <c r="A1046" s="9"/>
      <c r="B1046" s="9"/>
      <c r="C1046" s="9"/>
      <c r="D1046" s="9"/>
      <c r="E1046" s="9"/>
      <c r="F1046" s="9"/>
      <c r="G1046" s="9"/>
      <c r="H1046" s="9"/>
      <c r="I1046" s="9"/>
      <c r="J1046" s="9"/>
      <c r="K1046" s="232"/>
      <c r="L1046" s="9"/>
      <c r="M1046" s="9"/>
      <c r="N1046" s="9"/>
      <c r="O1046" s="9"/>
      <c r="P1046" s="9"/>
      <c r="Q1046" s="9"/>
      <c r="R1046" s="9"/>
      <c r="S1046" s="232"/>
      <c r="T1046" s="9"/>
      <c r="U1046" s="9"/>
      <c r="V1046" s="9"/>
      <c r="W1046" s="9"/>
      <c r="X1046" s="9"/>
      <c r="Y1046" s="9"/>
    </row>
    <row r="1047">
      <c r="A1047" s="9"/>
      <c r="B1047" s="9"/>
      <c r="C1047" s="9"/>
      <c r="D1047" s="9"/>
      <c r="E1047" s="9"/>
      <c r="F1047" s="9"/>
      <c r="G1047" s="9"/>
      <c r="H1047" s="9"/>
      <c r="I1047" s="9"/>
      <c r="J1047" s="9"/>
      <c r="K1047" s="232"/>
      <c r="L1047" s="9"/>
      <c r="M1047" s="9"/>
      <c r="N1047" s="9"/>
      <c r="O1047" s="9"/>
      <c r="P1047" s="9"/>
      <c r="Q1047" s="9"/>
      <c r="R1047" s="9"/>
      <c r="S1047" s="232"/>
      <c r="T1047" s="9"/>
      <c r="U1047" s="9"/>
      <c r="V1047" s="9"/>
      <c r="W1047" s="9"/>
      <c r="X1047" s="9"/>
      <c r="Y1047" s="9"/>
    </row>
    <row r="1048">
      <c r="A1048" s="9"/>
      <c r="B1048" s="9"/>
      <c r="C1048" s="9"/>
      <c r="D1048" s="9"/>
      <c r="E1048" s="9"/>
      <c r="F1048" s="9"/>
      <c r="G1048" s="9"/>
      <c r="H1048" s="9"/>
      <c r="I1048" s="9"/>
      <c r="J1048" s="9"/>
      <c r="K1048" s="232"/>
      <c r="L1048" s="9"/>
      <c r="M1048" s="9"/>
      <c r="N1048" s="9"/>
      <c r="O1048" s="9"/>
      <c r="P1048" s="9"/>
      <c r="Q1048" s="9"/>
      <c r="R1048" s="9"/>
      <c r="S1048" s="232"/>
      <c r="T1048" s="9"/>
      <c r="U1048" s="9"/>
      <c r="V1048" s="9"/>
      <c r="W1048" s="9"/>
      <c r="X1048" s="9"/>
      <c r="Y1048" s="9"/>
    </row>
    <row r="1049">
      <c r="A1049" s="9"/>
      <c r="B1049" s="9"/>
      <c r="C1049" s="9"/>
      <c r="D1049" s="9"/>
      <c r="E1049" s="9"/>
      <c r="F1049" s="9"/>
      <c r="G1049" s="9"/>
      <c r="H1049" s="9"/>
      <c r="I1049" s="9"/>
      <c r="J1049" s="9"/>
      <c r="K1049" s="232"/>
      <c r="L1049" s="9"/>
      <c r="M1049" s="9"/>
      <c r="N1049" s="9"/>
      <c r="O1049" s="9"/>
      <c r="P1049" s="9"/>
      <c r="Q1049" s="9"/>
      <c r="R1049" s="9"/>
      <c r="S1049" s="232"/>
      <c r="T1049" s="9"/>
      <c r="U1049" s="9"/>
      <c r="V1049" s="9"/>
      <c r="W1049" s="9"/>
      <c r="X1049" s="9"/>
      <c r="Y1049" s="9"/>
    </row>
    <row r="1050">
      <c r="A1050" s="9"/>
      <c r="B1050" s="9"/>
      <c r="C1050" s="9"/>
      <c r="D1050" s="9"/>
      <c r="E1050" s="9"/>
      <c r="F1050" s="9"/>
      <c r="G1050" s="9"/>
      <c r="H1050" s="9"/>
      <c r="I1050" s="9"/>
      <c r="J1050" s="9"/>
      <c r="K1050" s="232"/>
      <c r="L1050" s="9"/>
      <c r="M1050" s="9"/>
      <c r="N1050" s="9"/>
      <c r="O1050" s="9"/>
      <c r="P1050" s="9"/>
      <c r="Q1050" s="9"/>
      <c r="R1050" s="9"/>
      <c r="S1050" s="232"/>
      <c r="T1050" s="9"/>
      <c r="U1050" s="9"/>
      <c r="V1050" s="9"/>
      <c r="W1050" s="9"/>
      <c r="X1050" s="9"/>
      <c r="Y1050" s="9"/>
    </row>
    <row r="1051">
      <c r="A1051" s="9"/>
      <c r="B1051" s="9"/>
      <c r="C1051" s="9"/>
      <c r="D1051" s="9"/>
      <c r="E1051" s="9"/>
      <c r="F1051" s="9"/>
      <c r="G1051" s="9"/>
      <c r="H1051" s="9"/>
      <c r="I1051" s="9"/>
      <c r="J1051" s="9"/>
      <c r="K1051" s="232"/>
      <c r="L1051" s="9"/>
      <c r="M1051" s="9"/>
      <c r="N1051" s="9"/>
      <c r="O1051" s="9"/>
      <c r="P1051" s="9"/>
      <c r="Q1051" s="9"/>
      <c r="R1051" s="9"/>
      <c r="S1051" s="232"/>
      <c r="T1051" s="9"/>
      <c r="U1051" s="9"/>
      <c r="V1051" s="9"/>
      <c r="W1051" s="9"/>
      <c r="X1051" s="9"/>
      <c r="Y1051" s="9"/>
    </row>
    <row r="1052">
      <c r="A1052" s="9"/>
      <c r="B1052" s="9"/>
      <c r="C1052" s="9"/>
      <c r="D1052" s="9"/>
      <c r="E1052" s="9"/>
      <c r="F1052" s="9"/>
      <c r="G1052" s="9"/>
      <c r="H1052" s="9"/>
      <c r="I1052" s="9"/>
      <c r="J1052" s="9"/>
      <c r="K1052" s="232"/>
      <c r="L1052" s="9"/>
      <c r="M1052" s="9"/>
      <c r="N1052" s="9"/>
      <c r="O1052" s="9"/>
      <c r="P1052" s="9"/>
      <c r="Q1052" s="9"/>
      <c r="R1052" s="9"/>
      <c r="S1052" s="232"/>
      <c r="T1052" s="9"/>
      <c r="U1052" s="9"/>
      <c r="V1052" s="9"/>
      <c r="W1052" s="9"/>
      <c r="X1052" s="9"/>
      <c r="Y1052" s="9"/>
    </row>
    <row r="1053">
      <c r="A1053" s="9"/>
      <c r="B1053" s="9"/>
      <c r="C1053" s="9"/>
      <c r="D1053" s="9"/>
      <c r="E1053" s="9"/>
      <c r="F1053" s="9"/>
      <c r="G1053" s="9"/>
      <c r="H1053" s="9"/>
      <c r="I1053" s="9"/>
      <c r="J1053" s="9"/>
      <c r="K1053" s="232"/>
      <c r="L1053" s="9"/>
      <c r="M1053" s="9"/>
      <c r="N1053" s="9"/>
      <c r="O1053" s="9"/>
      <c r="P1053" s="9"/>
      <c r="Q1053" s="9"/>
      <c r="R1053" s="9"/>
      <c r="S1053" s="232"/>
      <c r="T1053" s="9"/>
      <c r="U1053" s="9"/>
      <c r="V1053" s="9"/>
      <c r="W1053" s="9"/>
      <c r="X1053" s="9"/>
      <c r="Y1053" s="9"/>
    </row>
    <row r="1054">
      <c r="A1054" s="9"/>
      <c r="B1054" s="9"/>
      <c r="C1054" s="9"/>
      <c r="D1054" s="9"/>
      <c r="E1054" s="9"/>
      <c r="F1054" s="9"/>
      <c r="G1054" s="9"/>
      <c r="H1054" s="9"/>
      <c r="I1054" s="9"/>
      <c r="J1054" s="9"/>
      <c r="K1054" s="232"/>
      <c r="L1054" s="9"/>
      <c r="M1054" s="9"/>
      <c r="N1054" s="9"/>
      <c r="O1054" s="9"/>
      <c r="P1054" s="9"/>
      <c r="Q1054" s="9"/>
      <c r="R1054" s="9"/>
      <c r="S1054" s="232"/>
      <c r="T1054" s="9"/>
      <c r="U1054" s="9"/>
      <c r="V1054" s="9"/>
      <c r="W1054" s="9"/>
      <c r="X1054" s="9"/>
      <c r="Y1054" s="9"/>
    </row>
    <row r="1055">
      <c r="A1055" s="9"/>
      <c r="B1055" s="9"/>
      <c r="C1055" s="9"/>
      <c r="D1055" s="9"/>
      <c r="E1055" s="9"/>
      <c r="F1055" s="9"/>
      <c r="G1055" s="9"/>
      <c r="H1055" s="9"/>
      <c r="I1055" s="9"/>
      <c r="J1055" s="9"/>
      <c r="K1055" s="232"/>
      <c r="L1055" s="9"/>
      <c r="M1055" s="9"/>
      <c r="N1055" s="9"/>
      <c r="O1055" s="9"/>
      <c r="P1055" s="9"/>
      <c r="Q1055" s="9"/>
      <c r="R1055" s="9"/>
      <c r="S1055" s="232"/>
      <c r="T1055" s="9"/>
      <c r="U1055" s="9"/>
      <c r="V1055" s="9"/>
      <c r="W1055" s="9"/>
      <c r="X1055" s="9"/>
      <c r="Y1055" s="9"/>
    </row>
    <row r="1056">
      <c r="A1056" s="9"/>
      <c r="B1056" s="9"/>
      <c r="C1056" s="9"/>
      <c r="D1056" s="9"/>
      <c r="E1056" s="9"/>
      <c r="F1056" s="9"/>
      <c r="G1056" s="9"/>
      <c r="H1056" s="9"/>
      <c r="I1056" s="9"/>
      <c r="J1056" s="9"/>
      <c r="K1056" s="232"/>
      <c r="L1056" s="9"/>
      <c r="M1056" s="9"/>
      <c r="N1056" s="9"/>
      <c r="O1056" s="9"/>
      <c r="P1056" s="9"/>
      <c r="Q1056" s="9"/>
      <c r="R1056" s="9"/>
      <c r="S1056" s="232"/>
      <c r="T1056" s="9"/>
      <c r="U1056" s="9"/>
      <c r="V1056" s="9"/>
      <c r="W1056" s="9"/>
      <c r="X1056" s="9"/>
      <c r="Y1056" s="9"/>
    </row>
    <row r="1057">
      <c r="A1057" s="9"/>
      <c r="B1057" s="9"/>
      <c r="C1057" s="9"/>
      <c r="D1057" s="9"/>
      <c r="E1057" s="9"/>
      <c r="F1057" s="9"/>
      <c r="G1057" s="9"/>
      <c r="H1057" s="9"/>
      <c r="I1057" s="9"/>
      <c r="J1057" s="9"/>
      <c r="K1057" s="232"/>
      <c r="L1057" s="9"/>
      <c r="M1057" s="9"/>
      <c r="N1057" s="9"/>
      <c r="O1057" s="9"/>
      <c r="P1057" s="9"/>
      <c r="Q1057" s="9"/>
      <c r="R1057" s="9"/>
      <c r="S1057" s="232"/>
      <c r="T1057" s="9"/>
      <c r="U1057" s="9"/>
      <c r="V1057" s="9"/>
      <c r="W1057" s="9"/>
      <c r="X1057" s="9"/>
      <c r="Y1057" s="9"/>
    </row>
    <row r="1058">
      <c r="A1058" s="9"/>
      <c r="B1058" s="9"/>
      <c r="C1058" s="9"/>
      <c r="D1058" s="9"/>
      <c r="E1058" s="9"/>
      <c r="F1058" s="9"/>
      <c r="G1058" s="9"/>
      <c r="H1058" s="9"/>
      <c r="I1058" s="9"/>
      <c r="J1058" s="9"/>
      <c r="K1058" s="232"/>
      <c r="L1058" s="9"/>
      <c r="M1058" s="9"/>
      <c r="N1058" s="9"/>
      <c r="O1058" s="9"/>
      <c r="P1058" s="9"/>
      <c r="Q1058" s="9"/>
      <c r="R1058" s="9"/>
      <c r="S1058" s="232"/>
      <c r="T1058" s="9"/>
      <c r="U1058" s="9"/>
      <c r="V1058" s="9"/>
      <c r="W1058" s="9"/>
      <c r="X1058" s="9"/>
      <c r="Y1058" s="9"/>
    </row>
    <row r="1059">
      <c r="A1059" s="9"/>
      <c r="B1059" s="9"/>
      <c r="C1059" s="9"/>
      <c r="D1059" s="9"/>
      <c r="E1059" s="9"/>
      <c r="F1059" s="9"/>
      <c r="G1059" s="9"/>
      <c r="H1059" s="9"/>
      <c r="I1059" s="9"/>
      <c r="J1059" s="9"/>
      <c r="K1059" s="232"/>
      <c r="L1059" s="9"/>
      <c r="M1059" s="9"/>
      <c r="N1059" s="9"/>
      <c r="O1059" s="9"/>
      <c r="P1059" s="9"/>
      <c r="Q1059" s="9"/>
      <c r="R1059" s="9"/>
      <c r="S1059" s="232"/>
      <c r="T1059" s="9"/>
      <c r="U1059" s="9"/>
      <c r="V1059" s="9"/>
      <c r="W1059" s="9"/>
      <c r="X1059" s="9"/>
      <c r="Y1059" s="9"/>
    </row>
    <row r="1060">
      <c r="A1060" s="9"/>
      <c r="B1060" s="9"/>
      <c r="C1060" s="9"/>
      <c r="D1060" s="9"/>
      <c r="E1060" s="9"/>
      <c r="F1060" s="9"/>
      <c r="G1060" s="9"/>
      <c r="H1060" s="9"/>
      <c r="I1060" s="9"/>
      <c r="J1060" s="9"/>
      <c r="K1060" s="232"/>
      <c r="L1060" s="9"/>
      <c r="M1060" s="9"/>
      <c r="N1060" s="9"/>
      <c r="O1060" s="9"/>
      <c r="P1060" s="9"/>
      <c r="Q1060" s="9"/>
      <c r="R1060" s="9"/>
      <c r="S1060" s="232"/>
      <c r="T1060" s="9"/>
      <c r="U1060" s="9"/>
      <c r="V1060" s="9"/>
      <c r="W1060" s="9"/>
      <c r="X1060" s="9"/>
      <c r="Y1060" s="9"/>
    </row>
    <row r="1061">
      <c r="A1061" s="9"/>
      <c r="B1061" s="9"/>
      <c r="C1061" s="9"/>
      <c r="D1061" s="9"/>
      <c r="E1061" s="9"/>
      <c r="F1061" s="9"/>
      <c r="G1061" s="9"/>
      <c r="H1061" s="9"/>
      <c r="I1061" s="9"/>
      <c r="J1061" s="9"/>
      <c r="K1061" s="232"/>
      <c r="L1061" s="9"/>
      <c r="M1061" s="9"/>
      <c r="N1061" s="9"/>
      <c r="O1061" s="9"/>
      <c r="P1061" s="9"/>
      <c r="Q1061" s="9"/>
      <c r="R1061" s="9"/>
      <c r="S1061" s="232"/>
      <c r="T1061" s="9"/>
      <c r="U1061" s="9"/>
      <c r="V1061" s="9"/>
      <c r="W1061" s="9"/>
      <c r="X1061" s="9"/>
      <c r="Y1061" s="9"/>
    </row>
    <row r="1062">
      <c r="A1062" s="9"/>
      <c r="B1062" s="9"/>
      <c r="C1062" s="9"/>
      <c r="D1062" s="9"/>
      <c r="E1062" s="9"/>
      <c r="F1062" s="9"/>
      <c r="G1062" s="9"/>
      <c r="H1062" s="9"/>
      <c r="I1062" s="9"/>
      <c r="J1062" s="9"/>
      <c r="K1062" s="232"/>
      <c r="L1062" s="9"/>
      <c r="M1062" s="9"/>
      <c r="N1062" s="9"/>
      <c r="O1062" s="9"/>
      <c r="P1062" s="9"/>
      <c r="Q1062" s="9"/>
      <c r="R1062" s="9"/>
      <c r="S1062" s="232"/>
      <c r="T1062" s="9"/>
      <c r="U1062" s="9"/>
      <c r="V1062" s="9"/>
      <c r="W1062" s="9"/>
      <c r="X1062" s="9"/>
      <c r="Y1062" s="9"/>
    </row>
    <row r="1063">
      <c r="A1063" s="9"/>
      <c r="B1063" s="9"/>
      <c r="C1063" s="9"/>
      <c r="D1063" s="9"/>
      <c r="E1063" s="9"/>
      <c r="F1063" s="9"/>
      <c r="G1063" s="9"/>
      <c r="H1063" s="9"/>
      <c r="I1063" s="9"/>
      <c r="J1063" s="9"/>
      <c r="K1063" s="232"/>
      <c r="L1063" s="9"/>
      <c r="M1063" s="9"/>
      <c r="N1063" s="9"/>
      <c r="O1063" s="9"/>
      <c r="P1063" s="9"/>
      <c r="Q1063" s="9"/>
      <c r="R1063" s="9"/>
      <c r="S1063" s="232"/>
      <c r="T1063" s="9"/>
      <c r="U1063" s="9"/>
      <c r="V1063" s="9"/>
      <c r="W1063" s="9"/>
      <c r="X1063" s="9"/>
      <c r="Y1063" s="9"/>
    </row>
    <row r="1064">
      <c r="A1064" s="9"/>
      <c r="B1064" s="9"/>
      <c r="C1064" s="9"/>
      <c r="D1064" s="9"/>
      <c r="E1064" s="9"/>
      <c r="F1064" s="9"/>
      <c r="G1064" s="9"/>
      <c r="H1064" s="9"/>
      <c r="I1064" s="9"/>
      <c r="J1064" s="9"/>
      <c r="K1064" s="232"/>
      <c r="L1064" s="9"/>
      <c r="M1064" s="9"/>
      <c r="N1064" s="9"/>
      <c r="O1064" s="9"/>
      <c r="P1064" s="9"/>
      <c r="Q1064" s="9"/>
      <c r="R1064" s="9"/>
      <c r="S1064" s="232"/>
      <c r="T1064" s="9"/>
      <c r="U1064" s="9"/>
      <c r="V1064" s="9"/>
      <c r="W1064" s="9"/>
      <c r="X1064" s="9"/>
      <c r="Y1064" s="9"/>
    </row>
    <row r="1065">
      <c r="A1065" s="9"/>
      <c r="B1065" s="9"/>
      <c r="C1065" s="9"/>
      <c r="D1065" s="9"/>
      <c r="E1065" s="9"/>
      <c r="F1065" s="9"/>
      <c r="G1065" s="9"/>
      <c r="H1065" s="9"/>
      <c r="I1065" s="9"/>
      <c r="J1065" s="9"/>
      <c r="K1065" s="232"/>
      <c r="L1065" s="9"/>
      <c r="M1065" s="9"/>
      <c r="N1065" s="9"/>
      <c r="O1065" s="9"/>
      <c r="P1065" s="9"/>
      <c r="Q1065" s="9"/>
      <c r="R1065" s="9"/>
      <c r="S1065" s="232"/>
      <c r="T1065" s="9"/>
      <c r="U1065" s="9"/>
      <c r="V1065" s="9"/>
      <c r="W1065" s="9"/>
      <c r="X1065" s="9"/>
      <c r="Y1065" s="9"/>
    </row>
    <row r="1066">
      <c r="A1066" s="9"/>
      <c r="B1066" s="9"/>
      <c r="C1066" s="9"/>
      <c r="D1066" s="9"/>
      <c r="E1066" s="9"/>
      <c r="F1066" s="9"/>
      <c r="G1066" s="9"/>
      <c r="H1066" s="9"/>
      <c r="I1066" s="9"/>
      <c r="J1066" s="9"/>
      <c r="K1066" s="232"/>
      <c r="L1066" s="9"/>
      <c r="M1066" s="9"/>
      <c r="N1066" s="9"/>
      <c r="O1066" s="9"/>
      <c r="P1066" s="9"/>
      <c r="Q1066" s="9"/>
      <c r="R1066" s="9"/>
      <c r="S1066" s="232"/>
      <c r="T1066" s="9"/>
      <c r="U1066" s="9"/>
      <c r="V1066" s="9"/>
      <c r="W1066" s="9"/>
      <c r="X1066" s="9"/>
      <c r="Y1066" s="9"/>
    </row>
    <row r="1067">
      <c r="A1067" s="9"/>
      <c r="B1067" s="9"/>
      <c r="C1067" s="9"/>
      <c r="D1067" s="9"/>
      <c r="E1067" s="9"/>
      <c r="F1067" s="9"/>
      <c r="G1067" s="9"/>
      <c r="H1067" s="9"/>
      <c r="I1067" s="9"/>
      <c r="J1067" s="9"/>
      <c r="K1067" s="232"/>
      <c r="L1067" s="9"/>
      <c r="M1067" s="9"/>
      <c r="N1067" s="9"/>
      <c r="O1067" s="9"/>
      <c r="P1067" s="9"/>
      <c r="Q1067" s="9"/>
      <c r="R1067" s="9"/>
      <c r="S1067" s="232"/>
      <c r="T1067" s="9"/>
      <c r="U1067" s="9"/>
      <c r="V1067" s="9"/>
      <c r="W1067" s="9"/>
      <c r="X1067" s="9"/>
      <c r="Y1067" s="9"/>
    </row>
    <row r="1068">
      <c r="A1068" s="9"/>
      <c r="B1068" s="9"/>
      <c r="C1068" s="9"/>
      <c r="D1068" s="9"/>
      <c r="E1068" s="9"/>
      <c r="F1068" s="9"/>
      <c r="G1068" s="9"/>
      <c r="H1068" s="9"/>
      <c r="I1068" s="9"/>
      <c r="J1068" s="9"/>
      <c r="K1068" s="232"/>
      <c r="L1068" s="9"/>
      <c r="M1068" s="9"/>
      <c r="N1068" s="9"/>
      <c r="O1068" s="9"/>
      <c r="P1068" s="9"/>
      <c r="Q1068" s="9"/>
      <c r="R1068" s="9"/>
      <c r="S1068" s="232"/>
      <c r="T1068" s="9"/>
      <c r="U1068" s="9"/>
      <c r="V1068" s="9"/>
      <c r="W1068" s="9"/>
      <c r="X1068" s="9"/>
      <c r="Y1068" s="9"/>
    </row>
    <row r="1069">
      <c r="A1069" s="9"/>
      <c r="B1069" s="9"/>
      <c r="C1069" s="9"/>
      <c r="D1069" s="9"/>
      <c r="E1069" s="9"/>
      <c r="F1069" s="9"/>
      <c r="G1069" s="9"/>
      <c r="H1069" s="9"/>
      <c r="I1069" s="9"/>
      <c r="J1069" s="9"/>
      <c r="K1069" s="232"/>
      <c r="L1069" s="9"/>
      <c r="M1069" s="9"/>
      <c r="N1069" s="9"/>
      <c r="O1069" s="9"/>
      <c r="P1069" s="9"/>
      <c r="Q1069" s="9"/>
      <c r="R1069" s="9"/>
      <c r="S1069" s="232"/>
      <c r="T1069" s="9"/>
      <c r="U1069" s="9"/>
      <c r="V1069" s="9"/>
      <c r="W1069" s="9"/>
      <c r="X1069" s="9"/>
      <c r="Y1069" s="9"/>
    </row>
    <row r="1070">
      <c r="A1070" s="9"/>
      <c r="B1070" s="9"/>
      <c r="C1070" s="9"/>
      <c r="D1070" s="9"/>
      <c r="E1070" s="9"/>
      <c r="F1070" s="9"/>
      <c r="G1070" s="9"/>
      <c r="H1070" s="9"/>
      <c r="I1070" s="9"/>
      <c r="J1070" s="9"/>
      <c r="K1070" s="232"/>
      <c r="L1070" s="9"/>
      <c r="M1070" s="9"/>
      <c r="N1070" s="9"/>
      <c r="O1070" s="9"/>
      <c r="P1070" s="9"/>
      <c r="Q1070" s="9"/>
      <c r="R1070" s="9"/>
      <c r="S1070" s="232"/>
      <c r="T1070" s="9"/>
      <c r="U1070" s="9"/>
      <c r="V1070" s="9"/>
      <c r="W1070" s="9"/>
      <c r="X1070" s="9"/>
      <c r="Y1070" s="9"/>
    </row>
    <row r="1071">
      <c r="A1071" s="9"/>
      <c r="B1071" s="9"/>
      <c r="C1071" s="9"/>
      <c r="D1071" s="9"/>
      <c r="E1071" s="9"/>
      <c r="F1071" s="9"/>
      <c r="G1071" s="9"/>
      <c r="H1071" s="9"/>
      <c r="I1071" s="9"/>
      <c r="J1071" s="9"/>
      <c r="K1071" s="232"/>
      <c r="L1071" s="9"/>
      <c r="M1071" s="9"/>
      <c r="N1071" s="9"/>
      <c r="O1071" s="9"/>
      <c r="P1071" s="9"/>
      <c r="Q1071" s="9"/>
      <c r="R1071" s="9"/>
      <c r="S1071" s="232"/>
      <c r="T1071" s="9"/>
      <c r="U1071" s="9"/>
      <c r="V1071" s="9"/>
      <c r="W1071" s="9"/>
      <c r="X1071" s="9"/>
      <c r="Y1071" s="9"/>
    </row>
    <row r="1072">
      <c r="A1072" s="9"/>
      <c r="B1072" s="9"/>
      <c r="C1072" s="9"/>
      <c r="D1072" s="9"/>
      <c r="E1072" s="9"/>
      <c r="F1072" s="9"/>
      <c r="G1072" s="9"/>
      <c r="H1072" s="9"/>
      <c r="I1072" s="9"/>
      <c r="J1072" s="9"/>
      <c r="K1072" s="232"/>
      <c r="L1072" s="9"/>
      <c r="M1072" s="9"/>
      <c r="N1072" s="9"/>
      <c r="O1072" s="9"/>
      <c r="P1072" s="9"/>
      <c r="Q1072" s="9"/>
      <c r="R1072" s="9"/>
      <c r="S1072" s="232"/>
      <c r="T1072" s="9"/>
      <c r="U1072" s="9"/>
      <c r="V1072" s="9"/>
      <c r="W1072" s="9"/>
      <c r="X1072" s="9"/>
      <c r="Y1072" s="9"/>
    </row>
    <row r="1073">
      <c r="A1073" s="9"/>
      <c r="B1073" s="9"/>
      <c r="C1073" s="9"/>
      <c r="D1073" s="9"/>
      <c r="E1073" s="9"/>
      <c r="F1073" s="9"/>
      <c r="G1073" s="9"/>
      <c r="H1073" s="9"/>
      <c r="I1073" s="9"/>
      <c r="J1073" s="9"/>
      <c r="K1073" s="232"/>
      <c r="L1073" s="9"/>
      <c r="M1073" s="9"/>
      <c r="N1073" s="9"/>
      <c r="O1073" s="9"/>
      <c r="P1073" s="9"/>
      <c r="Q1073" s="9"/>
      <c r="R1073" s="9"/>
      <c r="S1073" s="232"/>
      <c r="T1073" s="9"/>
      <c r="U1073" s="9"/>
      <c r="V1073" s="9"/>
      <c r="W1073" s="9"/>
      <c r="X1073" s="9"/>
      <c r="Y1073" s="9"/>
    </row>
    <row r="1074">
      <c r="A1074" s="9"/>
      <c r="B1074" s="9"/>
      <c r="C1074" s="9"/>
      <c r="D1074" s="9"/>
      <c r="E1074" s="9"/>
      <c r="F1074" s="9"/>
      <c r="G1074" s="9"/>
      <c r="H1074" s="9"/>
      <c r="I1074" s="9"/>
      <c r="J1074" s="9"/>
      <c r="K1074" s="232"/>
      <c r="L1074" s="9"/>
      <c r="M1074" s="9"/>
      <c r="N1074" s="9"/>
      <c r="O1074" s="9"/>
      <c r="P1074" s="9"/>
      <c r="Q1074" s="9"/>
      <c r="R1074" s="9"/>
      <c r="S1074" s="232"/>
      <c r="T1074" s="9"/>
      <c r="U1074" s="9"/>
      <c r="V1074" s="9"/>
      <c r="W1074" s="9"/>
      <c r="X1074" s="9"/>
      <c r="Y1074" s="9"/>
    </row>
    <row r="1075">
      <c r="A1075" s="9"/>
      <c r="B1075" s="9"/>
      <c r="C1075" s="9"/>
      <c r="D1075" s="9"/>
      <c r="E1075" s="9"/>
      <c r="F1075" s="9"/>
      <c r="G1075" s="9"/>
      <c r="H1075" s="9"/>
      <c r="I1075" s="9"/>
      <c r="J1075" s="9"/>
      <c r="K1075" s="232"/>
      <c r="L1075" s="9"/>
      <c r="M1075" s="9"/>
      <c r="N1075" s="9"/>
      <c r="O1075" s="9"/>
      <c r="P1075" s="9"/>
      <c r="Q1075" s="9"/>
      <c r="R1075" s="9"/>
      <c r="S1075" s="232"/>
      <c r="T1075" s="9"/>
      <c r="U1075" s="9"/>
      <c r="V1075" s="9"/>
      <c r="W1075" s="9"/>
      <c r="X1075" s="9"/>
      <c r="Y1075" s="9"/>
    </row>
    <row r="1076">
      <c r="A1076" s="9"/>
      <c r="B1076" s="9"/>
      <c r="C1076" s="9"/>
      <c r="D1076" s="9"/>
      <c r="E1076" s="9"/>
      <c r="F1076" s="9"/>
      <c r="G1076" s="9"/>
      <c r="H1076" s="9"/>
      <c r="I1076" s="9"/>
      <c r="J1076" s="9"/>
      <c r="K1076" s="232"/>
      <c r="L1076" s="9"/>
      <c r="M1076" s="9"/>
      <c r="N1076" s="9"/>
      <c r="O1076" s="9"/>
      <c r="P1076" s="9"/>
      <c r="Q1076" s="9"/>
      <c r="R1076" s="9"/>
      <c r="S1076" s="232"/>
      <c r="T1076" s="9"/>
      <c r="U1076" s="9"/>
      <c r="V1076" s="9"/>
      <c r="W1076" s="9"/>
      <c r="X1076" s="9"/>
      <c r="Y1076" s="9"/>
    </row>
    <row r="1077">
      <c r="A1077" s="9"/>
      <c r="B1077" s="9"/>
      <c r="C1077" s="9"/>
      <c r="D1077" s="9"/>
      <c r="E1077" s="9"/>
      <c r="F1077" s="9"/>
      <c r="G1077" s="9"/>
      <c r="H1077" s="9"/>
      <c r="I1077" s="9"/>
      <c r="J1077" s="9"/>
      <c r="K1077" s="232"/>
      <c r="L1077" s="9"/>
      <c r="M1077" s="9"/>
      <c r="N1077" s="9"/>
      <c r="O1077" s="9"/>
      <c r="P1077" s="9"/>
      <c r="Q1077" s="9"/>
      <c r="R1077" s="9"/>
      <c r="S1077" s="232"/>
      <c r="T1077" s="9"/>
      <c r="U1077" s="9"/>
      <c r="V1077" s="9"/>
      <c r="W1077" s="9"/>
      <c r="X1077" s="9"/>
      <c r="Y1077" s="9"/>
    </row>
    <row r="1078">
      <c r="A1078" s="9"/>
      <c r="B1078" s="9"/>
      <c r="C1078" s="9"/>
      <c r="D1078" s="9"/>
      <c r="E1078" s="9"/>
      <c r="F1078" s="9"/>
      <c r="G1078" s="9"/>
      <c r="H1078" s="9"/>
      <c r="I1078" s="9"/>
      <c r="J1078" s="9"/>
      <c r="K1078" s="232"/>
      <c r="L1078" s="9"/>
      <c r="M1078" s="9"/>
      <c r="N1078" s="9"/>
      <c r="O1078" s="9"/>
      <c r="P1078" s="9"/>
      <c r="Q1078" s="9"/>
      <c r="R1078" s="9"/>
      <c r="S1078" s="232"/>
      <c r="T1078" s="9"/>
      <c r="U1078" s="9"/>
      <c r="V1078" s="9"/>
      <c r="W1078" s="9"/>
      <c r="X1078" s="9"/>
      <c r="Y1078" s="9"/>
    </row>
    <row r="1079">
      <c r="A1079" s="9"/>
      <c r="B1079" s="9"/>
      <c r="C1079" s="9"/>
      <c r="D1079" s="9"/>
      <c r="E1079" s="9"/>
      <c r="F1079" s="9"/>
      <c r="G1079" s="9"/>
      <c r="H1079" s="9"/>
      <c r="I1079" s="9"/>
      <c r="J1079" s="9"/>
      <c r="K1079" s="232"/>
      <c r="L1079" s="9"/>
      <c r="M1079" s="9"/>
      <c r="N1079" s="9"/>
      <c r="O1079" s="9"/>
      <c r="P1079" s="9"/>
      <c r="Q1079" s="9"/>
      <c r="R1079" s="9"/>
      <c r="S1079" s="232"/>
      <c r="T1079" s="9"/>
      <c r="U1079" s="9"/>
      <c r="V1079" s="9"/>
      <c r="W1079" s="9"/>
      <c r="X1079" s="9"/>
      <c r="Y1079" s="9"/>
    </row>
    <row r="1080">
      <c r="A1080" s="9"/>
      <c r="B1080" s="9"/>
      <c r="C1080" s="9"/>
      <c r="D1080" s="9"/>
      <c r="E1080" s="9"/>
      <c r="F1080" s="9"/>
      <c r="G1080" s="9"/>
      <c r="H1080" s="9"/>
      <c r="I1080" s="9"/>
      <c r="J1080" s="9"/>
      <c r="K1080" s="232"/>
      <c r="L1080" s="9"/>
      <c r="M1080" s="9"/>
      <c r="N1080" s="9"/>
      <c r="O1080" s="9"/>
      <c r="P1080" s="9"/>
      <c r="Q1080" s="9"/>
      <c r="R1080" s="9"/>
      <c r="S1080" s="232"/>
      <c r="T1080" s="9"/>
      <c r="U1080" s="9"/>
      <c r="V1080" s="9"/>
      <c r="W1080" s="9"/>
      <c r="X1080" s="9"/>
      <c r="Y1080" s="9"/>
    </row>
    <row r="1081">
      <c r="A1081" s="9"/>
      <c r="B1081" s="9"/>
      <c r="C1081" s="9"/>
      <c r="D1081" s="9"/>
      <c r="E1081" s="9"/>
      <c r="F1081" s="9"/>
      <c r="G1081" s="9"/>
      <c r="H1081" s="9"/>
      <c r="I1081" s="9"/>
      <c r="J1081" s="9"/>
      <c r="K1081" s="232"/>
      <c r="L1081" s="9"/>
      <c r="M1081" s="9"/>
      <c r="N1081" s="9"/>
      <c r="O1081" s="9"/>
      <c r="P1081" s="9"/>
      <c r="Q1081" s="9"/>
      <c r="R1081" s="9"/>
      <c r="S1081" s="232"/>
      <c r="T1081" s="9"/>
      <c r="U1081" s="9"/>
      <c r="V1081" s="9"/>
      <c r="W1081" s="9"/>
      <c r="X1081" s="9"/>
      <c r="Y1081" s="9"/>
    </row>
    <row r="1082">
      <c r="A1082" s="9"/>
      <c r="B1082" s="9"/>
      <c r="C1082" s="9"/>
      <c r="D1082" s="9"/>
      <c r="E1082" s="9"/>
      <c r="F1082" s="9"/>
      <c r="G1082" s="9"/>
      <c r="H1082" s="9"/>
      <c r="I1082" s="9"/>
      <c r="J1082" s="9"/>
      <c r="K1082" s="232"/>
      <c r="L1082" s="9"/>
      <c r="M1082" s="9"/>
      <c r="N1082" s="9"/>
      <c r="O1082" s="9"/>
      <c r="P1082" s="9"/>
      <c r="Q1082" s="9"/>
      <c r="R1082" s="9"/>
      <c r="S1082" s="232"/>
      <c r="T1082" s="9"/>
      <c r="U1082" s="9"/>
      <c r="V1082" s="9"/>
      <c r="W1082" s="9"/>
      <c r="X1082" s="9"/>
      <c r="Y1082" s="9"/>
    </row>
    <row r="1083">
      <c r="A1083" s="9"/>
      <c r="B1083" s="9"/>
      <c r="C1083" s="9"/>
      <c r="D1083" s="9"/>
      <c r="E1083" s="9"/>
      <c r="F1083" s="9"/>
      <c r="G1083" s="9"/>
      <c r="H1083" s="9"/>
      <c r="I1083" s="9"/>
      <c r="J1083" s="9"/>
      <c r="K1083" s="232"/>
      <c r="L1083" s="9"/>
      <c r="M1083" s="9"/>
      <c r="N1083" s="9"/>
      <c r="O1083" s="9"/>
      <c r="P1083" s="9"/>
      <c r="Q1083" s="9"/>
      <c r="R1083" s="9"/>
      <c r="S1083" s="232"/>
      <c r="T1083" s="9"/>
      <c r="U1083" s="9"/>
      <c r="V1083" s="9"/>
      <c r="W1083" s="9"/>
      <c r="X1083" s="9"/>
      <c r="Y1083" s="9"/>
    </row>
    <row r="1084">
      <c r="A1084" s="9"/>
      <c r="B1084" s="9"/>
      <c r="C1084" s="9"/>
      <c r="D1084" s="9"/>
      <c r="E1084" s="9"/>
      <c r="F1084" s="9"/>
      <c r="G1084" s="9"/>
      <c r="H1084" s="9"/>
      <c r="I1084" s="9"/>
      <c r="J1084" s="9"/>
      <c r="K1084" s="232"/>
      <c r="L1084" s="9"/>
      <c r="M1084" s="9"/>
      <c r="N1084" s="9"/>
      <c r="O1084" s="9"/>
      <c r="P1084" s="9"/>
      <c r="Q1084" s="9"/>
      <c r="R1084" s="9"/>
      <c r="S1084" s="232"/>
      <c r="T1084" s="9"/>
      <c r="U1084" s="9"/>
      <c r="V1084" s="9"/>
      <c r="W1084" s="9"/>
      <c r="X1084" s="9"/>
      <c r="Y1084" s="9"/>
    </row>
    <row r="1085">
      <c r="A1085" s="9"/>
      <c r="B1085" s="9"/>
      <c r="C1085" s="9"/>
      <c r="D1085" s="9"/>
      <c r="E1085" s="9"/>
      <c r="F1085" s="9"/>
      <c r="G1085" s="9"/>
      <c r="H1085" s="9"/>
      <c r="I1085" s="9"/>
      <c r="J1085" s="9"/>
      <c r="K1085" s="232"/>
      <c r="L1085" s="9"/>
      <c r="M1085" s="9"/>
      <c r="N1085" s="9"/>
      <c r="O1085" s="9"/>
      <c r="P1085" s="9"/>
      <c r="Q1085" s="9"/>
      <c r="R1085" s="9"/>
      <c r="S1085" s="232"/>
      <c r="T1085" s="9"/>
      <c r="U1085" s="9"/>
      <c r="V1085" s="9"/>
      <c r="W1085" s="9"/>
      <c r="X1085" s="9"/>
      <c r="Y1085" s="9"/>
    </row>
    <row r="1086">
      <c r="A1086" s="9"/>
      <c r="B1086" s="9"/>
      <c r="C1086" s="9"/>
      <c r="D1086" s="9"/>
      <c r="E1086" s="9"/>
      <c r="F1086" s="9"/>
      <c r="G1086" s="9"/>
      <c r="H1086" s="9"/>
      <c r="I1086" s="9"/>
      <c r="J1086" s="9"/>
      <c r="K1086" s="232"/>
      <c r="L1086" s="9"/>
      <c r="M1086" s="9"/>
      <c r="N1086" s="9"/>
      <c r="O1086" s="9"/>
      <c r="P1086" s="9"/>
      <c r="Q1086" s="9"/>
      <c r="R1086" s="9"/>
      <c r="S1086" s="232"/>
      <c r="T1086" s="9"/>
      <c r="U1086" s="9"/>
      <c r="V1086" s="9"/>
      <c r="W1086" s="9"/>
      <c r="X1086" s="9"/>
      <c r="Y1086" s="9"/>
    </row>
    <row r="1087">
      <c r="A1087" s="9"/>
      <c r="B1087" s="9"/>
      <c r="C1087" s="9"/>
      <c r="D1087" s="9"/>
      <c r="E1087" s="9"/>
      <c r="F1087" s="9"/>
      <c r="G1087" s="9"/>
      <c r="H1087" s="9"/>
      <c r="I1087" s="9"/>
      <c r="J1087" s="9"/>
      <c r="K1087" s="232"/>
      <c r="L1087" s="9"/>
      <c r="M1087" s="9"/>
      <c r="N1087" s="9"/>
      <c r="O1087" s="9"/>
      <c r="P1087" s="9"/>
      <c r="Q1087" s="9"/>
      <c r="R1087" s="9"/>
      <c r="S1087" s="232"/>
      <c r="T1087" s="9"/>
      <c r="U1087" s="9"/>
      <c r="V1087" s="9"/>
      <c r="W1087" s="9"/>
      <c r="X1087" s="9"/>
      <c r="Y1087" s="9"/>
    </row>
    <row r="1088">
      <c r="A1088" s="9"/>
      <c r="B1088" s="9"/>
      <c r="C1088" s="9"/>
      <c r="D1088" s="9"/>
      <c r="E1088" s="9"/>
      <c r="F1088" s="9"/>
      <c r="G1088" s="9"/>
      <c r="H1088" s="9"/>
      <c r="I1088" s="9"/>
      <c r="J1088" s="9"/>
      <c r="K1088" s="232"/>
      <c r="L1088" s="9"/>
      <c r="M1088" s="9"/>
      <c r="N1088" s="9"/>
      <c r="O1088" s="9"/>
      <c r="P1088" s="9"/>
      <c r="Q1088" s="9"/>
      <c r="R1088" s="9"/>
      <c r="S1088" s="232"/>
      <c r="T1088" s="9"/>
      <c r="U1088" s="9"/>
      <c r="V1088" s="9"/>
      <c r="W1088" s="9"/>
      <c r="X1088" s="9"/>
      <c r="Y1088" s="9"/>
    </row>
    <row r="1089">
      <c r="A1089" s="9"/>
      <c r="B1089" s="9"/>
      <c r="C1089" s="9"/>
      <c r="D1089" s="9"/>
      <c r="E1089" s="9"/>
      <c r="F1089" s="9"/>
      <c r="G1089" s="9"/>
      <c r="H1089" s="9"/>
      <c r="I1089" s="9"/>
      <c r="J1089" s="9"/>
      <c r="K1089" s="232"/>
      <c r="L1089" s="9"/>
      <c r="M1089" s="9"/>
      <c r="N1089" s="9"/>
      <c r="O1089" s="9"/>
      <c r="P1089" s="9"/>
      <c r="Q1089" s="9"/>
      <c r="R1089" s="9"/>
      <c r="S1089" s="232"/>
      <c r="T1089" s="9"/>
      <c r="U1089" s="9"/>
      <c r="V1089" s="9"/>
      <c r="W1089" s="9"/>
      <c r="X1089" s="9"/>
      <c r="Y1089" s="9"/>
    </row>
    <row r="1090">
      <c r="A1090" s="9"/>
      <c r="B1090" s="9"/>
      <c r="C1090" s="9"/>
      <c r="D1090" s="9"/>
      <c r="E1090" s="9"/>
      <c r="F1090" s="9"/>
      <c r="G1090" s="9"/>
      <c r="H1090" s="9"/>
      <c r="I1090" s="9"/>
      <c r="J1090" s="9"/>
      <c r="K1090" s="232"/>
      <c r="L1090" s="9"/>
      <c r="M1090" s="9"/>
      <c r="N1090" s="9"/>
      <c r="O1090" s="9"/>
      <c r="P1090" s="9"/>
      <c r="Q1090" s="9"/>
      <c r="R1090" s="9"/>
      <c r="S1090" s="232"/>
      <c r="T1090" s="9"/>
      <c r="U1090" s="9"/>
      <c r="V1090" s="9"/>
      <c r="W1090" s="9"/>
      <c r="X1090" s="9"/>
      <c r="Y1090" s="9"/>
    </row>
    <row r="1091">
      <c r="A1091" s="9"/>
      <c r="B1091" s="9"/>
      <c r="C1091" s="9"/>
      <c r="D1091" s="9"/>
      <c r="E1091" s="9"/>
      <c r="F1091" s="9"/>
      <c r="G1091" s="9"/>
      <c r="H1091" s="9"/>
      <c r="I1091" s="9"/>
      <c r="J1091" s="9"/>
      <c r="K1091" s="232"/>
      <c r="L1091" s="9"/>
      <c r="M1091" s="9"/>
      <c r="N1091" s="9"/>
      <c r="O1091" s="9"/>
      <c r="P1091" s="9"/>
      <c r="Q1091" s="9"/>
      <c r="R1091" s="9"/>
      <c r="S1091" s="232"/>
      <c r="T1091" s="9"/>
      <c r="U1091" s="9"/>
      <c r="V1091" s="9"/>
      <c r="W1091" s="9"/>
      <c r="X1091" s="9"/>
      <c r="Y1091" s="9"/>
    </row>
    <row r="1092">
      <c r="A1092" s="9"/>
      <c r="B1092" s="9"/>
      <c r="C1092" s="9"/>
      <c r="D1092" s="9"/>
      <c r="E1092" s="9"/>
      <c r="F1092" s="9"/>
      <c r="G1092" s="9"/>
      <c r="H1092" s="9"/>
      <c r="I1092" s="9"/>
      <c r="J1092" s="9"/>
      <c r="K1092" s="232"/>
      <c r="L1092" s="9"/>
      <c r="M1092" s="9"/>
      <c r="N1092" s="9"/>
      <c r="O1092" s="9"/>
      <c r="P1092" s="9"/>
      <c r="Q1092" s="9"/>
      <c r="R1092" s="9"/>
      <c r="S1092" s="232"/>
      <c r="T1092" s="9"/>
      <c r="U1092" s="9"/>
      <c r="V1092" s="9"/>
      <c r="W1092" s="9"/>
      <c r="X1092" s="9"/>
      <c r="Y1092" s="9"/>
    </row>
    <row r="1093">
      <c r="A1093" s="9"/>
      <c r="B1093" s="9"/>
      <c r="C1093" s="9"/>
      <c r="D1093" s="9"/>
      <c r="E1093" s="9"/>
      <c r="F1093" s="9"/>
      <c r="G1093" s="9"/>
      <c r="H1093" s="9"/>
      <c r="I1093" s="9"/>
      <c r="J1093" s="9"/>
      <c r="K1093" s="232"/>
      <c r="L1093" s="9"/>
      <c r="M1093" s="9"/>
      <c r="N1093" s="9"/>
      <c r="O1093" s="9"/>
      <c r="P1093" s="9"/>
      <c r="Q1093" s="9"/>
      <c r="R1093" s="9"/>
      <c r="S1093" s="232"/>
      <c r="T1093" s="9"/>
      <c r="U1093" s="9"/>
      <c r="V1093" s="9"/>
      <c r="W1093" s="9"/>
      <c r="X1093" s="9"/>
      <c r="Y1093" s="9"/>
    </row>
    <row r="1094">
      <c r="A1094" s="9"/>
      <c r="B1094" s="9"/>
      <c r="C1094" s="9"/>
      <c r="D1094" s="9"/>
      <c r="E1094" s="9"/>
      <c r="F1094" s="9"/>
      <c r="G1094" s="9"/>
      <c r="H1094" s="9"/>
      <c r="I1094" s="9"/>
      <c r="J1094" s="9"/>
      <c r="K1094" s="232"/>
      <c r="L1094" s="9"/>
      <c r="M1094" s="9"/>
      <c r="N1094" s="9"/>
      <c r="O1094" s="9"/>
      <c r="P1094" s="9"/>
      <c r="Q1094" s="9"/>
      <c r="R1094" s="9"/>
      <c r="S1094" s="232"/>
      <c r="T1094" s="9"/>
      <c r="U1094" s="9"/>
      <c r="V1094" s="9"/>
      <c r="W1094" s="9"/>
      <c r="X1094" s="9"/>
      <c r="Y1094" s="9"/>
    </row>
    <row r="1095">
      <c r="A1095" s="9"/>
      <c r="B1095" s="9"/>
      <c r="C1095" s="9"/>
      <c r="D1095" s="9"/>
      <c r="E1095" s="9"/>
      <c r="F1095" s="9"/>
      <c r="G1095" s="9"/>
      <c r="H1095" s="9"/>
      <c r="I1095" s="9"/>
      <c r="J1095" s="9"/>
      <c r="K1095" s="232"/>
      <c r="L1095" s="9"/>
      <c r="M1095" s="9"/>
      <c r="N1095" s="9"/>
      <c r="O1095" s="9"/>
      <c r="P1095" s="9"/>
      <c r="Q1095" s="9"/>
      <c r="R1095" s="9"/>
      <c r="S1095" s="232"/>
      <c r="T1095" s="9"/>
      <c r="U1095" s="9"/>
      <c r="V1095" s="9"/>
      <c r="W1095" s="9"/>
      <c r="X1095" s="9"/>
      <c r="Y1095" s="9"/>
    </row>
    <row r="1096">
      <c r="A1096" s="9"/>
      <c r="B1096" s="9"/>
      <c r="C1096" s="9"/>
      <c r="D1096" s="9"/>
      <c r="E1096" s="9"/>
      <c r="F1096" s="9"/>
      <c r="G1096" s="9"/>
      <c r="H1096" s="9"/>
      <c r="I1096" s="9"/>
      <c r="J1096" s="9"/>
      <c r="K1096" s="232"/>
      <c r="L1096" s="9"/>
      <c r="M1096" s="9"/>
      <c r="N1096" s="9"/>
      <c r="O1096" s="9"/>
      <c r="P1096" s="9"/>
      <c r="Q1096" s="9"/>
      <c r="R1096" s="9"/>
      <c r="S1096" s="232"/>
      <c r="T1096" s="9"/>
      <c r="U1096" s="9"/>
      <c r="V1096" s="9"/>
      <c r="W1096" s="9"/>
      <c r="X1096" s="9"/>
      <c r="Y1096" s="9"/>
    </row>
    <row r="1097">
      <c r="A1097" s="9"/>
      <c r="B1097" s="9"/>
      <c r="C1097" s="9"/>
      <c r="D1097" s="9"/>
      <c r="E1097" s="9"/>
      <c r="F1097" s="9"/>
      <c r="G1097" s="9"/>
      <c r="H1097" s="9"/>
      <c r="I1097" s="9"/>
      <c r="J1097" s="9"/>
      <c r="K1097" s="232"/>
      <c r="L1097" s="9"/>
      <c r="M1097" s="9"/>
      <c r="N1097" s="9"/>
      <c r="O1097" s="9"/>
      <c r="P1097" s="9"/>
      <c r="Q1097" s="9"/>
      <c r="R1097" s="9"/>
      <c r="S1097" s="232"/>
      <c r="T1097" s="9"/>
      <c r="U1097" s="9"/>
      <c r="V1097" s="9"/>
      <c r="W1097" s="9"/>
      <c r="X1097" s="9"/>
      <c r="Y1097" s="9"/>
    </row>
    <row r="1098">
      <c r="A1098" s="9"/>
      <c r="B1098" s="9"/>
      <c r="C1098" s="9"/>
      <c r="D1098" s="9"/>
      <c r="E1098" s="9"/>
      <c r="F1098" s="9"/>
      <c r="G1098" s="9"/>
      <c r="H1098" s="9"/>
      <c r="I1098" s="9"/>
      <c r="J1098" s="9"/>
      <c r="K1098" s="232"/>
      <c r="L1098" s="9"/>
      <c r="M1098" s="9"/>
      <c r="N1098" s="9"/>
      <c r="O1098" s="9"/>
      <c r="P1098" s="9"/>
      <c r="Q1098" s="9"/>
      <c r="R1098" s="9"/>
      <c r="S1098" s="232"/>
      <c r="T1098" s="9"/>
      <c r="U1098" s="9"/>
      <c r="V1098" s="9"/>
      <c r="W1098" s="9"/>
      <c r="X1098" s="9"/>
      <c r="Y1098" s="9"/>
    </row>
    <row r="1099">
      <c r="A1099" s="9"/>
      <c r="B1099" s="9"/>
      <c r="C1099" s="9"/>
      <c r="D1099" s="9"/>
      <c r="E1099" s="9"/>
      <c r="F1099" s="9"/>
      <c r="G1099" s="9"/>
      <c r="H1099" s="9"/>
      <c r="I1099" s="9"/>
      <c r="J1099" s="9"/>
      <c r="K1099" s="232"/>
      <c r="L1099" s="9"/>
      <c r="M1099" s="9"/>
      <c r="N1099" s="9"/>
      <c r="O1099" s="9"/>
      <c r="P1099" s="9"/>
      <c r="Q1099" s="9"/>
      <c r="R1099" s="9"/>
      <c r="S1099" s="232"/>
      <c r="T1099" s="9"/>
      <c r="U1099" s="9"/>
      <c r="V1099" s="9"/>
      <c r="W1099" s="9"/>
      <c r="X1099" s="9"/>
      <c r="Y1099" s="9"/>
    </row>
    <row r="1100">
      <c r="A1100" s="9"/>
      <c r="B1100" s="9"/>
      <c r="C1100" s="9"/>
      <c r="D1100" s="9"/>
      <c r="E1100" s="9"/>
      <c r="F1100" s="9"/>
      <c r="G1100" s="9"/>
      <c r="H1100" s="9"/>
      <c r="I1100" s="9"/>
      <c r="J1100" s="9"/>
      <c r="K1100" s="232"/>
      <c r="L1100" s="9"/>
      <c r="M1100" s="9"/>
      <c r="N1100" s="9"/>
      <c r="O1100" s="9"/>
      <c r="P1100" s="9"/>
      <c r="Q1100" s="9"/>
      <c r="R1100" s="9"/>
      <c r="S1100" s="232"/>
      <c r="T1100" s="9"/>
      <c r="U1100" s="9"/>
      <c r="V1100" s="9"/>
      <c r="W1100" s="9"/>
      <c r="X1100" s="9"/>
      <c r="Y1100" s="9"/>
    </row>
    <row r="1101">
      <c r="A1101" s="9"/>
      <c r="B1101" s="9"/>
      <c r="C1101" s="9"/>
      <c r="D1101" s="9"/>
      <c r="E1101" s="9"/>
      <c r="F1101" s="9"/>
      <c r="G1101" s="9"/>
      <c r="H1101" s="9"/>
      <c r="I1101" s="9"/>
      <c r="J1101" s="9"/>
      <c r="K1101" s="232"/>
      <c r="L1101" s="9"/>
      <c r="M1101" s="9"/>
      <c r="N1101" s="9"/>
      <c r="O1101" s="9"/>
      <c r="P1101" s="9"/>
      <c r="Q1101" s="9"/>
      <c r="R1101" s="9"/>
      <c r="S1101" s="232"/>
      <c r="T1101" s="9"/>
      <c r="U1101" s="9"/>
      <c r="V1101" s="9"/>
      <c r="W1101" s="9"/>
      <c r="X1101" s="9"/>
      <c r="Y1101" s="9"/>
    </row>
    <row r="1102">
      <c r="A1102" s="9"/>
      <c r="B1102" s="9"/>
      <c r="C1102" s="9"/>
      <c r="D1102" s="9"/>
      <c r="E1102" s="9"/>
      <c r="F1102" s="9"/>
      <c r="G1102" s="9"/>
      <c r="H1102" s="9"/>
      <c r="I1102" s="9"/>
      <c r="J1102" s="9"/>
      <c r="K1102" s="232"/>
      <c r="L1102" s="9"/>
      <c r="M1102" s="9"/>
      <c r="N1102" s="9"/>
      <c r="O1102" s="9"/>
      <c r="P1102" s="9"/>
      <c r="Q1102" s="9"/>
      <c r="R1102" s="9"/>
      <c r="S1102" s="232"/>
      <c r="T1102" s="9"/>
      <c r="U1102" s="9"/>
      <c r="V1102" s="9"/>
      <c r="W1102" s="9"/>
      <c r="X1102" s="9"/>
      <c r="Y1102" s="9"/>
    </row>
    <row r="1103">
      <c r="A1103" s="9"/>
      <c r="B1103" s="9"/>
      <c r="C1103" s="9"/>
      <c r="D1103" s="9"/>
      <c r="E1103" s="9"/>
      <c r="F1103" s="9"/>
      <c r="G1103" s="9"/>
      <c r="H1103" s="9"/>
      <c r="I1103" s="9"/>
      <c r="J1103" s="9"/>
      <c r="K1103" s="232"/>
      <c r="L1103" s="9"/>
      <c r="M1103" s="9"/>
      <c r="N1103" s="9"/>
      <c r="O1103" s="9"/>
      <c r="P1103" s="9"/>
      <c r="Q1103" s="9"/>
      <c r="R1103" s="9"/>
      <c r="S1103" s="232"/>
      <c r="T1103" s="9"/>
      <c r="U1103" s="9"/>
      <c r="V1103" s="9"/>
      <c r="W1103" s="9"/>
      <c r="X1103" s="9"/>
      <c r="Y1103" s="9"/>
    </row>
    <row r="1104">
      <c r="A1104" s="9"/>
      <c r="B1104" s="9"/>
      <c r="C1104" s="9"/>
      <c r="D1104" s="9"/>
      <c r="E1104" s="9"/>
      <c r="F1104" s="9"/>
      <c r="G1104" s="9"/>
      <c r="H1104" s="9"/>
      <c r="I1104" s="9"/>
      <c r="J1104" s="9"/>
      <c r="K1104" s="232"/>
      <c r="L1104" s="9"/>
      <c r="M1104" s="9"/>
      <c r="N1104" s="9"/>
      <c r="O1104" s="9"/>
      <c r="P1104" s="9"/>
      <c r="Q1104" s="9"/>
      <c r="R1104" s="9"/>
      <c r="S1104" s="232"/>
      <c r="T1104" s="9"/>
      <c r="U1104" s="9"/>
      <c r="V1104" s="9"/>
      <c r="W1104" s="9"/>
      <c r="X1104" s="9"/>
      <c r="Y1104" s="9"/>
    </row>
    <row r="1105">
      <c r="A1105" s="9"/>
      <c r="B1105" s="9"/>
      <c r="C1105" s="9"/>
      <c r="D1105" s="9"/>
      <c r="E1105" s="9"/>
      <c r="F1105" s="9"/>
      <c r="G1105" s="9"/>
      <c r="H1105" s="9"/>
      <c r="I1105" s="9"/>
      <c r="J1105" s="9"/>
      <c r="K1105" s="232"/>
      <c r="L1105" s="9"/>
      <c r="M1105" s="9"/>
      <c r="N1105" s="9"/>
      <c r="O1105" s="9"/>
      <c r="P1105" s="9"/>
      <c r="Q1105" s="9"/>
      <c r="R1105" s="9"/>
      <c r="S1105" s="232"/>
      <c r="T1105" s="9"/>
      <c r="U1105" s="9"/>
      <c r="V1105" s="9"/>
      <c r="W1105" s="9"/>
      <c r="X1105" s="9"/>
      <c r="Y1105" s="9"/>
    </row>
    <row r="1106">
      <c r="A1106" s="9"/>
      <c r="B1106" s="9"/>
      <c r="C1106" s="9"/>
      <c r="D1106" s="9"/>
      <c r="E1106" s="9"/>
      <c r="F1106" s="9"/>
      <c r="G1106" s="9"/>
      <c r="H1106" s="9"/>
      <c r="I1106" s="9"/>
      <c r="J1106" s="9"/>
      <c r="K1106" s="232"/>
      <c r="L1106" s="9"/>
      <c r="M1106" s="9"/>
      <c r="N1106" s="9"/>
      <c r="O1106" s="9"/>
      <c r="P1106" s="9"/>
      <c r="Q1106" s="9"/>
      <c r="R1106" s="9"/>
      <c r="S1106" s="232"/>
      <c r="T1106" s="9"/>
      <c r="U1106" s="9"/>
      <c r="V1106" s="9"/>
      <c r="W1106" s="9"/>
      <c r="X1106" s="9"/>
      <c r="Y1106" s="9"/>
    </row>
    <row r="1107">
      <c r="A1107" s="9"/>
      <c r="B1107" s="9"/>
      <c r="C1107" s="9"/>
      <c r="D1107" s="9"/>
      <c r="E1107" s="9"/>
      <c r="F1107" s="9"/>
      <c r="G1107" s="9"/>
      <c r="H1107" s="9"/>
      <c r="I1107" s="9"/>
      <c r="J1107" s="9"/>
      <c r="K1107" s="232"/>
      <c r="L1107" s="9"/>
      <c r="M1107" s="9"/>
      <c r="N1107" s="9"/>
      <c r="O1107" s="9"/>
      <c r="P1107" s="9"/>
      <c r="Q1107" s="9"/>
      <c r="R1107" s="9"/>
      <c r="S1107" s="232"/>
      <c r="T1107" s="9"/>
      <c r="U1107" s="9"/>
      <c r="V1107" s="9"/>
      <c r="W1107" s="9"/>
      <c r="X1107" s="9"/>
      <c r="Y1107" s="9"/>
    </row>
    <row r="1108">
      <c r="A1108" s="9"/>
      <c r="B1108" s="9"/>
      <c r="C1108" s="9"/>
      <c r="D1108" s="9"/>
      <c r="E1108" s="9"/>
      <c r="F1108" s="9"/>
      <c r="G1108" s="9"/>
      <c r="H1108" s="9"/>
      <c r="I1108" s="9"/>
      <c r="J1108" s="9"/>
      <c r="K1108" s="232"/>
      <c r="L1108" s="9"/>
      <c r="M1108" s="9"/>
      <c r="N1108" s="9"/>
      <c r="O1108" s="9"/>
      <c r="P1108" s="9"/>
      <c r="Q1108" s="9"/>
      <c r="R1108" s="9"/>
      <c r="S1108" s="232"/>
      <c r="T1108" s="9"/>
      <c r="U1108" s="9"/>
      <c r="V1108" s="9"/>
      <c r="W1108" s="9"/>
      <c r="X1108" s="9"/>
      <c r="Y1108" s="9"/>
    </row>
    <row r="1109">
      <c r="A1109" s="9"/>
      <c r="B1109" s="9"/>
      <c r="C1109" s="9"/>
      <c r="D1109" s="9"/>
      <c r="E1109" s="9"/>
      <c r="F1109" s="9"/>
      <c r="G1109" s="9"/>
      <c r="H1109" s="9"/>
      <c r="I1109" s="9"/>
      <c r="J1109" s="9"/>
      <c r="K1109" s="232"/>
      <c r="L1109" s="9"/>
      <c r="M1109" s="9"/>
      <c r="N1109" s="9"/>
      <c r="O1109" s="9"/>
      <c r="P1109" s="9"/>
      <c r="Q1109" s="9"/>
      <c r="R1109" s="9"/>
      <c r="S1109" s="232"/>
      <c r="T1109" s="9"/>
      <c r="U1109" s="9"/>
      <c r="V1109" s="9"/>
      <c r="W1109" s="9"/>
      <c r="X1109" s="9"/>
      <c r="Y1109" s="9"/>
    </row>
    <row r="1110">
      <c r="A1110" s="9"/>
      <c r="B1110" s="9"/>
      <c r="C1110" s="9"/>
      <c r="D1110" s="9"/>
      <c r="E1110" s="9"/>
      <c r="F1110" s="9"/>
      <c r="G1110" s="9"/>
      <c r="H1110" s="9"/>
      <c r="I1110" s="9"/>
      <c r="J1110" s="9"/>
      <c r="K1110" s="232"/>
      <c r="L1110" s="9"/>
      <c r="M1110" s="9"/>
      <c r="N1110" s="9"/>
      <c r="O1110" s="9"/>
      <c r="P1110" s="9"/>
      <c r="Q1110" s="9"/>
      <c r="R1110" s="9"/>
      <c r="S1110" s="232"/>
      <c r="T1110" s="9"/>
      <c r="U1110" s="9"/>
      <c r="V1110" s="9"/>
      <c r="W1110" s="9"/>
      <c r="X1110" s="9"/>
      <c r="Y1110" s="9"/>
    </row>
    <row r="1111">
      <c r="A1111" s="9"/>
      <c r="B1111" s="9"/>
      <c r="C1111" s="9"/>
      <c r="D1111" s="9"/>
      <c r="E1111" s="9"/>
      <c r="F1111" s="9"/>
      <c r="G1111" s="9"/>
      <c r="H1111" s="9"/>
      <c r="I1111" s="9"/>
      <c r="J1111" s="9"/>
      <c r="K1111" s="232"/>
      <c r="L1111" s="9"/>
      <c r="M1111" s="9"/>
      <c r="N1111" s="9"/>
      <c r="O1111" s="9"/>
      <c r="P1111" s="9"/>
      <c r="Q1111" s="9"/>
      <c r="R1111" s="9"/>
      <c r="S1111" s="232"/>
      <c r="T1111" s="9"/>
      <c r="U1111" s="9"/>
      <c r="V1111" s="9"/>
      <c r="W1111" s="9"/>
      <c r="X1111" s="9"/>
      <c r="Y1111" s="9"/>
    </row>
    <row r="1112">
      <c r="A1112" s="9"/>
      <c r="B1112" s="9"/>
      <c r="C1112" s="9"/>
      <c r="D1112" s="9"/>
      <c r="E1112" s="9"/>
      <c r="F1112" s="9"/>
      <c r="G1112" s="9"/>
      <c r="H1112" s="9"/>
      <c r="I1112" s="9"/>
      <c r="J1112" s="9"/>
      <c r="K1112" s="232"/>
      <c r="L1112" s="9"/>
      <c r="M1112" s="9"/>
      <c r="N1112" s="9"/>
      <c r="O1112" s="9"/>
      <c r="P1112" s="9"/>
      <c r="Q1112" s="9"/>
      <c r="R1112" s="9"/>
      <c r="S1112" s="232"/>
      <c r="T1112" s="9"/>
      <c r="U1112" s="9"/>
      <c r="V1112" s="9"/>
      <c r="W1112" s="9"/>
      <c r="X1112" s="9"/>
      <c r="Y1112" s="9"/>
    </row>
    <row r="1113">
      <c r="A1113" s="9"/>
      <c r="B1113" s="9"/>
      <c r="C1113" s="9"/>
      <c r="D1113" s="9"/>
      <c r="E1113" s="9"/>
      <c r="F1113" s="9"/>
      <c r="G1113" s="9"/>
      <c r="H1113" s="9"/>
      <c r="I1113" s="9"/>
      <c r="J1113" s="9"/>
      <c r="K1113" s="232"/>
      <c r="L1113" s="9"/>
      <c r="M1113" s="9"/>
      <c r="N1113" s="9"/>
      <c r="O1113" s="9"/>
      <c r="P1113" s="9"/>
      <c r="Q1113" s="9"/>
      <c r="R1113" s="9"/>
      <c r="S1113" s="232"/>
      <c r="T1113" s="9"/>
      <c r="U1113" s="9"/>
      <c r="V1113" s="9"/>
      <c r="W1113" s="9"/>
      <c r="X1113" s="9"/>
      <c r="Y1113" s="9"/>
    </row>
    <row r="1114">
      <c r="A1114" s="9"/>
      <c r="B1114" s="9"/>
      <c r="C1114" s="9"/>
      <c r="D1114" s="9"/>
      <c r="E1114" s="9"/>
      <c r="F1114" s="9"/>
      <c r="G1114" s="9"/>
      <c r="H1114" s="9"/>
      <c r="I1114" s="9"/>
      <c r="J1114" s="9"/>
      <c r="K1114" s="232"/>
      <c r="L1114" s="9"/>
      <c r="M1114" s="9"/>
      <c r="N1114" s="9"/>
      <c r="O1114" s="9"/>
      <c r="P1114" s="9"/>
      <c r="Q1114" s="9"/>
      <c r="R1114" s="9"/>
      <c r="S1114" s="232"/>
      <c r="T1114" s="9"/>
      <c r="U1114" s="9"/>
      <c r="V1114" s="9"/>
      <c r="W1114" s="9"/>
      <c r="X1114" s="9"/>
      <c r="Y1114" s="9"/>
    </row>
    <row r="1115">
      <c r="A1115" s="9"/>
      <c r="B1115" s="9"/>
      <c r="C1115" s="9"/>
      <c r="D1115" s="9"/>
      <c r="E1115" s="9"/>
      <c r="F1115" s="9"/>
      <c r="G1115" s="9"/>
      <c r="H1115" s="9"/>
      <c r="I1115" s="9"/>
      <c r="J1115" s="9"/>
      <c r="K1115" s="232"/>
      <c r="L1115" s="9"/>
      <c r="M1115" s="9"/>
      <c r="N1115" s="9"/>
      <c r="O1115" s="9"/>
      <c r="P1115" s="9"/>
      <c r="Q1115" s="9"/>
      <c r="R1115" s="9"/>
      <c r="S1115" s="232"/>
      <c r="T1115" s="9"/>
      <c r="U1115" s="9"/>
      <c r="V1115" s="9"/>
      <c r="W1115" s="9"/>
      <c r="X1115" s="9"/>
      <c r="Y1115" s="9"/>
    </row>
    <row r="1116">
      <c r="A1116" s="9"/>
      <c r="B1116" s="9"/>
      <c r="C1116" s="9"/>
      <c r="D1116" s="9"/>
      <c r="E1116" s="9"/>
      <c r="F1116" s="9"/>
      <c r="G1116" s="9"/>
      <c r="H1116" s="9"/>
      <c r="I1116" s="9"/>
      <c r="J1116" s="9"/>
      <c r="K1116" s="232"/>
      <c r="L1116" s="9"/>
      <c r="M1116" s="9"/>
      <c r="N1116" s="9"/>
      <c r="O1116" s="9"/>
      <c r="P1116" s="9"/>
      <c r="Q1116" s="9"/>
      <c r="R1116" s="9"/>
      <c r="S1116" s="232"/>
      <c r="T1116" s="9"/>
      <c r="U1116" s="9"/>
      <c r="V1116" s="9"/>
      <c r="W1116" s="9"/>
      <c r="X1116" s="9"/>
      <c r="Y1116" s="9"/>
    </row>
    <row r="1117">
      <c r="A1117" s="9"/>
      <c r="B1117" s="9"/>
      <c r="C1117" s="9"/>
      <c r="D1117" s="9"/>
      <c r="E1117" s="9"/>
      <c r="F1117" s="9"/>
      <c r="G1117" s="9"/>
      <c r="H1117" s="9"/>
      <c r="I1117" s="9"/>
      <c r="J1117" s="9"/>
      <c r="K1117" s="232"/>
      <c r="L1117" s="9"/>
      <c r="M1117" s="9"/>
      <c r="N1117" s="9"/>
      <c r="O1117" s="9"/>
      <c r="P1117" s="9"/>
      <c r="Q1117" s="9"/>
      <c r="R1117" s="9"/>
      <c r="S1117" s="232"/>
      <c r="T1117" s="9"/>
      <c r="U1117" s="9"/>
      <c r="V1117" s="9"/>
      <c r="W1117" s="9"/>
      <c r="X1117" s="9"/>
      <c r="Y1117" s="9"/>
    </row>
    <row r="1118">
      <c r="A1118" s="9"/>
      <c r="B1118" s="9"/>
      <c r="C1118" s="9"/>
      <c r="D1118" s="9"/>
      <c r="E1118" s="9"/>
      <c r="F1118" s="9"/>
      <c r="G1118" s="9"/>
      <c r="H1118" s="9"/>
      <c r="I1118" s="9"/>
      <c r="J1118" s="9"/>
      <c r="K1118" s="232"/>
      <c r="L1118" s="9"/>
      <c r="M1118" s="9"/>
      <c r="N1118" s="9"/>
      <c r="O1118" s="9"/>
      <c r="P1118" s="9"/>
      <c r="Q1118" s="9"/>
      <c r="R1118" s="9"/>
      <c r="S1118" s="232"/>
      <c r="T1118" s="9"/>
      <c r="U1118" s="9"/>
      <c r="V1118" s="9"/>
      <c r="W1118" s="9"/>
      <c r="X1118" s="9"/>
      <c r="Y1118" s="9"/>
    </row>
    <row r="1119">
      <c r="A1119" s="9"/>
      <c r="B1119" s="9"/>
      <c r="C1119" s="9"/>
      <c r="D1119" s="9"/>
      <c r="E1119" s="9"/>
      <c r="F1119" s="9"/>
      <c r="G1119" s="9"/>
      <c r="H1119" s="9"/>
      <c r="I1119" s="9"/>
      <c r="J1119" s="9"/>
      <c r="K1119" s="232"/>
      <c r="L1119" s="9"/>
      <c r="M1119" s="9"/>
      <c r="N1119" s="9"/>
      <c r="O1119" s="9"/>
      <c r="P1119" s="9"/>
      <c r="Q1119" s="9"/>
      <c r="R1119" s="9"/>
      <c r="S1119" s="232"/>
      <c r="T1119" s="9"/>
      <c r="U1119" s="9"/>
      <c r="V1119" s="9"/>
      <c r="W1119" s="9"/>
      <c r="X1119" s="9"/>
      <c r="Y1119" s="9"/>
    </row>
    <row r="1120">
      <c r="A1120" s="9"/>
      <c r="B1120" s="9"/>
      <c r="C1120" s="9"/>
      <c r="D1120" s="9"/>
      <c r="E1120" s="9"/>
      <c r="F1120" s="9"/>
      <c r="G1120" s="9"/>
      <c r="H1120" s="9"/>
      <c r="I1120" s="9"/>
      <c r="J1120" s="9"/>
      <c r="K1120" s="232"/>
      <c r="L1120" s="9"/>
      <c r="M1120" s="9"/>
      <c r="N1120" s="9"/>
      <c r="O1120" s="9"/>
      <c r="P1120" s="9"/>
      <c r="Q1120" s="9"/>
      <c r="R1120" s="9"/>
      <c r="S1120" s="232"/>
      <c r="T1120" s="9"/>
      <c r="U1120" s="9"/>
      <c r="V1120" s="9"/>
      <c r="W1120" s="9"/>
      <c r="X1120" s="9"/>
      <c r="Y1120" s="9"/>
    </row>
    <row r="1121">
      <c r="A1121" s="9"/>
      <c r="B1121" s="9"/>
      <c r="C1121" s="9"/>
      <c r="D1121" s="9"/>
      <c r="E1121" s="9"/>
      <c r="F1121" s="9"/>
      <c r="G1121" s="9"/>
      <c r="H1121" s="9"/>
      <c r="I1121" s="9"/>
      <c r="J1121" s="9"/>
      <c r="K1121" s="232"/>
      <c r="L1121" s="9"/>
      <c r="M1121" s="9"/>
      <c r="N1121" s="9"/>
      <c r="O1121" s="9"/>
      <c r="P1121" s="9"/>
      <c r="Q1121" s="9"/>
      <c r="R1121" s="9"/>
      <c r="S1121" s="232"/>
      <c r="T1121" s="9"/>
      <c r="U1121" s="9"/>
      <c r="V1121" s="9"/>
      <c r="W1121" s="9"/>
      <c r="X1121" s="9"/>
      <c r="Y1121" s="9"/>
    </row>
    <row r="1122">
      <c r="A1122" s="9"/>
      <c r="B1122" s="9"/>
      <c r="C1122" s="9"/>
      <c r="D1122" s="9"/>
      <c r="E1122" s="9"/>
      <c r="F1122" s="9"/>
      <c r="G1122" s="9"/>
      <c r="H1122" s="9"/>
      <c r="I1122" s="9"/>
      <c r="J1122" s="9"/>
      <c r="K1122" s="232"/>
      <c r="L1122" s="9"/>
      <c r="M1122" s="9"/>
      <c r="N1122" s="9"/>
      <c r="O1122" s="9"/>
      <c r="P1122" s="9"/>
      <c r="Q1122" s="9"/>
      <c r="R1122" s="9"/>
      <c r="S1122" s="232"/>
      <c r="T1122" s="9"/>
      <c r="U1122" s="9"/>
      <c r="V1122" s="9"/>
      <c r="W1122" s="9"/>
      <c r="X1122" s="9"/>
      <c r="Y1122" s="9"/>
    </row>
    <row r="1123">
      <c r="A1123" s="9"/>
      <c r="B1123" s="9"/>
      <c r="C1123" s="9"/>
      <c r="D1123" s="9"/>
      <c r="E1123" s="9"/>
      <c r="F1123" s="9"/>
      <c r="G1123" s="9"/>
      <c r="H1123" s="9"/>
      <c r="I1123" s="9"/>
      <c r="J1123" s="9"/>
      <c r="K1123" s="232"/>
      <c r="L1123" s="9"/>
      <c r="M1123" s="9"/>
      <c r="N1123" s="9"/>
      <c r="O1123" s="9"/>
      <c r="P1123" s="9"/>
      <c r="Q1123" s="9"/>
      <c r="R1123" s="9"/>
      <c r="S1123" s="232"/>
      <c r="T1123" s="9"/>
      <c r="U1123" s="9"/>
      <c r="V1123" s="9"/>
      <c r="W1123" s="9"/>
      <c r="X1123" s="9"/>
      <c r="Y1123" s="9"/>
    </row>
    <row r="1124">
      <c r="A1124" s="9"/>
      <c r="B1124" s="9"/>
      <c r="C1124" s="9"/>
      <c r="D1124" s="9"/>
      <c r="E1124" s="9"/>
      <c r="F1124" s="9"/>
      <c r="G1124" s="9"/>
      <c r="H1124" s="9"/>
      <c r="I1124" s="9"/>
      <c r="J1124" s="9"/>
      <c r="K1124" s="232"/>
      <c r="L1124" s="9"/>
      <c r="M1124" s="9"/>
      <c r="N1124" s="9"/>
      <c r="O1124" s="9"/>
      <c r="P1124" s="9"/>
      <c r="Q1124" s="9"/>
      <c r="R1124" s="9"/>
      <c r="S1124" s="232"/>
      <c r="T1124" s="9"/>
      <c r="U1124" s="9"/>
      <c r="V1124" s="9"/>
      <c r="W1124" s="9"/>
      <c r="X1124" s="9"/>
      <c r="Y1124" s="9"/>
    </row>
    <row r="1125">
      <c r="A1125" s="9"/>
      <c r="B1125" s="9"/>
      <c r="C1125" s="9"/>
      <c r="D1125" s="9"/>
      <c r="E1125" s="9"/>
      <c r="F1125" s="9"/>
      <c r="G1125" s="9"/>
      <c r="H1125" s="9"/>
      <c r="I1125" s="9"/>
      <c r="J1125" s="9"/>
      <c r="K1125" s="232"/>
      <c r="L1125" s="9"/>
      <c r="M1125" s="9"/>
      <c r="N1125" s="9"/>
      <c r="O1125" s="9"/>
      <c r="P1125" s="9"/>
      <c r="Q1125" s="9"/>
      <c r="R1125" s="9"/>
      <c r="S1125" s="232"/>
      <c r="T1125" s="9"/>
      <c r="U1125" s="9"/>
      <c r="V1125" s="9"/>
      <c r="W1125" s="9"/>
      <c r="X1125" s="9"/>
      <c r="Y1125" s="9"/>
    </row>
    <row r="1126">
      <c r="A1126" s="9"/>
      <c r="B1126" s="9"/>
      <c r="C1126" s="9"/>
      <c r="D1126" s="9"/>
      <c r="E1126" s="9"/>
      <c r="F1126" s="9"/>
      <c r="G1126" s="9"/>
      <c r="H1126" s="9"/>
      <c r="I1126" s="9"/>
      <c r="J1126" s="9"/>
      <c r="K1126" s="232"/>
      <c r="L1126" s="9"/>
      <c r="M1126" s="9"/>
      <c r="N1126" s="9"/>
      <c r="O1126" s="9"/>
      <c r="P1126" s="9"/>
      <c r="Q1126" s="9"/>
      <c r="R1126" s="9"/>
      <c r="S1126" s="232"/>
      <c r="T1126" s="9"/>
      <c r="U1126" s="9"/>
      <c r="V1126" s="9"/>
      <c r="W1126" s="9"/>
      <c r="X1126" s="9"/>
      <c r="Y1126" s="9"/>
    </row>
    <row r="1127">
      <c r="A1127" s="9"/>
      <c r="B1127" s="9"/>
      <c r="C1127" s="9"/>
      <c r="D1127" s="9"/>
      <c r="E1127" s="9"/>
      <c r="F1127" s="9"/>
      <c r="G1127" s="9"/>
      <c r="H1127" s="9"/>
      <c r="I1127" s="9"/>
      <c r="J1127" s="9"/>
      <c r="K1127" s="232"/>
      <c r="L1127" s="9"/>
      <c r="M1127" s="9"/>
      <c r="N1127" s="9"/>
      <c r="O1127" s="9"/>
      <c r="P1127" s="9"/>
      <c r="Q1127" s="9"/>
      <c r="R1127" s="9"/>
      <c r="S1127" s="232"/>
      <c r="T1127" s="9"/>
      <c r="U1127" s="9"/>
      <c r="V1127" s="9"/>
      <c r="W1127" s="9"/>
      <c r="X1127" s="9"/>
      <c r="Y1127" s="9"/>
    </row>
    <row r="1128">
      <c r="A1128" s="9"/>
      <c r="B1128" s="9"/>
      <c r="C1128" s="9"/>
      <c r="D1128" s="9"/>
      <c r="E1128" s="9"/>
      <c r="F1128" s="9"/>
      <c r="G1128" s="9"/>
      <c r="H1128" s="9"/>
      <c r="I1128" s="9"/>
      <c r="J1128" s="9"/>
      <c r="K1128" s="232"/>
      <c r="L1128" s="9"/>
      <c r="M1128" s="9"/>
      <c r="N1128" s="9"/>
      <c r="O1128" s="9"/>
      <c r="P1128" s="9"/>
      <c r="Q1128" s="9"/>
      <c r="R1128" s="9"/>
      <c r="S1128" s="232"/>
      <c r="T1128" s="9"/>
      <c r="U1128" s="9"/>
      <c r="V1128" s="9"/>
      <c r="W1128" s="9"/>
      <c r="X1128" s="9"/>
      <c r="Y1128" s="9"/>
    </row>
    <row r="1129">
      <c r="A1129" s="9"/>
      <c r="B1129" s="9"/>
      <c r="C1129" s="9"/>
      <c r="D1129" s="9"/>
      <c r="E1129" s="9"/>
      <c r="F1129" s="9"/>
      <c r="G1129" s="9"/>
      <c r="H1129" s="9"/>
      <c r="I1129" s="9"/>
      <c r="J1129" s="9"/>
      <c r="K1129" s="232"/>
      <c r="L1129" s="9"/>
      <c r="M1129" s="9"/>
      <c r="N1129" s="9"/>
      <c r="O1129" s="9"/>
      <c r="P1129" s="9"/>
      <c r="Q1129" s="9"/>
      <c r="R1129" s="9"/>
      <c r="S1129" s="232"/>
      <c r="T1129" s="9"/>
      <c r="U1129" s="9"/>
      <c r="V1129" s="9"/>
      <c r="W1129" s="9"/>
      <c r="X1129" s="9"/>
      <c r="Y1129" s="9"/>
    </row>
    <row r="1130">
      <c r="A1130" s="9"/>
      <c r="B1130" s="9"/>
      <c r="C1130" s="9"/>
      <c r="D1130" s="9"/>
      <c r="E1130" s="9"/>
      <c r="F1130" s="9"/>
      <c r="G1130" s="9"/>
      <c r="H1130" s="9"/>
      <c r="I1130" s="9"/>
      <c r="J1130" s="9"/>
      <c r="K1130" s="232"/>
      <c r="L1130" s="9"/>
      <c r="M1130" s="9"/>
      <c r="N1130" s="9"/>
      <c r="O1130" s="9"/>
      <c r="P1130" s="9"/>
      <c r="Q1130" s="9"/>
      <c r="R1130" s="9"/>
      <c r="S1130" s="232"/>
      <c r="T1130" s="9"/>
      <c r="U1130" s="9"/>
      <c r="V1130" s="9"/>
      <c r="W1130" s="9"/>
      <c r="X1130" s="9"/>
      <c r="Y1130" s="9"/>
    </row>
    <row r="1131">
      <c r="A1131" s="9"/>
      <c r="B1131" s="9"/>
      <c r="C1131" s="9"/>
      <c r="D1131" s="9"/>
      <c r="E1131" s="9"/>
      <c r="F1131" s="9"/>
      <c r="G1131" s="9"/>
      <c r="H1131" s="9"/>
      <c r="I1131" s="9"/>
      <c r="J1131" s="9"/>
      <c r="K1131" s="232"/>
      <c r="L1131" s="9"/>
      <c r="M1131" s="9"/>
      <c r="N1131" s="9"/>
      <c r="O1131" s="9"/>
      <c r="P1131" s="9"/>
      <c r="Q1131" s="9"/>
      <c r="R1131" s="9"/>
      <c r="S1131" s="232"/>
      <c r="T1131" s="9"/>
      <c r="U1131" s="9"/>
      <c r="V1131" s="9"/>
      <c r="W1131" s="9"/>
      <c r="X1131" s="9"/>
      <c r="Y1131" s="9"/>
    </row>
    <row r="1132">
      <c r="A1132" s="9"/>
      <c r="B1132" s="9"/>
      <c r="C1132" s="9"/>
      <c r="D1132" s="9"/>
      <c r="E1132" s="9"/>
      <c r="F1132" s="9"/>
      <c r="G1132" s="9"/>
      <c r="H1132" s="9"/>
      <c r="I1132" s="9"/>
      <c r="J1132" s="9"/>
      <c r="K1132" s="232"/>
      <c r="L1132" s="9"/>
      <c r="M1132" s="9"/>
      <c r="N1132" s="9"/>
      <c r="O1132" s="9"/>
      <c r="P1132" s="9"/>
      <c r="Q1132" s="9"/>
      <c r="R1132" s="9"/>
      <c r="S1132" s="232"/>
      <c r="T1132" s="9"/>
      <c r="U1132" s="9"/>
      <c r="V1132" s="9"/>
      <c r="W1132" s="9"/>
      <c r="X1132" s="9"/>
      <c r="Y1132" s="9"/>
    </row>
    <row r="1133">
      <c r="A1133" s="9"/>
      <c r="B1133" s="9"/>
      <c r="C1133" s="9"/>
      <c r="D1133" s="9"/>
      <c r="E1133" s="9"/>
      <c r="F1133" s="9"/>
      <c r="G1133" s="9"/>
      <c r="H1133" s="9"/>
      <c r="I1133" s="9"/>
      <c r="J1133" s="9"/>
      <c r="K1133" s="232"/>
      <c r="L1133" s="9"/>
      <c r="M1133" s="9"/>
      <c r="N1133" s="9"/>
      <c r="O1133" s="9"/>
      <c r="P1133" s="9"/>
      <c r="Q1133" s="9"/>
      <c r="R1133" s="9"/>
      <c r="S1133" s="232"/>
      <c r="T1133" s="9"/>
      <c r="U1133" s="9"/>
      <c r="V1133" s="9"/>
      <c r="W1133" s="9"/>
      <c r="X1133" s="9"/>
      <c r="Y1133" s="9"/>
    </row>
    <row r="1134">
      <c r="A1134" s="9"/>
      <c r="B1134" s="9"/>
      <c r="C1134" s="9"/>
      <c r="D1134" s="9"/>
      <c r="E1134" s="9"/>
      <c r="F1134" s="9"/>
      <c r="G1134" s="9"/>
      <c r="H1134" s="9"/>
      <c r="I1134" s="9"/>
      <c r="J1134" s="9"/>
      <c r="K1134" s="232"/>
      <c r="L1134" s="9"/>
      <c r="M1134" s="9"/>
      <c r="N1134" s="9"/>
      <c r="O1134" s="9"/>
      <c r="P1134" s="9"/>
      <c r="Q1134" s="9"/>
      <c r="R1134" s="9"/>
      <c r="S1134" s="232"/>
      <c r="T1134" s="9"/>
      <c r="U1134" s="9"/>
      <c r="V1134" s="9"/>
      <c r="W1134" s="9"/>
      <c r="X1134" s="9"/>
      <c r="Y1134" s="9"/>
    </row>
    <row r="1135">
      <c r="A1135" s="9"/>
      <c r="B1135" s="9"/>
      <c r="C1135" s="9"/>
      <c r="D1135" s="9"/>
      <c r="E1135" s="9"/>
      <c r="F1135" s="9"/>
      <c r="G1135" s="9"/>
      <c r="H1135" s="9"/>
      <c r="I1135" s="9"/>
      <c r="J1135" s="9"/>
      <c r="K1135" s="232"/>
      <c r="L1135" s="9"/>
      <c r="M1135" s="9"/>
      <c r="N1135" s="9"/>
      <c r="O1135" s="9"/>
      <c r="P1135" s="9"/>
      <c r="Q1135" s="9"/>
      <c r="R1135" s="9"/>
      <c r="S1135" s="232"/>
      <c r="T1135" s="9"/>
      <c r="U1135" s="9"/>
      <c r="V1135" s="9"/>
      <c r="W1135" s="9"/>
      <c r="X1135" s="9"/>
      <c r="Y1135" s="9"/>
    </row>
    <row r="1136">
      <c r="A1136" s="9"/>
      <c r="B1136" s="9"/>
      <c r="C1136" s="9"/>
      <c r="D1136" s="9"/>
      <c r="E1136" s="9"/>
      <c r="F1136" s="9"/>
      <c r="G1136" s="9"/>
      <c r="H1136" s="9"/>
      <c r="I1136" s="9"/>
      <c r="J1136" s="9"/>
      <c r="K1136" s="232"/>
      <c r="L1136" s="9"/>
      <c r="M1136" s="9"/>
      <c r="N1136" s="9"/>
      <c r="O1136" s="9"/>
      <c r="P1136" s="9"/>
      <c r="Q1136" s="9"/>
      <c r="R1136" s="9"/>
      <c r="S1136" s="232"/>
      <c r="T1136" s="9"/>
      <c r="U1136" s="9"/>
      <c r="V1136" s="9"/>
      <c r="W1136" s="9"/>
      <c r="X1136" s="9"/>
      <c r="Y1136" s="9"/>
    </row>
  </sheetData>
  <autoFilter ref="$Z$1:$Z$1136"/>
  <customSheetViews>
    <customSheetView guid="{E3B16FF4-157A-41A8-880D-5DDB83361892}" filter="1" showAutoFilter="1">
      <autoFilter ref="$Z$1:$Z$1042"/>
    </customSheetView>
    <customSheetView guid="{0B48C2DC-E7D4-4DCC-ACB5-09BD4089ED05}" filter="1" showAutoFilter="1">
      <autoFilter ref="$I$5:$I$510">
        <filterColumn colId="0">
          <filters>
            <filter val="1"/>
          </filters>
        </filterColumn>
      </autoFilter>
    </customSheetView>
    <customSheetView guid="{62CFFA2F-2CDE-4159-80E8-0067D9460027}" filter="1" showAutoFilter="1">
      <autoFilter ref="$I$5:$I$510">
        <filterColumn colId="0">
          <filters blank="1">
            <filter val="2"/>
            <filter val="3"/>
            <filter val="4"/>
            <filter val="5"/>
          </filters>
        </filterColumn>
      </autoFilter>
    </customSheetView>
    <customSheetView guid="{C0FD2F62-3ADA-4E44-ABC2-10E955012945}" filter="1" showAutoFilter="1">
      <autoFilter ref="$S$5:$S$510"/>
    </customSheetView>
    <customSheetView guid="{B69A7256-2244-4A5A-98B8-5882F2FF8700}" filter="1" showAutoFilter="1">
      <autoFilter ref="$L$5:$L$510"/>
    </customSheetView>
    <customSheetView guid="{D0A54268-7389-43AB-A5BA-78B6DAB825D3}" filter="1" showAutoFilter="1">
      <autoFilter ref="$K$5:$K$510"/>
    </customSheetView>
    <customSheetView guid="{17EFBF60-FA66-46DD-8C66-7DD74D543108}" filter="1" showAutoFilter="1">
      <autoFilter ref="$A$5:$A$510"/>
    </customSheetView>
    <customSheetView guid="{73395ED9-AE98-48BE-901B-FBF6E91AA159}" filter="1" showAutoFilter="1">
      <autoFilter ref="$O$5:$O$510"/>
    </customSheetView>
    <customSheetView guid="{95107451-AD48-4E36-95D5-D44A7511BFD9}" filter="1" showAutoFilter="1">
      <autoFilter ref="$O$5:$O$510"/>
    </customSheetView>
    <customSheetView guid="{66348944-9FC2-49D4-937A-1A6FEBFF4639}" filter="1" showAutoFilter="1">
      <autoFilter ref="$P$5:$P$510"/>
    </customSheetView>
    <customSheetView guid="{20CAB334-E8B9-4848-AC8F-2E0A8DBFE604}" filter="1" showAutoFilter="1">
      <autoFilter ref="$N$5:$N$510"/>
    </customSheetView>
    <customSheetView guid="{7A661D72-FC41-4646-AEAF-00CD193B6D95}" filter="1" showAutoFilter="1">
      <autoFilter ref="$N$5:$N$510">
        <filterColumn colId="0">
          <filters>
            <filter val="0"/>
          </filters>
        </filterColumn>
      </autoFilter>
    </customSheetView>
    <customSheetView guid="{E86185C4-4744-4607-8BAA-B6F1F3EDD783}" filter="1" showAutoFilter="1">
      <autoFilter ref="$U$5:$U$511">
        <filterColumn colId="0">
          <filters/>
        </filterColumn>
      </autoFilter>
    </customSheetView>
    <customSheetView guid="{E0B68C8C-9E59-4D09-A796-DABAD0F2C26F}" filter="1" showAutoFilter="1">
      <autoFilter ref="$M$5:$M$510"/>
    </customSheetView>
  </customSheetViews>
  <mergeCells count="31">
    <mergeCell ref="N2:P2"/>
    <mergeCell ref="Q2:Q4"/>
    <mergeCell ref="N3:N4"/>
    <mergeCell ref="O3:O4"/>
    <mergeCell ref="P3:P4"/>
    <mergeCell ref="W2:W4"/>
    <mergeCell ref="X2:X4"/>
    <mergeCell ref="R2:R4"/>
    <mergeCell ref="S3:S4"/>
    <mergeCell ref="A1:A4"/>
    <mergeCell ref="B1:B4"/>
    <mergeCell ref="C1:K1"/>
    <mergeCell ref="L1:P1"/>
    <mergeCell ref="W1:Y1"/>
    <mergeCell ref="C2:C4"/>
    <mergeCell ref="Y2:Y4"/>
    <mergeCell ref="T3:T4"/>
    <mergeCell ref="D2:D4"/>
    <mergeCell ref="E2:E4"/>
    <mergeCell ref="F2:F4"/>
    <mergeCell ref="G2:G4"/>
    <mergeCell ref="H2:H4"/>
    <mergeCell ref="I2:I4"/>
    <mergeCell ref="J2:J4"/>
    <mergeCell ref="K2:K4"/>
    <mergeCell ref="L2:L4"/>
    <mergeCell ref="M2:M4"/>
    <mergeCell ref="Q1:U1"/>
    <mergeCell ref="S2:T2"/>
    <mergeCell ref="U2:U4"/>
    <mergeCell ref="V2:V4"/>
  </mergeCells>
  <hyperlinks>
    <hyperlink display="sumber" location="Coder 6!A1" ref="F15"/>
    <hyperlink r:id="rId2" ref="F258"/>
  </hyperlinks>
  <drawing r:id="rId3"/>
  <legacyDrawing r:id="rId4"/>
  <tableParts count="54">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7.57"/>
  </cols>
  <sheetData>
    <row r="1">
      <c r="A1" s="443" t="s">
        <v>5639</v>
      </c>
      <c r="C1" s="444"/>
      <c r="D1" s="444"/>
      <c r="E1" s="444"/>
      <c r="F1" s="445"/>
      <c r="G1" s="445"/>
      <c r="H1" s="445"/>
      <c r="I1" s="445"/>
      <c r="J1" s="445"/>
      <c r="K1" s="445"/>
      <c r="L1" s="445"/>
      <c r="M1" s="445"/>
      <c r="N1" s="445"/>
      <c r="O1" s="445"/>
      <c r="P1" s="445"/>
    </row>
    <row r="2">
      <c r="A2" s="446" t="s">
        <v>5640</v>
      </c>
      <c r="F2" s="445"/>
      <c r="G2" s="445"/>
      <c r="H2" s="445"/>
      <c r="I2" s="445"/>
      <c r="J2" s="445"/>
      <c r="K2" s="445"/>
      <c r="L2" s="445"/>
      <c r="M2" s="445"/>
      <c r="N2" s="445"/>
      <c r="O2" s="445"/>
      <c r="P2" s="445"/>
    </row>
    <row r="3">
      <c r="A3" s="446" t="s">
        <v>5641</v>
      </c>
      <c r="F3" s="445"/>
      <c r="G3" s="445"/>
      <c r="H3" s="445"/>
      <c r="I3" s="445"/>
      <c r="J3" s="445"/>
      <c r="K3" s="445"/>
      <c r="L3" s="445"/>
      <c r="M3" s="445"/>
      <c r="N3" s="445"/>
      <c r="O3" s="445"/>
      <c r="P3" s="445"/>
    </row>
    <row r="4">
      <c r="A4" s="446" t="s">
        <v>5642</v>
      </c>
      <c r="F4" s="447"/>
      <c r="G4" s="447"/>
      <c r="H4" s="447"/>
      <c r="I4" s="445"/>
      <c r="J4" s="445"/>
      <c r="K4" s="445"/>
      <c r="L4" s="445"/>
      <c r="M4" s="445"/>
      <c r="N4" s="445"/>
      <c r="O4" s="445"/>
      <c r="P4" s="445"/>
    </row>
    <row r="5">
      <c r="A5" s="446" t="s">
        <v>5643</v>
      </c>
      <c r="F5" s="445"/>
      <c r="H5" s="445"/>
      <c r="I5" s="445"/>
      <c r="J5" s="445"/>
      <c r="K5" s="445"/>
      <c r="L5" s="445"/>
      <c r="M5" s="445"/>
      <c r="N5" s="445"/>
      <c r="O5" s="445"/>
      <c r="P5" s="445"/>
    </row>
    <row r="6">
      <c r="A6" s="446"/>
      <c r="B6" s="446"/>
      <c r="C6" s="446"/>
      <c r="D6" s="446"/>
      <c r="E6" s="446"/>
      <c r="F6" s="445"/>
      <c r="G6" s="445"/>
      <c r="H6" s="445"/>
      <c r="I6" s="445"/>
      <c r="J6" s="445"/>
      <c r="K6" s="445"/>
      <c r="L6" s="445"/>
      <c r="M6" s="445"/>
      <c r="N6" s="445"/>
      <c r="O6" s="445"/>
      <c r="P6" s="445"/>
    </row>
    <row r="7">
      <c r="A7" s="448" t="s">
        <v>5644</v>
      </c>
      <c r="F7" s="445"/>
      <c r="G7" s="445"/>
      <c r="H7" s="445"/>
      <c r="I7" s="445"/>
      <c r="J7" s="445"/>
      <c r="K7" s="445"/>
      <c r="L7" s="445"/>
      <c r="M7" s="445"/>
      <c r="N7" s="445"/>
      <c r="O7" s="445"/>
      <c r="P7" s="445"/>
    </row>
    <row r="8">
      <c r="A8" s="443"/>
      <c r="B8" s="444"/>
      <c r="C8" s="444"/>
      <c r="D8" s="444"/>
      <c r="E8" s="444"/>
      <c r="F8" s="445"/>
      <c r="G8" s="445"/>
      <c r="H8" s="445"/>
      <c r="I8" s="445"/>
      <c r="J8" s="445"/>
      <c r="K8" s="445"/>
      <c r="L8" s="445"/>
      <c r="M8" s="445"/>
      <c r="N8" s="445"/>
      <c r="O8" s="445"/>
      <c r="P8" s="445"/>
    </row>
    <row r="9">
      <c r="A9" s="449" t="s">
        <v>5645</v>
      </c>
      <c r="B9" s="3"/>
      <c r="C9" s="3"/>
      <c r="D9" s="3"/>
      <c r="E9" s="4"/>
      <c r="F9" s="450" t="s">
        <v>5646</v>
      </c>
      <c r="G9" s="3"/>
      <c r="H9" s="3"/>
      <c r="I9" s="3"/>
      <c r="J9" s="3"/>
      <c r="K9" s="3"/>
      <c r="L9" s="3"/>
      <c r="M9" s="3"/>
      <c r="N9" s="3"/>
      <c r="O9" s="3"/>
      <c r="P9" s="4"/>
      <c r="Q9" s="451"/>
    </row>
    <row r="10">
      <c r="A10" s="452" t="s">
        <v>5647</v>
      </c>
      <c r="B10" s="453" t="s">
        <v>5648</v>
      </c>
      <c r="C10" s="453" t="s">
        <v>5649</v>
      </c>
      <c r="D10" s="453" t="s">
        <v>5650</v>
      </c>
      <c r="E10" s="453" t="s">
        <v>5651</v>
      </c>
      <c r="F10" s="454" t="s">
        <v>5647</v>
      </c>
      <c r="G10" s="455"/>
      <c r="H10" s="453" t="s">
        <v>5651</v>
      </c>
      <c r="I10" s="453" t="s">
        <v>5648</v>
      </c>
      <c r="J10" s="453" t="s">
        <v>5652</v>
      </c>
      <c r="K10" s="456"/>
      <c r="L10" s="456"/>
      <c r="M10" s="456"/>
      <c r="N10" s="456"/>
      <c r="O10" s="453" t="s">
        <v>5653</v>
      </c>
      <c r="P10" s="453" t="s">
        <v>5654</v>
      </c>
      <c r="Q10" s="457"/>
      <c r="R10" s="458"/>
      <c r="S10" s="458"/>
      <c r="T10" s="458"/>
      <c r="U10" s="458"/>
      <c r="V10" s="458"/>
      <c r="W10" s="458"/>
      <c r="X10" s="458"/>
      <c r="Y10" s="458"/>
      <c r="Z10" s="458"/>
      <c r="AA10" s="458"/>
      <c r="AB10" s="458"/>
      <c r="AC10" s="458"/>
      <c r="AD10" s="458"/>
      <c r="AE10" s="458"/>
    </row>
    <row r="11">
      <c r="A11" s="459" t="s">
        <v>5655</v>
      </c>
      <c r="B11" s="460" t="s">
        <v>5656</v>
      </c>
      <c r="C11" s="461" t="s">
        <v>5657</v>
      </c>
      <c r="D11" s="461" t="s">
        <v>5658</v>
      </c>
      <c r="E11" s="461" t="s">
        <v>5659</v>
      </c>
      <c r="F11" s="462" t="s">
        <v>32</v>
      </c>
      <c r="G11" s="463"/>
      <c r="H11" s="462" t="s">
        <v>5660</v>
      </c>
      <c r="I11" s="462" t="s">
        <v>2692</v>
      </c>
      <c r="J11" s="464">
        <v>43474.0</v>
      </c>
      <c r="K11" s="462"/>
      <c r="L11" s="463"/>
      <c r="M11" s="462"/>
      <c r="N11" s="462" t="s">
        <v>5661</v>
      </c>
      <c r="O11" s="463">
        <v>293.0</v>
      </c>
      <c r="P11" s="465" t="s">
        <v>5662</v>
      </c>
      <c r="Q11" s="404"/>
    </row>
    <row r="12">
      <c r="A12" s="459" t="s">
        <v>344</v>
      </c>
      <c r="B12" s="460" t="s">
        <v>5663</v>
      </c>
      <c r="C12" s="461" t="s">
        <v>5664</v>
      </c>
      <c r="D12" s="461" t="s">
        <v>5658</v>
      </c>
      <c r="E12" s="461" t="s">
        <v>5659</v>
      </c>
      <c r="F12" s="271" t="s">
        <v>5665</v>
      </c>
      <c r="G12" s="451"/>
      <c r="H12" s="451"/>
      <c r="I12" s="451"/>
      <c r="J12" s="451"/>
      <c r="K12" s="451"/>
      <c r="L12" s="451"/>
      <c r="M12" s="451"/>
      <c r="N12" s="451"/>
      <c r="O12" s="451"/>
      <c r="P12" s="451"/>
    </row>
    <row r="13">
      <c r="A13" s="459" t="s">
        <v>348</v>
      </c>
      <c r="B13" s="460" t="s">
        <v>5666</v>
      </c>
      <c r="C13" s="461" t="s">
        <v>5667</v>
      </c>
      <c r="D13" s="461" t="s">
        <v>5668</v>
      </c>
      <c r="E13" s="461" t="s">
        <v>5659</v>
      </c>
      <c r="F13" s="271" t="s">
        <v>5665</v>
      </c>
      <c r="G13" s="451"/>
      <c r="H13" s="451"/>
      <c r="I13" s="451"/>
      <c r="J13" s="451"/>
      <c r="K13" s="451"/>
      <c r="L13" s="451"/>
      <c r="M13" s="451"/>
      <c r="N13" s="451"/>
      <c r="O13" s="451"/>
      <c r="P13" s="451"/>
    </row>
    <row r="14">
      <c r="A14" s="459" t="s">
        <v>349</v>
      </c>
      <c r="B14" s="466" t="s">
        <v>5669</v>
      </c>
      <c r="C14" s="467" t="s">
        <v>5670</v>
      </c>
      <c r="D14" s="467" t="s">
        <v>5668</v>
      </c>
      <c r="E14" s="467" t="s">
        <v>5659</v>
      </c>
      <c r="F14" s="271" t="s">
        <v>5665</v>
      </c>
      <c r="G14" s="451"/>
      <c r="H14" s="451"/>
      <c r="I14" s="451"/>
      <c r="J14" s="451"/>
      <c r="K14" s="451"/>
      <c r="L14" s="451"/>
      <c r="M14" s="451"/>
      <c r="N14" s="451"/>
      <c r="O14" s="451"/>
      <c r="P14" s="451"/>
    </row>
    <row r="15">
      <c r="A15" s="459" t="s">
        <v>350</v>
      </c>
      <c r="B15" s="466" t="s">
        <v>5669</v>
      </c>
      <c r="C15" s="467" t="s">
        <v>5671</v>
      </c>
      <c r="D15" s="467" t="s">
        <v>5668</v>
      </c>
      <c r="E15" s="467" t="s">
        <v>5659</v>
      </c>
      <c r="F15" s="271" t="s">
        <v>5665</v>
      </c>
      <c r="G15" s="451"/>
      <c r="H15" s="451"/>
      <c r="I15" s="451"/>
      <c r="J15" s="451"/>
      <c r="K15" s="451"/>
      <c r="L15" s="451"/>
      <c r="M15" s="451"/>
      <c r="N15" s="451"/>
      <c r="O15" s="451"/>
      <c r="P15" s="451"/>
    </row>
    <row r="16">
      <c r="A16" s="459" t="s">
        <v>351</v>
      </c>
      <c r="B16" s="466" t="s">
        <v>5663</v>
      </c>
      <c r="C16" s="467" t="s">
        <v>5671</v>
      </c>
      <c r="D16" s="467" t="s">
        <v>5668</v>
      </c>
      <c r="E16" s="467" t="s">
        <v>5659</v>
      </c>
      <c r="F16" s="271" t="s">
        <v>5665</v>
      </c>
      <c r="G16" s="451"/>
      <c r="H16" s="451"/>
      <c r="I16" s="451"/>
      <c r="J16" s="451"/>
      <c r="K16" s="451"/>
      <c r="L16" s="451"/>
      <c r="M16" s="451"/>
      <c r="N16" s="451"/>
      <c r="O16" s="451"/>
      <c r="P16" s="451"/>
    </row>
    <row r="17">
      <c r="A17" s="459" t="s">
        <v>352</v>
      </c>
      <c r="B17" s="466" t="s">
        <v>5672</v>
      </c>
      <c r="C17" s="467" t="s">
        <v>5664</v>
      </c>
      <c r="D17" s="467" t="s">
        <v>5668</v>
      </c>
      <c r="E17" s="467" t="s">
        <v>5659</v>
      </c>
      <c r="F17" s="271" t="s">
        <v>5665</v>
      </c>
      <c r="G17" s="451"/>
      <c r="H17" s="451"/>
      <c r="I17" s="451"/>
      <c r="J17" s="451"/>
      <c r="K17" s="451"/>
      <c r="L17" s="451"/>
      <c r="M17" s="451"/>
      <c r="N17" s="451"/>
      <c r="O17" s="451"/>
      <c r="P17" s="451"/>
    </row>
    <row r="18">
      <c r="A18" s="459" t="s">
        <v>362</v>
      </c>
      <c r="B18" s="466" t="s">
        <v>5673</v>
      </c>
      <c r="C18" s="467" t="s">
        <v>5671</v>
      </c>
      <c r="D18" s="467" t="s">
        <v>5668</v>
      </c>
      <c r="E18" s="467" t="s">
        <v>5659</v>
      </c>
      <c r="F18" s="271" t="s">
        <v>5665</v>
      </c>
      <c r="G18" s="451"/>
      <c r="H18" s="451"/>
      <c r="I18" s="451"/>
      <c r="J18" s="451"/>
      <c r="K18" s="451"/>
      <c r="L18" s="451"/>
      <c r="M18" s="451"/>
      <c r="N18" s="451"/>
      <c r="O18" s="451"/>
      <c r="P18" s="451"/>
    </row>
    <row r="19">
      <c r="A19" s="459" t="s">
        <v>5674</v>
      </c>
      <c r="B19" s="466" t="s">
        <v>5666</v>
      </c>
      <c r="C19" s="467" t="s">
        <v>5670</v>
      </c>
      <c r="D19" s="467" t="s">
        <v>5675</v>
      </c>
      <c r="E19" s="467" t="s">
        <v>5659</v>
      </c>
      <c r="F19" s="404" t="s">
        <v>363</v>
      </c>
      <c r="G19" s="468"/>
      <c r="H19" s="404" t="s">
        <v>5660</v>
      </c>
      <c r="I19" s="404" t="s">
        <v>2698</v>
      </c>
      <c r="J19" s="469">
        <v>43526.0</v>
      </c>
      <c r="K19" s="404"/>
      <c r="L19" s="468"/>
      <c r="M19" s="404"/>
      <c r="N19" s="404" t="s">
        <v>5676</v>
      </c>
      <c r="O19" s="468">
        <v>410.0</v>
      </c>
      <c r="P19" s="470" t="s">
        <v>5677</v>
      </c>
      <c r="Q19" s="351"/>
    </row>
    <row r="20">
      <c r="A20" s="459" t="s">
        <v>5678</v>
      </c>
      <c r="B20" s="466" t="s">
        <v>5669</v>
      </c>
      <c r="C20" s="467" t="s">
        <v>5671</v>
      </c>
      <c r="D20" s="467" t="s">
        <v>5675</v>
      </c>
      <c r="E20" s="467" t="s">
        <v>5659</v>
      </c>
      <c r="F20" s="404" t="s">
        <v>365</v>
      </c>
      <c r="G20" s="468"/>
      <c r="H20" s="404" t="s">
        <v>5660</v>
      </c>
      <c r="I20" s="404" t="s">
        <v>2740</v>
      </c>
      <c r="J20" s="469">
        <v>43527.0</v>
      </c>
      <c r="K20" s="404"/>
      <c r="L20" s="468"/>
      <c r="M20" s="404"/>
      <c r="N20" s="404" t="s">
        <v>5679</v>
      </c>
      <c r="O20" s="468">
        <v>449.0</v>
      </c>
      <c r="P20" s="470" t="s">
        <v>5680</v>
      </c>
      <c r="Q20" s="404"/>
    </row>
    <row r="21">
      <c r="A21" s="459" t="s">
        <v>367</v>
      </c>
      <c r="B21" s="466" t="s">
        <v>5663</v>
      </c>
      <c r="C21" s="467" t="s">
        <v>5671</v>
      </c>
      <c r="D21" s="467" t="s">
        <v>5675</v>
      </c>
      <c r="E21" s="467" t="s">
        <v>5659</v>
      </c>
      <c r="F21" s="271" t="s">
        <v>5665</v>
      </c>
      <c r="G21" s="451"/>
      <c r="H21" s="451"/>
      <c r="I21" s="451"/>
      <c r="J21" s="451"/>
      <c r="K21" s="451"/>
      <c r="L21" s="451"/>
      <c r="M21" s="451"/>
      <c r="N21" s="451"/>
      <c r="O21" s="451"/>
      <c r="P21" s="451"/>
    </row>
    <row r="22">
      <c r="A22" s="459" t="s">
        <v>368</v>
      </c>
      <c r="B22" s="466" t="s">
        <v>5669</v>
      </c>
      <c r="C22" s="467" t="s">
        <v>5681</v>
      </c>
      <c r="D22" s="467" t="s">
        <v>5675</v>
      </c>
      <c r="E22" s="467" t="s">
        <v>5659</v>
      </c>
      <c r="F22" s="271" t="s">
        <v>5665</v>
      </c>
      <c r="G22" s="451"/>
      <c r="H22" s="451"/>
      <c r="I22" s="451"/>
      <c r="J22" s="451"/>
      <c r="K22" s="451"/>
      <c r="L22" s="451"/>
      <c r="M22" s="451"/>
      <c r="N22" s="451"/>
      <c r="O22" s="451"/>
      <c r="P22" s="451"/>
    </row>
    <row r="23">
      <c r="A23" s="459" t="s">
        <v>369</v>
      </c>
      <c r="B23" s="466" t="s">
        <v>5663</v>
      </c>
      <c r="C23" s="467" t="s">
        <v>5664</v>
      </c>
      <c r="D23" s="467" t="s">
        <v>5675</v>
      </c>
      <c r="E23" s="467" t="s">
        <v>5659</v>
      </c>
      <c r="F23" s="271" t="s">
        <v>5665</v>
      </c>
      <c r="G23" s="451"/>
      <c r="H23" s="451"/>
      <c r="I23" s="451"/>
      <c r="J23" s="451"/>
      <c r="K23" s="451"/>
      <c r="L23" s="451"/>
      <c r="M23" s="451"/>
      <c r="N23" s="451"/>
      <c r="O23" s="451"/>
      <c r="P23" s="451"/>
    </row>
    <row r="24">
      <c r="A24" s="459" t="s">
        <v>370</v>
      </c>
      <c r="B24" s="466" t="s">
        <v>5673</v>
      </c>
      <c r="C24" s="467" t="s">
        <v>5682</v>
      </c>
      <c r="D24" s="467" t="s">
        <v>5675</v>
      </c>
      <c r="E24" s="467" t="s">
        <v>5659</v>
      </c>
      <c r="F24" s="271" t="s">
        <v>5665</v>
      </c>
      <c r="G24" s="451"/>
      <c r="H24" s="451"/>
      <c r="I24" s="451"/>
      <c r="J24" s="451"/>
      <c r="K24" s="451"/>
      <c r="L24" s="451"/>
      <c r="M24" s="451"/>
      <c r="N24" s="451"/>
      <c r="O24" s="451"/>
      <c r="P24" s="451"/>
    </row>
    <row r="25">
      <c r="A25" s="459" t="s">
        <v>371</v>
      </c>
      <c r="B25" s="466" t="s">
        <v>5673</v>
      </c>
      <c r="C25" s="467" t="s">
        <v>5657</v>
      </c>
      <c r="D25" s="467" t="s">
        <v>5675</v>
      </c>
      <c r="E25" s="467" t="s">
        <v>5659</v>
      </c>
      <c r="F25" s="271" t="s">
        <v>5665</v>
      </c>
      <c r="G25" s="451"/>
      <c r="H25" s="451"/>
      <c r="I25" s="451"/>
      <c r="J25" s="451"/>
      <c r="K25" s="451"/>
      <c r="L25" s="451"/>
      <c r="M25" s="451"/>
      <c r="N25" s="451"/>
      <c r="O25" s="451"/>
      <c r="P25" s="451"/>
    </row>
    <row r="26">
      <c r="A26" s="459" t="s">
        <v>376</v>
      </c>
      <c r="B26" s="466" t="s">
        <v>5669</v>
      </c>
      <c r="C26" s="467" t="s">
        <v>5681</v>
      </c>
      <c r="D26" s="467" t="s">
        <v>5683</v>
      </c>
      <c r="E26" s="467" t="s">
        <v>5659</v>
      </c>
      <c r="F26" s="271" t="s">
        <v>5665</v>
      </c>
      <c r="G26" s="451"/>
      <c r="H26" s="451"/>
      <c r="I26" s="451"/>
      <c r="J26" s="451"/>
      <c r="K26" s="451"/>
      <c r="L26" s="451"/>
      <c r="M26" s="451"/>
      <c r="N26" s="451"/>
      <c r="O26" s="451"/>
      <c r="P26" s="451"/>
    </row>
    <row r="27">
      <c r="A27" s="459" t="s">
        <v>2039</v>
      </c>
      <c r="B27" s="466" t="s">
        <v>5684</v>
      </c>
      <c r="C27" s="467" t="s">
        <v>5664</v>
      </c>
      <c r="D27" s="467" t="s">
        <v>5683</v>
      </c>
      <c r="E27" s="467" t="s">
        <v>5659</v>
      </c>
      <c r="F27" s="404" t="s">
        <v>377</v>
      </c>
      <c r="G27" s="468"/>
      <c r="H27" s="404" t="s">
        <v>5660</v>
      </c>
      <c r="I27" s="404" t="s">
        <v>2707</v>
      </c>
      <c r="J27" s="469">
        <v>43559.0</v>
      </c>
      <c r="K27" s="404"/>
      <c r="L27" s="468"/>
      <c r="M27" s="404"/>
      <c r="N27" s="404" t="s">
        <v>5685</v>
      </c>
      <c r="O27" s="468">
        <v>294.0</v>
      </c>
      <c r="P27" s="471" t="s">
        <v>5686</v>
      </c>
      <c r="Q27" s="404"/>
    </row>
    <row r="28">
      <c r="A28" s="459" t="s">
        <v>5687</v>
      </c>
      <c r="B28" s="466" t="s">
        <v>5666</v>
      </c>
      <c r="C28" s="467" t="s">
        <v>5682</v>
      </c>
      <c r="D28" s="467" t="s">
        <v>5683</v>
      </c>
      <c r="E28" s="467" t="s">
        <v>5659</v>
      </c>
      <c r="F28" s="404" t="s">
        <v>379</v>
      </c>
      <c r="G28" s="468"/>
      <c r="H28" s="404" t="s">
        <v>5660</v>
      </c>
      <c r="I28" s="404" t="s">
        <v>2698</v>
      </c>
      <c r="J28" s="469">
        <v>43556.0</v>
      </c>
      <c r="K28" s="404"/>
      <c r="L28" s="468"/>
      <c r="M28" s="404"/>
      <c r="N28" s="404" t="s">
        <v>5688</v>
      </c>
      <c r="O28" s="468">
        <v>491.0</v>
      </c>
      <c r="P28" s="471" t="s">
        <v>5689</v>
      </c>
      <c r="Q28" s="404" t="s">
        <v>5690</v>
      </c>
    </row>
    <row r="29">
      <c r="A29" s="459" t="s">
        <v>383</v>
      </c>
      <c r="B29" s="466" t="s">
        <v>5663</v>
      </c>
      <c r="C29" s="467" t="s">
        <v>5664</v>
      </c>
      <c r="D29" s="467" t="s">
        <v>5683</v>
      </c>
      <c r="E29" s="467" t="s">
        <v>5659</v>
      </c>
      <c r="F29" s="271" t="s">
        <v>5665</v>
      </c>
      <c r="G29" s="451"/>
      <c r="H29" s="451"/>
      <c r="I29" s="451"/>
      <c r="J29" s="451"/>
      <c r="K29" s="451"/>
      <c r="L29" s="451"/>
      <c r="M29" s="451"/>
      <c r="N29" s="451"/>
      <c r="O29" s="451"/>
      <c r="P29" s="451"/>
    </row>
    <row r="30">
      <c r="A30" s="459" t="s">
        <v>384</v>
      </c>
      <c r="B30" s="466" t="s">
        <v>5691</v>
      </c>
      <c r="C30" s="467" t="s">
        <v>5667</v>
      </c>
      <c r="D30" s="467" t="s">
        <v>5683</v>
      </c>
      <c r="E30" s="467" t="s">
        <v>5659</v>
      </c>
      <c r="F30" s="271" t="s">
        <v>5665</v>
      </c>
      <c r="G30" s="451"/>
      <c r="H30" s="451"/>
      <c r="I30" s="451"/>
      <c r="J30" s="451"/>
      <c r="K30" s="451"/>
      <c r="L30" s="451"/>
      <c r="M30" s="451"/>
      <c r="N30" s="451"/>
      <c r="O30" s="451"/>
      <c r="P30" s="451"/>
    </row>
    <row r="31">
      <c r="A31" s="459" t="s">
        <v>388</v>
      </c>
      <c r="B31" s="466" t="s">
        <v>5663</v>
      </c>
      <c r="C31" s="467" t="s">
        <v>5670</v>
      </c>
      <c r="D31" s="467" t="s">
        <v>5692</v>
      </c>
      <c r="E31" s="467" t="s">
        <v>5659</v>
      </c>
      <c r="F31" s="271" t="s">
        <v>5665</v>
      </c>
      <c r="G31" s="451"/>
      <c r="H31" s="451"/>
      <c r="I31" s="451"/>
      <c r="J31" s="451"/>
      <c r="K31" s="451"/>
      <c r="L31" s="451"/>
      <c r="M31" s="451"/>
      <c r="N31" s="451"/>
      <c r="O31" s="451"/>
      <c r="P31" s="451"/>
    </row>
    <row r="32">
      <c r="A32" s="459" t="s">
        <v>5693</v>
      </c>
      <c r="B32" s="466" t="s">
        <v>5656</v>
      </c>
      <c r="C32" s="467" t="s">
        <v>5671</v>
      </c>
      <c r="D32" s="467" t="s">
        <v>5692</v>
      </c>
      <c r="E32" s="467" t="s">
        <v>5659</v>
      </c>
      <c r="F32" s="404" t="s">
        <v>389</v>
      </c>
      <c r="G32" s="468"/>
      <c r="H32" s="404" t="s">
        <v>5660</v>
      </c>
      <c r="I32" s="404" t="s">
        <v>2692</v>
      </c>
      <c r="J32" s="469">
        <v>43604.0</v>
      </c>
      <c r="K32" s="404"/>
      <c r="L32" s="468"/>
      <c r="M32" s="404"/>
      <c r="N32" s="404" t="s">
        <v>5694</v>
      </c>
      <c r="O32" s="468">
        <v>344.0</v>
      </c>
      <c r="P32" s="470" t="s">
        <v>5695</v>
      </c>
      <c r="Q32" s="404"/>
    </row>
    <row r="33">
      <c r="A33" s="459" t="s">
        <v>5696</v>
      </c>
      <c r="B33" s="466" t="s">
        <v>5663</v>
      </c>
      <c r="C33" s="467" t="s">
        <v>5657</v>
      </c>
      <c r="D33" s="467" t="s">
        <v>5692</v>
      </c>
      <c r="E33" s="467" t="s">
        <v>5659</v>
      </c>
      <c r="F33" s="404" t="s">
        <v>393</v>
      </c>
      <c r="G33" s="468"/>
      <c r="H33" s="404" t="s">
        <v>5660</v>
      </c>
      <c r="I33" s="404" t="s">
        <v>2709</v>
      </c>
      <c r="J33" s="469">
        <v>43600.0</v>
      </c>
      <c r="K33" s="404"/>
      <c r="L33" s="468"/>
      <c r="M33" s="404"/>
      <c r="N33" s="404" t="s">
        <v>5697</v>
      </c>
      <c r="O33" s="468">
        <v>1282.0</v>
      </c>
      <c r="P33" s="470" t="s">
        <v>5698</v>
      </c>
      <c r="Q33" s="404"/>
    </row>
    <row r="34">
      <c r="A34" s="459" t="s">
        <v>396</v>
      </c>
      <c r="B34" s="466" t="s">
        <v>5673</v>
      </c>
      <c r="C34" s="467" t="s">
        <v>5657</v>
      </c>
      <c r="D34" s="467" t="s">
        <v>5692</v>
      </c>
      <c r="E34" s="467" t="s">
        <v>5659</v>
      </c>
      <c r="F34" s="271" t="s">
        <v>5665</v>
      </c>
      <c r="G34" s="451"/>
      <c r="H34" s="451"/>
      <c r="I34" s="451"/>
      <c r="J34" s="451"/>
      <c r="K34" s="451"/>
      <c r="L34" s="451"/>
      <c r="M34" s="451"/>
      <c r="N34" s="451"/>
      <c r="O34" s="451"/>
      <c r="P34" s="451"/>
    </row>
    <row r="35">
      <c r="A35" s="459" t="s">
        <v>397</v>
      </c>
      <c r="B35" s="466" t="s">
        <v>5684</v>
      </c>
      <c r="C35" s="467" t="s">
        <v>5670</v>
      </c>
      <c r="D35" s="467" t="s">
        <v>5692</v>
      </c>
      <c r="E35" s="467" t="s">
        <v>5659</v>
      </c>
      <c r="F35" s="271" t="s">
        <v>5665</v>
      </c>
      <c r="G35" s="451"/>
      <c r="H35" s="451"/>
      <c r="I35" s="451"/>
      <c r="J35" s="451"/>
      <c r="K35" s="451"/>
      <c r="L35" s="451"/>
      <c r="M35" s="451"/>
      <c r="N35" s="451"/>
      <c r="O35" s="451"/>
      <c r="P35" s="451"/>
    </row>
    <row r="36">
      <c r="A36" s="459" t="s">
        <v>398</v>
      </c>
      <c r="B36" s="466" t="s">
        <v>5691</v>
      </c>
      <c r="C36" s="467" t="s">
        <v>5671</v>
      </c>
      <c r="D36" s="467" t="s">
        <v>5692</v>
      </c>
      <c r="E36" s="467" t="s">
        <v>5659</v>
      </c>
      <c r="F36" s="271" t="s">
        <v>5665</v>
      </c>
      <c r="G36" s="451"/>
      <c r="H36" s="451"/>
      <c r="I36" s="451"/>
      <c r="J36" s="451"/>
      <c r="K36" s="451"/>
      <c r="L36" s="451"/>
      <c r="M36" s="451"/>
      <c r="N36" s="451"/>
      <c r="O36" s="451"/>
      <c r="P36" s="451"/>
    </row>
    <row r="37">
      <c r="A37" s="459" t="s">
        <v>399</v>
      </c>
      <c r="B37" s="466" t="s">
        <v>5699</v>
      </c>
      <c r="C37" s="467" t="s">
        <v>5682</v>
      </c>
      <c r="D37" s="467" t="s">
        <v>5692</v>
      </c>
      <c r="E37" s="467" t="s">
        <v>5659</v>
      </c>
      <c r="F37" s="271" t="s">
        <v>5665</v>
      </c>
      <c r="G37" s="451"/>
      <c r="H37" s="451"/>
      <c r="I37" s="451"/>
      <c r="J37" s="451"/>
      <c r="K37" s="451"/>
      <c r="L37" s="451"/>
      <c r="M37" s="451"/>
      <c r="N37" s="451"/>
      <c r="O37" s="451"/>
      <c r="P37" s="451"/>
    </row>
    <row r="38">
      <c r="A38" s="459" t="s">
        <v>400</v>
      </c>
      <c r="B38" s="466" t="s">
        <v>5666</v>
      </c>
      <c r="C38" s="467" t="s">
        <v>5681</v>
      </c>
      <c r="D38" s="467" t="s">
        <v>5692</v>
      </c>
      <c r="E38" s="467" t="s">
        <v>5659</v>
      </c>
      <c r="F38" s="271" t="s">
        <v>5665</v>
      </c>
      <c r="G38" s="451"/>
      <c r="H38" s="451"/>
      <c r="I38" s="451"/>
      <c r="J38" s="451"/>
      <c r="K38" s="451"/>
      <c r="L38" s="451"/>
      <c r="M38" s="451"/>
      <c r="N38" s="451"/>
      <c r="O38" s="451"/>
      <c r="P38" s="451"/>
    </row>
    <row r="39">
      <c r="A39" s="459" t="s">
        <v>2995</v>
      </c>
      <c r="B39" s="466" t="s">
        <v>5684</v>
      </c>
      <c r="C39" s="467" t="s">
        <v>5664</v>
      </c>
      <c r="D39" s="467" t="s">
        <v>5692</v>
      </c>
      <c r="E39" s="467" t="s">
        <v>5659</v>
      </c>
      <c r="F39" s="351" t="s">
        <v>5700</v>
      </c>
      <c r="G39" s="472"/>
      <c r="H39" s="351"/>
      <c r="I39" s="351"/>
      <c r="J39" s="473"/>
      <c r="K39" s="351"/>
      <c r="L39" s="472"/>
      <c r="M39" s="351"/>
      <c r="N39" s="351"/>
      <c r="O39" s="472"/>
      <c r="P39" s="474"/>
      <c r="Q39" s="351"/>
    </row>
    <row r="40">
      <c r="A40" s="459" t="s">
        <v>406</v>
      </c>
      <c r="B40" s="466" t="s">
        <v>5701</v>
      </c>
      <c r="C40" s="467" t="s">
        <v>5667</v>
      </c>
      <c r="D40" s="467" t="s">
        <v>5692</v>
      </c>
      <c r="E40" s="467" t="s">
        <v>5659</v>
      </c>
      <c r="F40" s="271" t="s">
        <v>5665</v>
      </c>
      <c r="G40" s="451"/>
      <c r="H40" s="451"/>
      <c r="I40" s="451"/>
      <c r="J40" s="451"/>
      <c r="K40" s="451"/>
      <c r="L40" s="451"/>
      <c r="M40" s="451"/>
      <c r="N40" s="451"/>
      <c r="O40" s="451"/>
      <c r="P40" s="451"/>
    </row>
    <row r="41">
      <c r="A41" s="459" t="s">
        <v>5702</v>
      </c>
      <c r="B41" s="466" t="s">
        <v>5691</v>
      </c>
      <c r="C41" s="467" t="s">
        <v>5667</v>
      </c>
      <c r="D41" s="467" t="s">
        <v>5692</v>
      </c>
      <c r="E41" s="467" t="s">
        <v>5659</v>
      </c>
      <c r="F41" s="404" t="s">
        <v>407</v>
      </c>
      <c r="G41" s="468"/>
      <c r="H41" s="404" t="s">
        <v>5660</v>
      </c>
      <c r="I41" s="404" t="s">
        <v>2715</v>
      </c>
      <c r="J41" s="469">
        <v>43616.0</v>
      </c>
      <c r="K41" s="404"/>
      <c r="L41" s="468"/>
      <c r="M41" s="404"/>
      <c r="N41" s="404" t="s">
        <v>5703</v>
      </c>
      <c r="O41" s="468">
        <v>241.0</v>
      </c>
      <c r="P41" s="471" t="s">
        <v>5704</v>
      </c>
      <c r="Q41" s="404"/>
    </row>
    <row r="42">
      <c r="A42" s="459" t="s">
        <v>410</v>
      </c>
      <c r="B42" s="466" t="s">
        <v>5663</v>
      </c>
      <c r="C42" s="467" t="s">
        <v>5682</v>
      </c>
      <c r="D42" s="467" t="s">
        <v>5705</v>
      </c>
      <c r="E42" s="467" t="s">
        <v>5659</v>
      </c>
      <c r="F42" s="271" t="s">
        <v>5665</v>
      </c>
      <c r="G42" s="451"/>
      <c r="H42" s="451"/>
      <c r="I42" s="451"/>
      <c r="J42" s="451"/>
      <c r="K42" s="451"/>
      <c r="L42" s="451"/>
      <c r="M42" s="451"/>
      <c r="N42" s="451"/>
      <c r="O42" s="451"/>
      <c r="P42" s="451"/>
    </row>
    <row r="43">
      <c r="A43" s="459" t="s">
        <v>411</v>
      </c>
      <c r="B43" s="466" t="s">
        <v>5666</v>
      </c>
      <c r="C43" s="467" t="s">
        <v>5682</v>
      </c>
      <c r="D43" s="467" t="s">
        <v>5705</v>
      </c>
      <c r="E43" s="467" t="s">
        <v>5659</v>
      </c>
      <c r="F43" s="271" t="s">
        <v>5665</v>
      </c>
      <c r="G43" s="451"/>
      <c r="H43" s="451"/>
      <c r="I43" s="451"/>
      <c r="J43" s="451"/>
      <c r="K43" s="451"/>
      <c r="L43" s="451"/>
      <c r="M43" s="451"/>
      <c r="N43" s="451"/>
      <c r="O43" s="451"/>
      <c r="P43" s="451"/>
    </row>
    <row r="44">
      <c r="A44" s="459" t="s">
        <v>412</v>
      </c>
      <c r="B44" s="466" t="s">
        <v>5684</v>
      </c>
      <c r="C44" s="467" t="s">
        <v>5682</v>
      </c>
      <c r="D44" s="467" t="s">
        <v>5705</v>
      </c>
      <c r="E44" s="467" t="s">
        <v>5659</v>
      </c>
      <c r="F44" s="271" t="s">
        <v>5665</v>
      </c>
      <c r="G44" s="451"/>
      <c r="H44" s="451"/>
      <c r="I44" s="451"/>
      <c r="J44" s="451"/>
      <c r="K44" s="451"/>
      <c r="L44" s="451"/>
      <c r="M44" s="451"/>
      <c r="N44" s="451"/>
      <c r="O44" s="451"/>
      <c r="P44" s="451"/>
    </row>
    <row r="45">
      <c r="A45" s="459" t="s">
        <v>416</v>
      </c>
      <c r="B45" s="466" t="s">
        <v>5656</v>
      </c>
      <c r="C45" s="467" t="s">
        <v>5681</v>
      </c>
      <c r="D45" s="467" t="s">
        <v>5705</v>
      </c>
      <c r="E45" s="467" t="s">
        <v>5659</v>
      </c>
      <c r="F45" s="271" t="s">
        <v>5665</v>
      </c>
      <c r="G45" s="451"/>
      <c r="H45" s="451"/>
      <c r="I45" s="451"/>
      <c r="J45" s="451"/>
      <c r="K45" s="451"/>
      <c r="L45" s="451"/>
      <c r="M45" s="451"/>
      <c r="N45" s="451"/>
      <c r="O45" s="451"/>
      <c r="P45" s="451"/>
    </row>
    <row r="46">
      <c r="A46" s="459" t="s">
        <v>417</v>
      </c>
      <c r="B46" s="466" t="s">
        <v>5684</v>
      </c>
      <c r="C46" s="467" t="s">
        <v>5657</v>
      </c>
      <c r="D46" s="467" t="s">
        <v>5705</v>
      </c>
      <c r="E46" s="467" t="s">
        <v>5659</v>
      </c>
      <c r="F46" s="271" t="s">
        <v>5665</v>
      </c>
      <c r="G46" s="451"/>
      <c r="H46" s="451"/>
      <c r="I46" s="451"/>
      <c r="J46" s="451"/>
      <c r="K46" s="451"/>
      <c r="L46" s="451"/>
      <c r="M46" s="451"/>
      <c r="N46" s="451"/>
      <c r="O46" s="451"/>
      <c r="P46" s="451"/>
    </row>
    <row r="47">
      <c r="A47" s="459" t="s">
        <v>418</v>
      </c>
      <c r="B47" s="466" t="s">
        <v>5663</v>
      </c>
      <c r="C47" s="467" t="s">
        <v>5667</v>
      </c>
      <c r="D47" s="467" t="s">
        <v>5705</v>
      </c>
      <c r="E47" s="467" t="s">
        <v>5659</v>
      </c>
      <c r="F47" s="271" t="s">
        <v>5665</v>
      </c>
      <c r="G47" s="451"/>
      <c r="H47" s="451"/>
      <c r="I47" s="451"/>
      <c r="J47" s="451"/>
      <c r="K47" s="451"/>
      <c r="L47" s="451"/>
      <c r="M47" s="451"/>
      <c r="N47" s="451"/>
      <c r="O47" s="451"/>
      <c r="P47" s="451"/>
    </row>
    <row r="48">
      <c r="A48" s="459" t="s">
        <v>5706</v>
      </c>
      <c r="B48" s="466" t="s">
        <v>5699</v>
      </c>
      <c r="C48" s="467" t="s">
        <v>5682</v>
      </c>
      <c r="D48" s="467" t="s">
        <v>5705</v>
      </c>
      <c r="E48" s="467" t="s">
        <v>5707</v>
      </c>
      <c r="F48" s="404" t="s">
        <v>419</v>
      </c>
      <c r="G48" s="468"/>
      <c r="H48" s="404" t="s">
        <v>5660</v>
      </c>
      <c r="I48" s="404" t="s">
        <v>2702</v>
      </c>
      <c r="J48" s="469">
        <v>43633.0</v>
      </c>
      <c r="K48" s="404"/>
      <c r="L48" s="468"/>
      <c r="M48" s="404"/>
      <c r="N48" s="404" t="s">
        <v>5708</v>
      </c>
      <c r="O48" s="468">
        <v>470.0</v>
      </c>
      <c r="P48" s="471" t="s">
        <v>5709</v>
      </c>
      <c r="Q48" s="404"/>
    </row>
    <row r="49">
      <c r="A49" s="459" t="s">
        <v>5710</v>
      </c>
      <c r="B49" s="466" t="s">
        <v>5701</v>
      </c>
      <c r="C49" s="467" t="s">
        <v>5657</v>
      </c>
      <c r="D49" s="467" t="s">
        <v>5705</v>
      </c>
      <c r="E49" s="467" t="s">
        <v>5707</v>
      </c>
      <c r="F49" s="404" t="s">
        <v>422</v>
      </c>
      <c r="G49" s="468">
        <v>2.0</v>
      </c>
      <c r="H49" s="404" t="s">
        <v>5660</v>
      </c>
      <c r="I49" s="404" t="s">
        <v>2740</v>
      </c>
      <c r="J49" s="469">
        <v>43621.0</v>
      </c>
      <c r="K49" s="404" t="s">
        <v>5711</v>
      </c>
      <c r="L49" s="468">
        <v>6.0</v>
      </c>
      <c r="M49" s="404" t="s">
        <v>5712</v>
      </c>
      <c r="N49" s="404" t="s">
        <v>5713</v>
      </c>
      <c r="O49" s="468">
        <v>896.0</v>
      </c>
      <c r="P49" s="471" t="s">
        <v>5714</v>
      </c>
      <c r="Q49" s="404"/>
    </row>
    <row r="50">
      <c r="A50" s="459" t="s">
        <v>424</v>
      </c>
      <c r="B50" s="466" t="s">
        <v>5715</v>
      </c>
      <c r="C50" s="467" t="s">
        <v>5664</v>
      </c>
      <c r="D50" s="467" t="s">
        <v>5716</v>
      </c>
      <c r="E50" s="467" t="s">
        <v>5707</v>
      </c>
      <c r="F50" s="271" t="s">
        <v>5665</v>
      </c>
      <c r="G50" s="451"/>
      <c r="H50" s="451"/>
      <c r="I50" s="451"/>
      <c r="J50" s="451"/>
      <c r="K50" s="451"/>
      <c r="L50" s="451"/>
      <c r="M50" s="451"/>
      <c r="N50" s="451"/>
      <c r="O50" s="451"/>
      <c r="P50" s="451"/>
    </row>
    <row r="51">
      <c r="A51" s="459" t="s">
        <v>425</v>
      </c>
      <c r="B51" s="466" t="s">
        <v>5715</v>
      </c>
      <c r="C51" s="467" t="s">
        <v>5664</v>
      </c>
      <c r="D51" s="467" t="s">
        <v>5716</v>
      </c>
      <c r="E51" s="467" t="s">
        <v>5707</v>
      </c>
      <c r="F51" s="271" t="s">
        <v>5665</v>
      </c>
      <c r="G51" s="451"/>
      <c r="H51" s="451"/>
      <c r="I51" s="451"/>
      <c r="J51" s="451"/>
      <c r="K51" s="451"/>
      <c r="L51" s="451"/>
      <c r="M51" s="451"/>
      <c r="N51" s="451"/>
      <c r="O51" s="451"/>
      <c r="P51" s="451"/>
    </row>
    <row r="52">
      <c r="A52" s="459" t="s">
        <v>426</v>
      </c>
      <c r="B52" s="466" t="s">
        <v>5715</v>
      </c>
      <c r="C52" s="467" t="s">
        <v>5671</v>
      </c>
      <c r="D52" s="467" t="s">
        <v>5716</v>
      </c>
      <c r="E52" s="467" t="s">
        <v>5707</v>
      </c>
      <c r="F52" s="271" t="s">
        <v>5665</v>
      </c>
      <c r="G52" s="451"/>
      <c r="H52" s="451"/>
      <c r="I52" s="451"/>
      <c r="J52" s="451"/>
      <c r="K52" s="451"/>
      <c r="L52" s="451"/>
      <c r="M52" s="451"/>
      <c r="N52" s="451"/>
      <c r="O52" s="451"/>
      <c r="P52" s="451"/>
    </row>
    <row r="53">
      <c r="A53" s="459" t="s">
        <v>427</v>
      </c>
      <c r="B53" s="466" t="s">
        <v>5656</v>
      </c>
      <c r="C53" s="467" t="s">
        <v>5682</v>
      </c>
      <c r="D53" s="467" t="s">
        <v>5716</v>
      </c>
      <c r="E53" s="467" t="s">
        <v>5707</v>
      </c>
      <c r="F53" s="271" t="s">
        <v>5665</v>
      </c>
      <c r="G53" s="451"/>
      <c r="H53" s="451"/>
      <c r="I53" s="451"/>
      <c r="J53" s="451"/>
      <c r="K53" s="451"/>
      <c r="L53" s="451"/>
      <c r="M53" s="451"/>
      <c r="N53" s="451"/>
      <c r="O53" s="451"/>
      <c r="P53" s="451"/>
    </row>
    <row r="54">
      <c r="A54" s="459" t="s">
        <v>428</v>
      </c>
      <c r="B54" s="466" t="s">
        <v>5656</v>
      </c>
      <c r="C54" s="467" t="s">
        <v>5667</v>
      </c>
      <c r="D54" s="467" t="s">
        <v>5716</v>
      </c>
      <c r="E54" s="467" t="s">
        <v>5707</v>
      </c>
      <c r="F54" s="271" t="s">
        <v>5665</v>
      </c>
      <c r="G54" s="451"/>
      <c r="H54" s="451"/>
      <c r="I54" s="451"/>
      <c r="J54" s="451"/>
      <c r="K54" s="451"/>
      <c r="L54" s="451"/>
      <c r="M54" s="451"/>
      <c r="N54" s="451"/>
      <c r="O54" s="451"/>
      <c r="P54" s="451"/>
    </row>
    <row r="55">
      <c r="A55" s="459" t="s">
        <v>429</v>
      </c>
      <c r="B55" s="466" t="s">
        <v>5672</v>
      </c>
      <c r="C55" s="467" t="s">
        <v>5664</v>
      </c>
      <c r="D55" s="467" t="s">
        <v>5716</v>
      </c>
      <c r="E55" s="467" t="s">
        <v>5707</v>
      </c>
      <c r="F55" s="271" t="s">
        <v>5665</v>
      </c>
      <c r="G55" s="451"/>
      <c r="H55" s="451"/>
      <c r="I55" s="451"/>
      <c r="J55" s="451"/>
      <c r="K55" s="451"/>
      <c r="L55" s="451"/>
      <c r="M55" s="451"/>
      <c r="N55" s="451"/>
      <c r="O55" s="451"/>
      <c r="P55" s="451"/>
    </row>
    <row r="56">
      <c r="A56" s="459" t="s">
        <v>433</v>
      </c>
      <c r="B56" s="466" t="s">
        <v>5717</v>
      </c>
      <c r="C56" s="467" t="s">
        <v>5681</v>
      </c>
      <c r="D56" s="467" t="s">
        <v>5716</v>
      </c>
      <c r="E56" s="467" t="s">
        <v>5707</v>
      </c>
      <c r="F56" s="271" t="s">
        <v>5665</v>
      </c>
      <c r="G56" s="451"/>
      <c r="H56" s="451"/>
      <c r="I56" s="451"/>
      <c r="J56" s="451"/>
      <c r="K56" s="451"/>
      <c r="L56" s="451"/>
      <c r="M56" s="451"/>
      <c r="N56" s="451"/>
      <c r="O56" s="451"/>
      <c r="P56" s="451"/>
    </row>
    <row r="57">
      <c r="A57" s="459" t="s">
        <v>434</v>
      </c>
      <c r="B57" s="466" t="s">
        <v>5672</v>
      </c>
      <c r="C57" s="467" t="s">
        <v>5657</v>
      </c>
      <c r="D57" s="467" t="s">
        <v>5716</v>
      </c>
      <c r="E57" s="467" t="s">
        <v>5707</v>
      </c>
      <c r="F57" s="271" t="s">
        <v>5665</v>
      </c>
      <c r="G57" s="451"/>
      <c r="H57" s="451"/>
      <c r="I57" s="451"/>
      <c r="J57" s="451"/>
      <c r="K57" s="451"/>
      <c r="L57" s="451"/>
      <c r="M57" s="451"/>
      <c r="N57" s="451"/>
      <c r="O57" s="451"/>
      <c r="P57" s="451"/>
    </row>
    <row r="58">
      <c r="A58" s="459" t="s">
        <v>435</v>
      </c>
      <c r="B58" s="466" t="s">
        <v>5691</v>
      </c>
      <c r="C58" s="467" t="s">
        <v>5657</v>
      </c>
      <c r="D58" s="467" t="s">
        <v>5716</v>
      </c>
      <c r="E58" s="467" t="s">
        <v>5707</v>
      </c>
      <c r="F58" s="271" t="s">
        <v>5665</v>
      </c>
      <c r="G58" s="451"/>
      <c r="H58" s="451"/>
      <c r="I58" s="451"/>
      <c r="J58" s="451"/>
      <c r="K58" s="451"/>
      <c r="L58" s="451"/>
      <c r="M58" s="451"/>
      <c r="N58" s="451"/>
      <c r="O58" s="451"/>
      <c r="P58" s="451"/>
    </row>
    <row r="59">
      <c r="A59" s="459" t="s">
        <v>436</v>
      </c>
      <c r="B59" s="466" t="s">
        <v>5656</v>
      </c>
      <c r="C59" s="467" t="s">
        <v>5657</v>
      </c>
      <c r="D59" s="467" t="s">
        <v>5718</v>
      </c>
      <c r="E59" s="467" t="s">
        <v>5707</v>
      </c>
      <c r="F59" s="271" t="s">
        <v>5665</v>
      </c>
      <c r="G59" s="451"/>
      <c r="H59" s="451"/>
      <c r="I59" s="451"/>
      <c r="J59" s="451"/>
      <c r="K59" s="451"/>
      <c r="L59" s="451"/>
      <c r="M59" s="451"/>
      <c r="N59" s="451"/>
      <c r="O59" s="451"/>
      <c r="P59" s="451"/>
    </row>
    <row r="60">
      <c r="A60" s="459" t="s">
        <v>437</v>
      </c>
      <c r="B60" s="466" t="s">
        <v>5666</v>
      </c>
      <c r="C60" s="467" t="s">
        <v>5664</v>
      </c>
      <c r="D60" s="467" t="s">
        <v>5719</v>
      </c>
      <c r="E60" s="467" t="s">
        <v>5707</v>
      </c>
      <c r="F60" s="271" t="s">
        <v>5665</v>
      </c>
      <c r="G60" s="451"/>
      <c r="H60" s="451"/>
      <c r="I60" s="451"/>
      <c r="J60" s="451"/>
      <c r="K60" s="451"/>
      <c r="L60" s="451"/>
      <c r="M60" s="451"/>
      <c r="N60" s="451"/>
      <c r="O60" s="451"/>
      <c r="P60" s="451"/>
    </row>
    <row r="61">
      <c r="A61" s="459" t="s">
        <v>438</v>
      </c>
      <c r="B61" s="466" t="s">
        <v>5656</v>
      </c>
      <c r="C61" s="467" t="s">
        <v>5667</v>
      </c>
      <c r="D61" s="467" t="s">
        <v>5719</v>
      </c>
      <c r="E61" s="467" t="s">
        <v>5707</v>
      </c>
      <c r="F61" s="271" t="s">
        <v>5665</v>
      </c>
      <c r="G61" s="451"/>
      <c r="H61" s="451"/>
      <c r="I61" s="451"/>
      <c r="J61" s="451"/>
      <c r="K61" s="451"/>
      <c r="L61" s="451"/>
      <c r="M61" s="451"/>
      <c r="N61" s="451"/>
      <c r="O61" s="451"/>
      <c r="P61" s="451"/>
    </row>
    <row r="62">
      <c r="A62" s="459" t="s">
        <v>441</v>
      </c>
      <c r="B62" s="466" t="s">
        <v>5673</v>
      </c>
      <c r="C62" s="467" t="s">
        <v>5667</v>
      </c>
      <c r="D62" s="467" t="s">
        <v>5719</v>
      </c>
      <c r="E62" s="467" t="s">
        <v>5707</v>
      </c>
      <c r="F62" s="271" t="s">
        <v>5665</v>
      </c>
      <c r="G62" s="451"/>
      <c r="H62" s="451"/>
      <c r="I62" s="451"/>
      <c r="J62" s="451"/>
      <c r="K62" s="451"/>
      <c r="L62" s="451"/>
      <c r="M62" s="451"/>
      <c r="N62" s="451"/>
      <c r="O62" s="451"/>
      <c r="P62" s="451"/>
    </row>
    <row r="63">
      <c r="A63" s="459" t="s">
        <v>442</v>
      </c>
      <c r="B63" s="466" t="s">
        <v>5699</v>
      </c>
      <c r="C63" s="467" t="s">
        <v>5681</v>
      </c>
      <c r="D63" s="467" t="s">
        <v>5719</v>
      </c>
      <c r="E63" s="467" t="s">
        <v>5707</v>
      </c>
      <c r="F63" s="271" t="s">
        <v>5665</v>
      </c>
      <c r="G63" s="451"/>
      <c r="H63" s="451"/>
      <c r="I63" s="451"/>
      <c r="J63" s="451"/>
      <c r="K63" s="451"/>
      <c r="L63" s="451"/>
      <c r="M63" s="451"/>
      <c r="N63" s="451"/>
      <c r="O63" s="451"/>
      <c r="P63" s="451"/>
    </row>
    <row r="64">
      <c r="A64" s="459" t="s">
        <v>5720</v>
      </c>
      <c r="B64" s="466" t="s">
        <v>5672</v>
      </c>
      <c r="C64" s="467" t="s">
        <v>5682</v>
      </c>
      <c r="D64" s="467" t="s">
        <v>5719</v>
      </c>
      <c r="E64" s="467" t="s">
        <v>5707</v>
      </c>
      <c r="F64" s="404" t="s">
        <v>443</v>
      </c>
      <c r="G64" s="468">
        <v>2.0</v>
      </c>
      <c r="H64" s="404" t="s">
        <v>5660</v>
      </c>
      <c r="I64" s="404" t="s">
        <v>2695</v>
      </c>
      <c r="J64" s="469">
        <v>43689.0</v>
      </c>
      <c r="K64" s="404" t="s">
        <v>5721</v>
      </c>
      <c r="L64" s="468">
        <v>8.0</v>
      </c>
      <c r="M64" s="404" t="s">
        <v>5722</v>
      </c>
      <c r="N64" s="404" t="s">
        <v>5723</v>
      </c>
      <c r="O64" s="468">
        <v>565.0</v>
      </c>
      <c r="P64" s="470" t="s">
        <v>5724</v>
      </c>
      <c r="Q64" s="404"/>
    </row>
    <row r="65">
      <c r="A65" s="459" t="s">
        <v>445</v>
      </c>
      <c r="B65" s="466" t="s">
        <v>5656</v>
      </c>
      <c r="C65" s="467" t="s">
        <v>5664</v>
      </c>
      <c r="D65" s="467" t="s">
        <v>5719</v>
      </c>
      <c r="E65" s="467" t="s">
        <v>5707</v>
      </c>
      <c r="F65" s="271" t="s">
        <v>5665</v>
      </c>
      <c r="G65" s="451"/>
      <c r="H65" s="451"/>
      <c r="I65" s="451"/>
      <c r="J65" s="451"/>
      <c r="K65" s="451"/>
      <c r="L65" s="451"/>
      <c r="M65" s="451"/>
      <c r="N65" s="451"/>
      <c r="O65" s="451"/>
      <c r="P65" s="451"/>
    </row>
    <row r="66">
      <c r="A66" s="459" t="s">
        <v>446</v>
      </c>
      <c r="B66" s="466" t="s">
        <v>5715</v>
      </c>
      <c r="C66" s="467" t="s">
        <v>5682</v>
      </c>
      <c r="D66" s="467" t="s">
        <v>5725</v>
      </c>
      <c r="E66" s="467" t="s">
        <v>5707</v>
      </c>
      <c r="F66" s="271" t="s">
        <v>5665</v>
      </c>
      <c r="G66" s="451"/>
      <c r="H66" s="451"/>
      <c r="I66" s="451"/>
      <c r="J66" s="451"/>
      <c r="K66" s="451"/>
      <c r="L66" s="451"/>
      <c r="M66" s="451"/>
      <c r="N66" s="451"/>
      <c r="O66" s="451"/>
      <c r="P66" s="451"/>
    </row>
    <row r="67">
      <c r="A67" s="459" t="s">
        <v>447</v>
      </c>
      <c r="B67" s="466" t="s">
        <v>5715</v>
      </c>
      <c r="C67" s="467" t="s">
        <v>5681</v>
      </c>
      <c r="D67" s="467" t="s">
        <v>5725</v>
      </c>
      <c r="E67" s="467" t="s">
        <v>5707</v>
      </c>
      <c r="F67" s="271" t="s">
        <v>5665</v>
      </c>
      <c r="G67" s="451"/>
      <c r="H67" s="451"/>
      <c r="I67" s="451"/>
      <c r="J67" s="451"/>
      <c r="K67" s="451"/>
      <c r="L67" s="451"/>
      <c r="M67" s="451"/>
      <c r="N67" s="451"/>
      <c r="O67" s="451"/>
      <c r="P67" s="451"/>
    </row>
    <row r="68">
      <c r="A68" s="459" t="s">
        <v>5726</v>
      </c>
      <c r="B68" s="466" t="s">
        <v>5699</v>
      </c>
      <c r="C68" s="467" t="s">
        <v>5671</v>
      </c>
      <c r="D68" s="467" t="s">
        <v>5658</v>
      </c>
      <c r="E68" s="467" t="s">
        <v>5727</v>
      </c>
      <c r="F68" s="404" t="s">
        <v>448</v>
      </c>
      <c r="G68" s="468">
        <v>2.0</v>
      </c>
      <c r="H68" s="404" t="s">
        <v>5728</v>
      </c>
      <c r="I68" s="404" t="s">
        <v>2702</v>
      </c>
      <c r="J68" s="469">
        <v>43478.0</v>
      </c>
      <c r="K68" s="404" t="s">
        <v>5729</v>
      </c>
      <c r="L68" s="468">
        <v>1.0</v>
      </c>
      <c r="M68" s="404" t="s">
        <v>5730</v>
      </c>
      <c r="N68" s="404" t="s">
        <v>5731</v>
      </c>
      <c r="O68" s="468">
        <v>331.0</v>
      </c>
      <c r="P68" s="471" t="s">
        <v>5732</v>
      </c>
      <c r="Q68" s="404"/>
    </row>
    <row r="69">
      <c r="A69" s="459" t="s">
        <v>452</v>
      </c>
      <c r="B69" s="466" t="s">
        <v>5701</v>
      </c>
      <c r="C69" s="467" t="s">
        <v>5682</v>
      </c>
      <c r="D69" s="467" t="s">
        <v>5658</v>
      </c>
      <c r="E69" s="467" t="s">
        <v>5727</v>
      </c>
      <c r="F69" s="271" t="s">
        <v>5665</v>
      </c>
      <c r="G69" s="451"/>
      <c r="H69" s="451"/>
      <c r="I69" s="451"/>
      <c r="J69" s="451"/>
      <c r="K69" s="451"/>
      <c r="L69" s="451"/>
      <c r="M69" s="451"/>
      <c r="N69" s="451"/>
      <c r="O69" s="451"/>
      <c r="P69" s="451"/>
    </row>
    <row r="70">
      <c r="A70" s="459" t="s">
        <v>5733</v>
      </c>
      <c r="B70" s="466" t="s">
        <v>5663</v>
      </c>
      <c r="C70" s="467" t="s">
        <v>5667</v>
      </c>
      <c r="D70" s="467" t="s">
        <v>5658</v>
      </c>
      <c r="E70" s="467" t="s">
        <v>5727</v>
      </c>
      <c r="F70" s="404" t="s">
        <v>453</v>
      </c>
      <c r="G70" s="468">
        <v>2.0</v>
      </c>
      <c r="H70" s="404" t="s">
        <v>5728</v>
      </c>
      <c r="I70" s="404" t="s">
        <v>2709</v>
      </c>
      <c r="J70" s="469">
        <v>43476.0</v>
      </c>
      <c r="K70" s="404" t="s">
        <v>5734</v>
      </c>
      <c r="L70" s="468">
        <v>1.0</v>
      </c>
      <c r="M70" s="404" t="s">
        <v>5735</v>
      </c>
      <c r="N70" s="404" t="s">
        <v>5736</v>
      </c>
      <c r="O70" s="468">
        <v>377.0</v>
      </c>
      <c r="P70" s="471" t="s">
        <v>5737</v>
      </c>
      <c r="Q70" s="404"/>
    </row>
    <row r="71">
      <c r="A71" s="459" t="s">
        <v>455</v>
      </c>
      <c r="B71" s="466" t="s">
        <v>5673</v>
      </c>
      <c r="C71" s="467" t="s">
        <v>5667</v>
      </c>
      <c r="D71" s="467" t="s">
        <v>5658</v>
      </c>
      <c r="E71" s="467" t="s">
        <v>5727</v>
      </c>
      <c r="F71" s="271" t="s">
        <v>5665</v>
      </c>
      <c r="G71" s="451"/>
      <c r="H71" s="451"/>
      <c r="I71" s="451"/>
      <c r="J71" s="451"/>
      <c r="K71" s="451"/>
      <c r="L71" s="451"/>
      <c r="M71" s="451"/>
      <c r="N71" s="451"/>
      <c r="O71" s="451"/>
      <c r="P71" s="451"/>
    </row>
    <row r="72">
      <c r="A72" s="459" t="s">
        <v>5738</v>
      </c>
      <c r="B72" s="466" t="s">
        <v>5672</v>
      </c>
      <c r="C72" s="467" t="s">
        <v>5667</v>
      </c>
      <c r="D72" s="467" t="s">
        <v>5658</v>
      </c>
      <c r="E72" s="467" t="s">
        <v>5727</v>
      </c>
      <c r="F72" s="404" t="s">
        <v>460</v>
      </c>
      <c r="G72" s="468">
        <v>2.0</v>
      </c>
      <c r="H72" s="404" t="s">
        <v>5728</v>
      </c>
      <c r="I72" s="404" t="s">
        <v>2695</v>
      </c>
      <c r="J72" s="469">
        <v>43476.0</v>
      </c>
      <c r="K72" s="404" t="s">
        <v>5734</v>
      </c>
      <c r="L72" s="468">
        <v>1.0</v>
      </c>
      <c r="M72" s="404" t="s">
        <v>5722</v>
      </c>
      <c r="N72" s="404" t="s">
        <v>5739</v>
      </c>
      <c r="O72" s="468">
        <v>330.0</v>
      </c>
      <c r="P72" s="471" t="s">
        <v>5740</v>
      </c>
      <c r="Q72" s="404"/>
    </row>
    <row r="73">
      <c r="A73" s="459" t="s">
        <v>462</v>
      </c>
      <c r="B73" s="466" t="s">
        <v>5663</v>
      </c>
      <c r="C73" s="467" t="s">
        <v>5671</v>
      </c>
      <c r="D73" s="467" t="s">
        <v>5658</v>
      </c>
      <c r="E73" s="467" t="s">
        <v>5727</v>
      </c>
      <c r="F73" s="271" t="s">
        <v>5665</v>
      </c>
      <c r="G73" s="451"/>
      <c r="H73" s="451"/>
      <c r="I73" s="451"/>
      <c r="J73" s="451"/>
      <c r="K73" s="451"/>
      <c r="L73" s="451"/>
      <c r="M73" s="451"/>
      <c r="N73" s="451"/>
      <c r="O73" s="451"/>
      <c r="P73" s="451"/>
    </row>
    <row r="74">
      <c r="A74" s="459" t="s">
        <v>463</v>
      </c>
      <c r="B74" s="466" t="s">
        <v>5673</v>
      </c>
      <c r="C74" s="467" t="s">
        <v>5664</v>
      </c>
      <c r="D74" s="467" t="s">
        <v>5658</v>
      </c>
      <c r="E74" s="467" t="s">
        <v>5727</v>
      </c>
      <c r="F74" s="271" t="s">
        <v>5665</v>
      </c>
      <c r="G74" s="451"/>
      <c r="H74" s="451"/>
      <c r="I74" s="451"/>
      <c r="J74" s="451"/>
      <c r="K74" s="451"/>
      <c r="L74" s="451"/>
      <c r="M74" s="451"/>
      <c r="N74" s="451"/>
      <c r="O74" s="451"/>
      <c r="P74" s="451"/>
    </row>
    <row r="75">
      <c r="A75" s="475" t="s">
        <v>5741</v>
      </c>
      <c r="B75" s="466" t="s">
        <v>5699</v>
      </c>
      <c r="C75" s="467" t="s">
        <v>5667</v>
      </c>
      <c r="D75" s="467" t="s">
        <v>5658</v>
      </c>
      <c r="E75" s="467" t="s">
        <v>5659</v>
      </c>
      <c r="F75" s="404" t="s">
        <v>1101</v>
      </c>
      <c r="G75" s="468">
        <v>2.0</v>
      </c>
      <c r="H75" s="404" t="s">
        <v>5660</v>
      </c>
      <c r="I75" s="404" t="s">
        <v>2702</v>
      </c>
      <c r="J75" s="469">
        <v>43476.0</v>
      </c>
      <c r="K75" s="404" t="s">
        <v>5734</v>
      </c>
      <c r="L75" s="468">
        <v>1.0</v>
      </c>
      <c r="M75" s="404" t="s">
        <v>5742</v>
      </c>
      <c r="N75" s="404" t="s">
        <v>5743</v>
      </c>
      <c r="O75" s="468">
        <v>409.0</v>
      </c>
      <c r="P75" s="470" t="s">
        <v>5744</v>
      </c>
      <c r="Q75" s="404"/>
    </row>
    <row r="76">
      <c r="A76" s="475" t="s">
        <v>1106</v>
      </c>
      <c r="B76" s="466" t="s">
        <v>5666</v>
      </c>
      <c r="C76" s="467" t="s">
        <v>5664</v>
      </c>
      <c r="D76" s="467" t="s">
        <v>5658</v>
      </c>
      <c r="E76" s="467" t="s">
        <v>5659</v>
      </c>
      <c r="F76" s="271" t="s">
        <v>5665</v>
      </c>
      <c r="G76" s="451"/>
      <c r="H76" s="451"/>
      <c r="I76" s="451"/>
      <c r="J76" s="451"/>
      <c r="K76" s="451"/>
      <c r="L76" s="451"/>
      <c r="M76" s="451"/>
      <c r="N76" s="451"/>
      <c r="O76" s="451"/>
      <c r="P76" s="451"/>
    </row>
    <row r="77">
      <c r="A77" s="475" t="s">
        <v>1110</v>
      </c>
      <c r="B77" s="466" t="s">
        <v>5701</v>
      </c>
      <c r="C77" s="467" t="s">
        <v>5667</v>
      </c>
      <c r="D77" s="467" t="s">
        <v>5658</v>
      </c>
      <c r="E77" s="467" t="s">
        <v>5659</v>
      </c>
      <c r="F77" s="271" t="s">
        <v>5665</v>
      </c>
      <c r="G77" s="451"/>
      <c r="H77" s="451"/>
      <c r="I77" s="451"/>
      <c r="J77" s="451"/>
      <c r="K77" s="451"/>
      <c r="L77" s="451"/>
      <c r="M77" s="451"/>
      <c r="N77" s="451"/>
      <c r="O77" s="451"/>
      <c r="P77" s="451"/>
    </row>
    <row r="78">
      <c r="A78" s="475" t="s">
        <v>1115</v>
      </c>
      <c r="B78" s="466" t="s">
        <v>5656</v>
      </c>
      <c r="C78" s="467" t="s">
        <v>5667</v>
      </c>
      <c r="D78" s="467" t="s">
        <v>5668</v>
      </c>
      <c r="E78" s="467" t="s">
        <v>5659</v>
      </c>
      <c r="F78" s="271" t="s">
        <v>5665</v>
      </c>
      <c r="G78" s="451"/>
      <c r="H78" s="451"/>
      <c r="I78" s="451"/>
      <c r="J78" s="451"/>
      <c r="K78" s="451"/>
      <c r="L78" s="451"/>
      <c r="M78" s="451"/>
      <c r="N78" s="451"/>
      <c r="O78" s="451"/>
      <c r="P78" s="451"/>
    </row>
    <row r="79">
      <c r="A79" s="475" t="s">
        <v>1116</v>
      </c>
      <c r="B79" s="466" t="s">
        <v>5691</v>
      </c>
      <c r="C79" s="467" t="s">
        <v>5667</v>
      </c>
      <c r="D79" s="467" t="s">
        <v>5675</v>
      </c>
      <c r="E79" s="467" t="s">
        <v>5659</v>
      </c>
      <c r="F79" s="271" t="s">
        <v>5665</v>
      </c>
      <c r="G79" s="451"/>
      <c r="H79" s="451"/>
      <c r="I79" s="451"/>
      <c r="J79" s="451"/>
      <c r="K79" s="451"/>
      <c r="L79" s="451"/>
      <c r="M79" s="451"/>
      <c r="N79" s="451"/>
      <c r="O79" s="451"/>
      <c r="P79" s="451"/>
    </row>
    <row r="80">
      <c r="A80" s="475" t="s">
        <v>1119</v>
      </c>
      <c r="B80" s="466" t="s">
        <v>5663</v>
      </c>
      <c r="C80" s="467" t="s">
        <v>5682</v>
      </c>
      <c r="D80" s="467" t="s">
        <v>5675</v>
      </c>
      <c r="E80" s="467" t="s">
        <v>5659</v>
      </c>
      <c r="F80" s="271" t="s">
        <v>5665</v>
      </c>
      <c r="G80" s="451"/>
      <c r="H80" s="451"/>
      <c r="I80" s="451"/>
      <c r="J80" s="451"/>
      <c r="K80" s="451"/>
      <c r="L80" s="451"/>
      <c r="M80" s="451"/>
      <c r="N80" s="451"/>
      <c r="O80" s="451"/>
      <c r="P80" s="451"/>
    </row>
    <row r="81">
      <c r="A81" s="475" t="s">
        <v>5745</v>
      </c>
      <c r="B81" s="466" t="s">
        <v>5701</v>
      </c>
      <c r="C81" s="467" t="s">
        <v>5657</v>
      </c>
      <c r="D81" s="467" t="s">
        <v>5675</v>
      </c>
      <c r="E81" s="467" t="s">
        <v>5659</v>
      </c>
      <c r="F81" s="404" t="s">
        <v>1125</v>
      </c>
      <c r="G81" s="468">
        <v>2.0</v>
      </c>
      <c r="H81" s="404" t="s">
        <v>5660</v>
      </c>
      <c r="I81" s="404" t="s">
        <v>2740</v>
      </c>
      <c r="J81" s="469">
        <v>43537.0</v>
      </c>
      <c r="K81" s="404" t="s">
        <v>5711</v>
      </c>
      <c r="L81" s="468">
        <v>3.0</v>
      </c>
      <c r="M81" s="404" t="s">
        <v>5746</v>
      </c>
      <c r="N81" s="404" t="s">
        <v>5747</v>
      </c>
      <c r="O81" s="468">
        <v>743.0</v>
      </c>
      <c r="P81" s="470" t="s">
        <v>5748</v>
      </c>
      <c r="Q81" s="404"/>
    </row>
    <row r="82">
      <c r="A82" s="475" t="s">
        <v>1128</v>
      </c>
      <c r="B82" s="466" t="s">
        <v>5749</v>
      </c>
      <c r="C82" s="467" t="s">
        <v>5671</v>
      </c>
      <c r="D82" s="467" t="s">
        <v>5675</v>
      </c>
      <c r="E82" s="467" t="s">
        <v>5659</v>
      </c>
      <c r="F82" s="271" t="s">
        <v>5665</v>
      </c>
      <c r="G82" s="451"/>
      <c r="H82" s="451"/>
      <c r="I82" s="451"/>
      <c r="J82" s="451"/>
      <c r="K82" s="451"/>
      <c r="L82" s="451"/>
      <c r="M82" s="451"/>
      <c r="N82" s="451"/>
      <c r="O82" s="451"/>
      <c r="P82" s="451"/>
    </row>
    <row r="83">
      <c r="A83" s="475" t="s">
        <v>4902</v>
      </c>
      <c r="B83" s="466" t="s">
        <v>5717</v>
      </c>
      <c r="C83" s="467" t="s">
        <v>5681</v>
      </c>
      <c r="D83" s="467" t="s">
        <v>5675</v>
      </c>
      <c r="E83" s="467" t="s">
        <v>5659</v>
      </c>
      <c r="F83" s="404" t="s">
        <v>1129</v>
      </c>
      <c r="G83" s="468">
        <v>2.0</v>
      </c>
      <c r="H83" s="404" t="s">
        <v>5660</v>
      </c>
      <c r="I83" s="404" t="s">
        <v>2724</v>
      </c>
      <c r="J83" s="469">
        <v>43536.0</v>
      </c>
      <c r="K83" s="404" t="s">
        <v>5750</v>
      </c>
      <c r="L83" s="468">
        <v>3.0</v>
      </c>
      <c r="M83" s="404" t="s">
        <v>5722</v>
      </c>
      <c r="N83" s="404" t="s">
        <v>5751</v>
      </c>
      <c r="O83" s="468">
        <v>264.0</v>
      </c>
      <c r="P83" s="470" t="s">
        <v>5752</v>
      </c>
      <c r="Q83" s="404"/>
    </row>
    <row r="84">
      <c r="A84" s="475" t="s">
        <v>1137</v>
      </c>
      <c r="B84" s="466" t="s">
        <v>5717</v>
      </c>
      <c r="C84" s="467" t="s">
        <v>5664</v>
      </c>
      <c r="D84" s="467" t="s">
        <v>5683</v>
      </c>
      <c r="E84" s="467" t="s">
        <v>5659</v>
      </c>
      <c r="F84" s="271" t="s">
        <v>5665</v>
      </c>
      <c r="G84" s="451"/>
      <c r="H84" s="451"/>
      <c r="I84" s="451"/>
      <c r="J84" s="451"/>
      <c r="K84" s="451"/>
      <c r="L84" s="451"/>
      <c r="M84" s="451"/>
      <c r="N84" s="451"/>
      <c r="O84" s="451"/>
      <c r="P84" s="451"/>
    </row>
    <row r="85">
      <c r="A85" s="475" t="s">
        <v>1142</v>
      </c>
      <c r="B85" s="466" t="s">
        <v>5699</v>
      </c>
      <c r="C85" s="467" t="s">
        <v>5682</v>
      </c>
      <c r="D85" s="467" t="s">
        <v>5683</v>
      </c>
      <c r="E85" s="467" t="s">
        <v>5659</v>
      </c>
      <c r="F85" s="271" t="s">
        <v>5665</v>
      </c>
      <c r="G85" s="451"/>
      <c r="H85" s="451"/>
      <c r="I85" s="451"/>
      <c r="J85" s="451"/>
      <c r="K85" s="451"/>
      <c r="L85" s="451"/>
      <c r="M85" s="451"/>
      <c r="N85" s="451"/>
      <c r="O85" s="451"/>
      <c r="P85" s="451"/>
    </row>
    <row r="86">
      <c r="A86" s="475" t="s">
        <v>5753</v>
      </c>
      <c r="B86" s="466" t="s">
        <v>5701</v>
      </c>
      <c r="C86" s="467" t="s">
        <v>5664</v>
      </c>
      <c r="D86" s="467" t="s">
        <v>5683</v>
      </c>
      <c r="E86" s="467" t="s">
        <v>5659</v>
      </c>
      <c r="F86" s="404" t="s">
        <v>1147</v>
      </c>
      <c r="G86" s="468">
        <v>2.0</v>
      </c>
      <c r="H86" s="404" t="s">
        <v>5660</v>
      </c>
      <c r="I86" s="404" t="s">
        <v>2740</v>
      </c>
      <c r="J86" s="469">
        <v>43580.0</v>
      </c>
      <c r="K86" s="404" t="s">
        <v>5754</v>
      </c>
      <c r="L86" s="468">
        <v>4.0</v>
      </c>
      <c r="M86" s="404" t="s">
        <v>5755</v>
      </c>
      <c r="N86" s="404" t="s">
        <v>5756</v>
      </c>
      <c r="O86" s="468">
        <v>423.0</v>
      </c>
      <c r="P86" s="470" t="s">
        <v>5757</v>
      </c>
      <c r="Q86" s="404"/>
    </row>
    <row r="87">
      <c r="A87" s="475" t="s">
        <v>1155</v>
      </c>
      <c r="B87" s="466" t="s">
        <v>5701</v>
      </c>
      <c r="C87" s="467" t="s">
        <v>5664</v>
      </c>
      <c r="D87" s="467" t="s">
        <v>5692</v>
      </c>
      <c r="E87" s="467" t="s">
        <v>5659</v>
      </c>
      <c r="F87" s="271" t="s">
        <v>5665</v>
      </c>
      <c r="G87" s="451"/>
      <c r="H87" s="451"/>
      <c r="I87" s="451"/>
      <c r="J87" s="451"/>
      <c r="K87" s="451"/>
      <c r="L87" s="451"/>
      <c r="M87" s="451"/>
      <c r="N87" s="451"/>
      <c r="O87" s="451"/>
      <c r="P87" s="451"/>
    </row>
    <row r="88">
      <c r="A88" s="475" t="s">
        <v>1170</v>
      </c>
      <c r="B88" s="466" t="s">
        <v>5715</v>
      </c>
      <c r="C88" s="467" t="s">
        <v>5667</v>
      </c>
      <c r="D88" s="467" t="s">
        <v>5692</v>
      </c>
      <c r="E88" s="467" t="s">
        <v>5659</v>
      </c>
      <c r="F88" s="271" t="s">
        <v>5665</v>
      </c>
      <c r="G88" s="451"/>
      <c r="H88" s="451"/>
      <c r="I88" s="451"/>
      <c r="J88" s="451"/>
      <c r="K88" s="451"/>
      <c r="L88" s="451"/>
      <c r="M88" s="451"/>
      <c r="N88" s="451"/>
      <c r="O88" s="451"/>
      <c r="P88" s="451"/>
    </row>
    <row r="89">
      <c r="A89" s="475" t="s">
        <v>1171</v>
      </c>
      <c r="B89" s="466" t="s">
        <v>5699</v>
      </c>
      <c r="C89" s="467" t="s">
        <v>5670</v>
      </c>
      <c r="D89" s="467" t="s">
        <v>5692</v>
      </c>
      <c r="E89" s="467" t="s">
        <v>5659</v>
      </c>
      <c r="F89" s="271" t="s">
        <v>5665</v>
      </c>
      <c r="G89" s="451"/>
      <c r="H89" s="451"/>
      <c r="I89" s="451"/>
      <c r="J89" s="451"/>
      <c r="K89" s="451"/>
      <c r="L89" s="451"/>
      <c r="M89" s="451"/>
      <c r="N89" s="451"/>
      <c r="O89" s="451"/>
      <c r="P89" s="451"/>
    </row>
    <row r="90">
      <c r="A90" s="475" t="s">
        <v>5758</v>
      </c>
      <c r="B90" s="466" t="s">
        <v>5663</v>
      </c>
      <c r="C90" s="467" t="s">
        <v>5664</v>
      </c>
      <c r="D90" s="467" t="s">
        <v>5705</v>
      </c>
      <c r="E90" s="467" t="s">
        <v>5659</v>
      </c>
      <c r="F90" s="404" t="s">
        <v>1174</v>
      </c>
      <c r="G90" s="468">
        <v>2.0</v>
      </c>
      <c r="H90" s="404" t="s">
        <v>5660</v>
      </c>
      <c r="I90" s="404" t="s">
        <v>2709</v>
      </c>
      <c r="J90" s="469">
        <v>43629.0</v>
      </c>
      <c r="K90" s="404" t="s">
        <v>5754</v>
      </c>
      <c r="L90" s="468">
        <v>6.0</v>
      </c>
      <c r="M90" s="404" t="s">
        <v>5759</v>
      </c>
      <c r="N90" s="404" t="s">
        <v>5760</v>
      </c>
      <c r="O90" s="468">
        <v>333.0</v>
      </c>
      <c r="P90" s="470" t="s">
        <v>5761</v>
      </c>
      <c r="Q90" s="404"/>
    </row>
    <row r="91">
      <c r="A91" s="475" t="s">
        <v>1178</v>
      </c>
      <c r="B91" s="466" t="s">
        <v>5701</v>
      </c>
      <c r="C91" s="467" t="s">
        <v>5681</v>
      </c>
      <c r="D91" s="467" t="s">
        <v>5705</v>
      </c>
      <c r="E91" s="467" t="s">
        <v>5659</v>
      </c>
      <c r="F91" s="271" t="s">
        <v>5665</v>
      </c>
      <c r="G91" s="451"/>
      <c r="H91" s="451"/>
      <c r="I91" s="451"/>
      <c r="J91" s="451"/>
      <c r="K91" s="451"/>
      <c r="L91" s="451"/>
      <c r="M91" s="451"/>
      <c r="N91" s="451"/>
      <c r="O91" s="451"/>
      <c r="P91" s="451"/>
    </row>
    <row r="92">
      <c r="A92" s="475" t="s">
        <v>5762</v>
      </c>
      <c r="B92" s="466" t="s">
        <v>5666</v>
      </c>
      <c r="C92" s="467" t="s">
        <v>5681</v>
      </c>
      <c r="D92" s="467" t="s">
        <v>5716</v>
      </c>
      <c r="E92" s="467" t="s">
        <v>5659</v>
      </c>
      <c r="F92" s="404" t="s">
        <v>1187</v>
      </c>
      <c r="G92" s="468">
        <v>2.0</v>
      </c>
      <c r="H92" s="404" t="s">
        <v>5660</v>
      </c>
      <c r="I92" s="404" t="s">
        <v>2698</v>
      </c>
      <c r="J92" s="469">
        <v>43669.0</v>
      </c>
      <c r="K92" s="404" t="s">
        <v>5750</v>
      </c>
      <c r="L92" s="468">
        <v>7.0</v>
      </c>
      <c r="M92" s="404" t="s">
        <v>5763</v>
      </c>
      <c r="N92" s="404" t="s">
        <v>5764</v>
      </c>
      <c r="O92" s="468">
        <v>312.0</v>
      </c>
      <c r="P92" s="470" t="s">
        <v>5765</v>
      </c>
      <c r="Q92" s="404"/>
    </row>
    <row r="93">
      <c r="A93" s="475" t="s">
        <v>1188</v>
      </c>
      <c r="B93" s="466" t="s">
        <v>5717</v>
      </c>
      <c r="C93" s="467" t="s">
        <v>5671</v>
      </c>
      <c r="D93" s="467" t="s">
        <v>5716</v>
      </c>
      <c r="E93" s="467" t="s">
        <v>5659</v>
      </c>
      <c r="F93" s="271" t="s">
        <v>5665</v>
      </c>
      <c r="G93" s="451"/>
      <c r="H93" s="451"/>
      <c r="I93" s="451"/>
      <c r="J93" s="451"/>
      <c r="K93" s="451"/>
      <c r="L93" s="451"/>
      <c r="M93" s="451"/>
      <c r="N93" s="451"/>
      <c r="O93" s="451"/>
      <c r="P93" s="451"/>
    </row>
    <row r="94">
      <c r="A94" s="475" t="s">
        <v>1189</v>
      </c>
      <c r="B94" s="466" t="s">
        <v>5717</v>
      </c>
      <c r="C94" s="467" t="s">
        <v>5682</v>
      </c>
      <c r="D94" s="467" t="s">
        <v>5716</v>
      </c>
      <c r="E94" s="467" t="s">
        <v>5659</v>
      </c>
      <c r="F94" s="271" t="s">
        <v>5665</v>
      </c>
      <c r="G94" s="451"/>
      <c r="H94" s="451"/>
      <c r="I94" s="451"/>
      <c r="J94" s="451"/>
      <c r="K94" s="451"/>
      <c r="L94" s="451"/>
      <c r="M94" s="451"/>
      <c r="N94" s="451"/>
      <c r="O94" s="451"/>
      <c r="P94" s="451"/>
    </row>
    <row r="95">
      <c r="A95" s="475" t="s">
        <v>1194</v>
      </c>
      <c r="B95" s="466" t="s">
        <v>5749</v>
      </c>
      <c r="C95" s="467" t="s">
        <v>5671</v>
      </c>
      <c r="D95" s="467" t="s">
        <v>5716</v>
      </c>
      <c r="E95" s="467" t="s">
        <v>5659</v>
      </c>
      <c r="F95" s="271" t="s">
        <v>5665</v>
      </c>
      <c r="G95" s="451"/>
      <c r="H95" s="451"/>
      <c r="I95" s="451"/>
      <c r="J95" s="451"/>
      <c r="K95" s="451"/>
      <c r="L95" s="451"/>
      <c r="M95" s="451"/>
      <c r="N95" s="451"/>
      <c r="O95" s="451"/>
      <c r="P95" s="451"/>
    </row>
    <row r="96">
      <c r="A96" s="475" t="s">
        <v>1195</v>
      </c>
      <c r="B96" s="466" t="s">
        <v>5715</v>
      </c>
      <c r="C96" s="467" t="s">
        <v>5682</v>
      </c>
      <c r="D96" s="467" t="s">
        <v>5716</v>
      </c>
      <c r="E96" s="467" t="s">
        <v>5659</v>
      </c>
      <c r="F96" s="271" t="s">
        <v>5665</v>
      </c>
      <c r="G96" s="451"/>
      <c r="H96" s="451"/>
      <c r="I96" s="451"/>
      <c r="J96" s="451"/>
      <c r="K96" s="451"/>
      <c r="L96" s="451"/>
      <c r="M96" s="451"/>
      <c r="N96" s="451"/>
      <c r="O96" s="451"/>
      <c r="P96" s="451"/>
    </row>
    <row r="97">
      <c r="A97" s="475" t="s">
        <v>1197</v>
      </c>
      <c r="B97" s="476" t="s">
        <v>5663</v>
      </c>
      <c r="C97" s="467" t="s">
        <v>5667</v>
      </c>
      <c r="D97" s="467" t="s">
        <v>5719</v>
      </c>
      <c r="E97" s="467" t="s">
        <v>5659</v>
      </c>
      <c r="F97" s="271" t="s">
        <v>5665</v>
      </c>
      <c r="G97" s="451"/>
      <c r="H97" s="451"/>
      <c r="I97" s="451"/>
      <c r="J97" s="451"/>
      <c r="K97" s="451"/>
      <c r="L97" s="451"/>
      <c r="M97" s="451"/>
      <c r="N97" s="451"/>
      <c r="O97" s="451"/>
      <c r="P97" s="451"/>
    </row>
    <row r="98">
      <c r="A98" s="475" t="s">
        <v>1205</v>
      </c>
      <c r="B98" s="466" t="s">
        <v>5699</v>
      </c>
      <c r="C98" s="467" t="s">
        <v>5671</v>
      </c>
      <c r="D98" s="467" t="s">
        <v>5719</v>
      </c>
      <c r="E98" s="467" t="s">
        <v>5659</v>
      </c>
      <c r="F98" s="271" t="s">
        <v>5665</v>
      </c>
      <c r="G98" s="451"/>
      <c r="H98" s="451"/>
      <c r="I98" s="451"/>
      <c r="J98" s="451"/>
      <c r="K98" s="451"/>
      <c r="L98" s="451"/>
      <c r="M98" s="451"/>
      <c r="N98" s="451"/>
      <c r="O98" s="451"/>
      <c r="P98" s="451"/>
    </row>
    <row r="99">
      <c r="A99" s="475" t="s">
        <v>1206</v>
      </c>
      <c r="B99" s="466" t="s">
        <v>5701</v>
      </c>
      <c r="C99" s="467" t="s">
        <v>5682</v>
      </c>
      <c r="D99" s="467" t="s">
        <v>5719</v>
      </c>
      <c r="E99" s="467" t="s">
        <v>5659</v>
      </c>
      <c r="F99" s="271" t="s">
        <v>5665</v>
      </c>
      <c r="G99" s="451"/>
      <c r="H99" s="451"/>
      <c r="I99" s="451"/>
      <c r="J99" s="451"/>
      <c r="K99" s="451"/>
      <c r="L99" s="451"/>
      <c r="M99" s="451"/>
      <c r="N99" s="451"/>
      <c r="O99" s="451"/>
      <c r="P99" s="451"/>
    </row>
    <row r="100">
      <c r="A100" s="459" t="s">
        <v>1983</v>
      </c>
      <c r="B100" s="466" t="s">
        <v>5699</v>
      </c>
      <c r="C100" s="467" t="s">
        <v>5681</v>
      </c>
      <c r="D100" s="467" t="s">
        <v>5658</v>
      </c>
      <c r="E100" s="467" t="s">
        <v>5659</v>
      </c>
      <c r="F100" s="271" t="s">
        <v>5665</v>
      </c>
      <c r="G100" s="451"/>
      <c r="H100" s="451"/>
      <c r="I100" s="451"/>
      <c r="J100" s="451"/>
      <c r="K100" s="451"/>
      <c r="L100" s="451"/>
      <c r="M100" s="451"/>
      <c r="N100" s="451"/>
      <c r="O100" s="451"/>
      <c r="P100" s="451"/>
    </row>
    <row r="101">
      <c r="A101" s="459" t="s">
        <v>1984</v>
      </c>
      <c r="B101" s="466" t="s">
        <v>5699</v>
      </c>
      <c r="C101" s="467" t="s">
        <v>5682</v>
      </c>
      <c r="D101" s="467" t="s">
        <v>5658</v>
      </c>
      <c r="E101" s="467" t="s">
        <v>5659</v>
      </c>
      <c r="F101" s="271" t="s">
        <v>5665</v>
      </c>
      <c r="G101" s="451"/>
      <c r="H101" s="451"/>
      <c r="I101" s="451"/>
      <c r="J101" s="451"/>
      <c r="K101" s="451"/>
      <c r="L101" s="451"/>
      <c r="M101" s="451"/>
      <c r="N101" s="451"/>
      <c r="O101" s="451"/>
      <c r="P101" s="451"/>
    </row>
    <row r="102">
      <c r="A102" s="459" t="s">
        <v>5766</v>
      </c>
      <c r="B102" s="466" t="s">
        <v>5717</v>
      </c>
      <c r="C102" s="467" t="s">
        <v>5664</v>
      </c>
      <c r="D102" s="467" t="s">
        <v>5658</v>
      </c>
      <c r="E102" s="467" t="s">
        <v>5659</v>
      </c>
      <c r="F102" s="404" t="s">
        <v>1988</v>
      </c>
      <c r="G102" s="468">
        <v>2.0</v>
      </c>
      <c r="H102" s="404" t="s">
        <v>5660</v>
      </c>
      <c r="I102" s="404" t="s">
        <v>2724</v>
      </c>
      <c r="J102" s="469">
        <v>43475.0</v>
      </c>
      <c r="K102" s="404" t="s">
        <v>5754</v>
      </c>
      <c r="L102" s="468">
        <v>1.0</v>
      </c>
      <c r="M102" s="404" t="s">
        <v>5722</v>
      </c>
      <c r="N102" s="404" t="s">
        <v>5767</v>
      </c>
      <c r="O102" s="468">
        <v>328.0</v>
      </c>
      <c r="P102" s="470" t="s">
        <v>5768</v>
      </c>
      <c r="Q102" s="404"/>
    </row>
    <row r="103">
      <c r="A103" s="477" t="s">
        <v>2892</v>
      </c>
      <c r="B103" s="466" t="s">
        <v>5717</v>
      </c>
      <c r="C103" s="467" t="s">
        <v>5671</v>
      </c>
      <c r="D103" s="467" t="s">
        <v>5658</v>
      </c>
      <c r="E103" s="467" t="s">
        <v>5659</v>
      </c>
      <c r="F103" s="271" t="s">
        <v>5665</v>
      </c>
      <c r="G103" s="451"/>
      <c r="H103" s="451"/>
      <c r="I103" s="451"/>
      <c r="J103" s="451"/>
      <c r="K103" s="451"/>
      <c r="L103" s="451"/>
      <c r="M103" s="451"/>
      <c r="N103" s="451"/>
      <c r="O103" s="451"/>
      <c r="P103" s="451"/>
    </row>
    <row r="104">
      <c r="A104" s="478" t="s">
        <v>2910</v>
      </c>
      <c r="B104" s="466" t="s">
        <v>5701</v>
      </c>
      <c r="C104" s="467" t="s">
        <v>5664</v>
      </c>
      <c r="D104" s="467" t="s">
        <v>5658</v>
      </c>
      <c r="E104" s="467" t="s">
        <v>5659</v>
      </c>
      <c r="F104" s="271" t="s">
        <v>5665</v>
      </c>
      <c r="G104" s="451"/>
      <c r="H104" s="451"/>
      <c r="I104" s="451"/>
      <c r="J104" s="451"/>
      <c r="K104" s="451"/>
      <c r="L104" s="451"/>
      <c r="M104" s="451"/>
      <c r="N104" s="451"/>
      <c r="O104" s="451"/>
      <c r="P104" s="451"/>
    </row>
    <row r="105">
      <c r="A105" s="478" t="s">
        <v>5769</v>
      </c>
      <c r="B105" s="466" t="s">
        <v>5666</v>
      </c>
      <c r="C105" s="467" t="s">
        <v>5657</v>
      </c>
      <c r="D105" s="467" t="s">
        <v>5675</v>
      </c>
      <c r="E105" s="467" t="s">
        <v>5659</v>
      </c>
      <c r="F105" s="404" t="s">
        <v>2933</v>
      </c>
      <c r="G105" s="468">
        <v>2.0</v>
      </c>
      <c r="H105" s="404" t="s">
        <v>5660</v>
      </c>
      <c r="I105" s="404" t="s">
        <v>2698</v>
      </c>
      <c r="J105" s="469">
        <v>43530.0</v>
      </c>
      <c r="K105" s="404" t="s">
        <v>5711</v>
      </c>
      <c r="L105" s="468">
        <v>3.0</v>
      </c>
      <c r="M105" s="404" t="s">
        <v>5763</v>
      </c>
      <c r="N105" s="404" t="s">
        <v>5770</v>
      </c>
      <c r="O105" s="468">
        <v>196.0</v>
      </c>
      <c r="P105" s="470" t="s">
        <v>5771</v>
      </c>
      <c r="Q105" s="404"/>
    </row>
    <row r="106">
      <c r="A106" s="478" t="s">
        <v>2941</v>
      </c>
      <c r="B106" s="466" t="s">
        <v>5656</v>
      </c>
      <c r="C106" s="467" t="s">
        <v>5657</v>
      </c>
      <c r="D106" s="467" t="s">
        <v>5675</v>
      </c>
      <c r="E106" s="467" t="s">
        <v>5659</v>
      </c>
      <c r="F106" s="271" t="s">
        <v>5665</v>
      </c>
      <c r="G106" s="451"/>
      <c r="H106" s="451"/>
      <c r="I106" s="451"/>
      <c r="J106" s="451"/>
      <c r="K106" s="451"/>
      <c r="L106" s="451"/>
      <c r="M106" s="451"/>
      <c r="N106" s="451"/>
      <c r="O106" s="451"/>
      <c r="P106" s="451"/>
    </row>
    <row r="107">
      <c r="A107" s="478" t="s">
        <v>2943</v>
      </c>
      <c r="B107" s="466" t="s">
        <v>5656</v>
      </c>
      <c r="C107" s="467" t="s">
        <v>5671</v>
      </c>
      <c r="D107" s="467" t="s">
        <v>5675</v>
      </c>
      <c r="E107" s="467" t="s">
        <v>5659</v>
      </c>
      <c r="F107" s="271" t="s">
        <v>5665</v>
      </c>
      <c r="G107" s="451"/>
      <c r="H107" s="451"/>
      <c r="I107" s="451"/>
      <c r="J107" s="451"/>
      <c r="K107" s="451"/>
      <c r="L107" s="451"/>
      <c r="M107" s="451"/>
      <c r="N107" s="451"/>
      <c r="O107" s="451"/>
      <c r="P107" s="451"/>
    </row>
    <row r="108">
      <c r="A108" s="479" t="s">
        <v>4042</v>
      </c>
      <c r="B108" s="466" t="s">
        <v>5701</v>
      </c>
      <c r="C108" s="467" t="s">
        <v>5657</v>
      </c>
      <c r="D108" s="467" t="s">
        <v>5658</v>
      </c>
      <c r="E108" s="467" t="s">
        <v>5659</v>
      </c>
      <c r="F108" s="271" t="s">
        <v>5665</v>
      </c>
      <c r="G108" s="451"/>
      <c r="H108" s="451"/>
      <c r="I108" s="451"/>
      <c r="J108" s="451"/>
      <c r="K108" s="451"/>
      <c r="L108" s="451"/>
      <c r="M108" s="451"/>
      <c r="N108" s="451"/>
      <c r="O108" s="451"/>
      <c r="P108" s="451"/>
    </row>
    <row r="109">
      <c r="A109" s="479" t="s">
        <v>5741</v>
      </c>
      <c r="B109" s="466" t="s">
        <v>5699</v>
      </c>
      <c r="C109" s="467" t="s">
        <v>5667</v>
      </c>
      <c r="D109" s="467" t="s">
        <v>5658</v>
      </c>
      <c r="E109" s="467" t="s">
        <v>5659</v>
      </c>
      <c r="F109" s="271" t="s">
        <v>5665</v>
      </c>
      <c r="G109" s="451"/>
      <c r="H109" s="451"/>
      <c r="I109" s="451"/>
      <c r="J109" s="451"/>
      <c r="K109" s="451"/>
      <c r="L109" s="451"/>
      <c r="M109" s="451"/>
      <c r="N109" s="451"/>
      <c r="O109" s="451"/>
      <c r="P109" s="451"/>
    </row>
    <row r="110" ht="23.25" customHeight="1">
      <c r="A110" s="480" t="s">
        <v>5772</v>
      </c>
      <c r="B110" s="481" t="s">
        <v>5749</v>
      </c>
      <c r="C110" s="482" t="s">
        <v>5664</v>
      </c>
      <c r="D110" s="482" t="s">
        <v>5668</v>
      </c>
      <c r="E110" s="482" t="s">
        <v>5659</v>
      </c>
      <c r="F110" s="483" t="s">
        <v>4055</v>
      </c>
      <c r="G110" s="484">
        <v>2.0</v>
      </c>
      <c r="H110" s="483" t="s">
        <v>5660</v>
      </c>
      <c r="I110" s="483" t="s">
        <v>2715</v>
      </c>
      <c r="J110" s="485">
        <v>43524.0</v>
      </c>
      <c r="K110" s="483" t="s">
        <v>5754</v>
      </c>
      <c r="L110" s="484">
        <v>2.0</v>
      </c>
      <c r="M110" s="483" t="s">
        <v>5773</v>
      </c>
      <c r="N110" s="483" t="s">
        <v>5774</v>
      </c>
      <c r="O110" s="484">
        <v>300.0</v>
      </c>
      <c r="P110" s="486" t="s">
        <v>5775</v>
      </c>
      <c r="Q110" s="483"/>
      <c r="R110" s="487"/>
      <c r="S110" s="487"/>
      <c r="T110" s="487"/>
      <c r="U110" s="487"/>
      <c r="V110" s="487"/>
      <c r="W110" s="487"/>
      <c r="X110" s="487"/>
      <c r="Y110" s="487"/>
      <c r="Z110" s="487"/>
      <c r="AA110" s="487"/>
      <c r="AB110" s="487"/>
      <c r="AC110" s="487"/>
      <c r="AD110" s="487"/>
      <c r="AE110" s="487"/>
    </row>
    <row r="111">
      <c r="A111" s="479" t="s">
        <v>4068</v>
      </c>
      <c r="B111" s="466" t="s">
        <v>5699</v>
      </c>
      <c r="C111" s="467" t="s">
        <v>5657</v>
      </c>
      <c r="D111" s="467" t="s">
        <v>5668</v>
      </c>
      <c r="E111" s="467" t="s">
        <v>5659</v>
      </c>
      <c r="F111" s="271" t="s">
        <v>5665</v>
      </c>
      <c r="G111" s="451"/>
      <c r="H111" s="451"/>
      <c r="I111" s="451"/>
      <c r="J111" s="451"/>
      <c r="K111" s="451"/>
      <c r="L111" s="451"/>
      <c r="M111" s="451"/>
      <c r="N111" s="451"/>
      <c r="O111" s="451"/>
      <c r="P111" s="451"/>
    </row>
    <row r="112">
      <c r="A112" s="479" t="s">
        <v>4069</v>
      </c>
      <c r="B112" s="466" t="s">
        <v>5715</v>
      </c>
      <c r="C112" s="467" t="s">
        <v>5667</v>
      </c>
      <c r="D112" s="467" t="s">
        <v>5675</v>
      </c>
      <c r="E112" s="467" t="s">
        <v>5659</v>
      </c>
      <c r="F112" s="271" t="s">
        <v>5665</v>
      </c>
      <c r="G112" s="451"/>
      <c r="H112" s="451"/>
      <c r="I112" s="451"/>
      <c r="J112" s="451"/>
      <c r="K112" s="451"/>
      <c r="L112" s="451"/>
      <c r="M112" s="451"/>
      <c r="N112" s="451"/>
      <c r="O112" s="451"/>
      <c r="P112" s="451"/>
    </row>
    <row r="113">
      <c r="A113" s="459" t="s">
        <v>464</v>
      </c>
      <c r="B113" s="466" t="s">
        <v>5656</v>
      </c>
      <c r="C113" s="467" t="s">
        <v>5667</v>
      </c>
      <c r="D113" s="467" t="s">
        <v>5658</v>
      </c>
      <c r="E113" s="467" t="s">
        <v>5727</v>
      </c>
      <c r="F113" s="271" t="s">
        <v>5665</v>
      </c>
      <c r="G113" s="451"/>
      <c r="H113" s="451"/>
      <c r="I113" s="451"/>
      <c r="J113" s="451"/>
      <c r="K113" s="451"/>
      <c r="L113" s="451"/>
      <c r="M113" s="451"/>
      <c r="N113" s="451"/>
      <c r="O113" s="451"/>
      <c r="P113" s="451"/>
    </row>
    <row r="114">
      <c r="A114" s="459" t="s">
        <v>5776</v>
      </c>
      <c r="B114" s="466" t="s">
        <v>5672</v>
      </c>
      <c r="C114" s="467" t="s">
        <v>5671</v>
      </c>
      <c r="D114" s="467" t="s">
        <v>5668</v>
      </c>
      <c r="E114" s="467" t="s">
        <v>5727</v>
      </c>
      <c r="F114" s="404" t="s">
        <v>468</v>
      </c>
      <c r="G114" s="468">
        <v>2.0</v>
      </c>
      <c r="H114" s="404" t="s">
        <v>5728</v>
      </c>
      <c r="I114" s="404" t="s">
        <v>2695</v>
      </c>
      <c r="J114" s="469">
        <v>43520.0</v>
      </c>
      <c r="K114" s="404" t="s">
        <v>5729</v>
      </c>
      <c r="L114" s="468">
        <v>2.0</v>
      </c>
      <c r="M114" s="404" t="s">
        <v>5777</v>
      </c>
      <c r="N114" s="404" t="s">
        <v>5778</v>
      </c>
      <c r="O114" s="468">
        <v>6.0</v>
      </c>
      <c r="P114" s="470" t="s">
        <v>5779</v>
      </c>
      <c r="Q114" s="404"/>
    </row>
    <row r="115">
      <c r="A115" s="488" t="s">
        <v>5780</v>
      </c>
      <c r="B115" s="466" t="s">
        <v>5656</v>
      </c>
      <c r="C115" s="467" t="s">
        <v>5682</v>
      </c>
      <c r="D115" s="467" t="s">
        <v>5668</v>
      </c>
      <c r="E115" s="467" t="s">
        <v>5727</v>
      </c>
      <c r="F115" s="404" t="s">
        <v>471</v>
      </c>
      <c r="G115" s="468">
        <v>2.0</v>
      </c>
      <c r="H115" s="404" t="s">
        <v>5728</v>
      </c>
      <c r="I115" s="404" t="s">
        <v>2692</v>
      </c>
      <c r="J115" s="469">
        <v>43507.0</v>
      </c>
      <c r="K115" s="404" t="s">
        <v>5721</v>
      </c>
      <c r="L115" s="468">
        <v>2.0</v>
      </c>
      <c r="M115" s="404" t="s">
        <v>5781</v>
      </c>
      <c r="N115" s="404" t="s">
        <v>5782</v>
      </c>
      <c r="O115" s="468">
        <v>221.0</v>
      </c>
      <c r="P115" s="471" t="s">
        <v>5783</v>
      </c>
      <c r="Q115" s="404"/>
    </row>
    <row r="116">
      <c r="A116" s="475" t="s">
        <v>1207</v>
      </c>
      <c r="B116" s="466" t="s">
        <v>5749</v>
      </c>
      <c r="C116" s="467" t="s">
        <v>5671</v>
      </c>
      <c r="D116" s="467" t="s">
        <v>5725</v>
      </c>
      <c r="E116" s="467" t="s">
        <v>5659</v>
      </c>
      <c r="F116" s="271" t="s">
        <v>5665</v>
      </c>
      <c r="G116" s="451"/>
      <c r="H116" s="451"/>
      <c r="I116" s="451"/>
      <c r="J116" s="451"/>
      <c r="K116" s="451"/>
      <c r="L116" s="451"/>
      <c r="M116" s="451"/>
      <c r="N116" s="451"/>
      <c r="O116" s="451"/>
      <c r="P116" s="451"/>
    </row>
    <row r="117">
      <c r="A117" s="475" t="s">
        <v>1208</v>
      </c>
      <c r="B117" s="466" t="s">
        <v>5701</v>
      </c>
      <c r="C117" s="467" t="s">
        <v>5682</v>
      </c>
      <c r="D117" s="467" t="s">
        <v>5725</v>
      </c>
      <c r="E117" s="467" t="s">
        <v>5659</v>
      </c>
      <c r="F117" s="271" t="s">
        <v>5665</v>
      </c>
      <c r="G117" s="451"/>
      <c r="H117" s="451"/>
      <c r="I117" s="451"/>
      <c r="J117" s="451"/>
      <c r="K117" s="451"/>
      <c r="L117" s="451"/>
      <c r="M117" s="451"/>
      <c r="N117" s="451"/>
      <c r="O117" s="451"/>
      <c r="P117" s="451"/>
    </row>
    <row r="118">
      <c r="A118" s="475" t="s">
        <v>1209</v>
      </c>
      <c r="B118" s="466" t="s">
        <v>5749</v>
      </c>
      <c r="C118" s="467" t="s">
        <v>5682</v>
      </c>
      <c r="D118" s="467" t="s">
        <v>5725</v>
      </c>
      <c r="E118" s="467" t="s">
        <v>5659</v>
      </c>
      <c r="F118" s="271" t="s">
        <v>5665</v>
      </c>
      <c r="G118" s="451"/>
      <c r="H118" s="451"/>
      <c r="I118" s="451"/>
      <c r="J118" s="451"/>
      <c r="K118" s="451"/>
      <c r="L118" s="451"/>
      <c r="M118" s="451"/>
      <c r="N118" s="451"/>
      <c r="O118" s="451"/>
      <c r="P118" s="451"/>
    </row>
    <row r="119">
      <c r="A119" s="475" t="s">
        <v>5784</v>
      </c>
      <c r="B119" s="466" t="s">
        <v>5701</v>
      </c>
      <c r="C119" s="467" t="s">
        <v>5670</v>
      </c>
      <c r="D119" s="467" t="s">
        <v>5658</v>
      </c>
      <c r="E119" s="467" t="s">
        <v>5727</v>
      </c>
      <c r="F119" s="489" t="s">
        <v>1213</v>
      </c>
      <c r="G119" s="490">
        <v>2.0</v>
      </c>
      <c r="H119" s="489" t="s">
        <v>5728</v>
      </c>
      <c r="I119" s="489" t="s">
        <v>2740</v>
      </c>
      <c r="J119" s="491" t="s">
        <v>5785</v>
      </c>
      <c r="K119" s="489" t="s">
        <v>5786</v>
      </c>
      <c r="L119" s="490">
        <v>1.0</v>
      </c>
      <c r="M119" s="489" t="s">
        <v>5712</v>
      </c>
      <c r="N119" s="489" t="s">
        <v>5787</v>
      </c>
      <c r="O119" s="490">
        <v>969.0</v>
      </c>
      <c r="P119" s="489" t="s">
        <v>5788</v>
      </c>
      <c r="Q119" s="492"/>
      <c r="R119" s="493"/>
      <c r="S119" s="493"/>
      <c r="T119" s="493"/>
      <c r="U119" s="493"/>
      <c r="V119" s="493"/>
      <c r="W119" s="493"/>
      <c r="X119" s="493"/>
      <c r="Y119" s="493"/>
      <c r="Z119" s="493"/>
      <c r="AA119" s="493"/>
      <c r="AB119" s="493"/>
      <c r="AC119" s="493"/>
      <c r="AD119" s="493"/>
      <c r="AE119" s="494"/>
    </row>
    <row r="120">
      <c r="A120" s="475" t="s">
        <v>5789</v>
      </c>
      <c r="B120" s="466" t="s">
        <v>5666</v>
      </c>
      <c r="C120" s="467" t="s">
        <v>5681</v>
      </c>
      <c r="D120" s="467" t="s">
        <v>5658</v>
      </c>
      <c r="E120" s="467" t="s">
        <v>5727</v>
      </c>
      <c r="F120" s="404" t="s">
        <v>1215</v>
      </c>
      <c r="G120" s="468">
        <v>2.0</v>
      </c>
      <c r="H120" s="404" t="s">
        <v>5728</v>
      </c>
      <c r="I120" s="404" t="s">
        <v>2698</v>
      </c>
      <c r="J120" s="469">
        <v>43494.0</v>
      </c>
      <c r="K120" s="404" t="s">
        <v>5750</v>
      </c>
      <c r="L120" s="468">
        <v>1.0</v>
      </c>
      <c r="M120" s="404" t="s">
        <v>5790</v>
      </c>
      <c r="N120" s="404" t="s">
        <v>5791</v>
      </c>
      <c r="O120" s="468">
        <v>292.0</v>
      </c>
      <c r="P120" s="470" t="s">
        <v>5792</v>
      </c>
      <c r="Q120" s="404"/>
    </row>
    <row r="121">
      <c r="A121" s="475" t="s">
        <v>5793</v>
      </c>
      <c r="B121" s="466" t="s">
        <v>5749</v>
      </c>
      <c r="C121" s="467" t="s">
        <v>5681</v>
      </c>
      <c r="D121" s="467" t="s">
        <v>5658</v>
      </c>
      <c r="E121" s="467" t="s">
        <v>5727</v>
      </c>
      <c r="F121" s="404" t="s">
        <v>1217</v>
      </c>
      <c r="G121" s="468">
        <v>2.0</v>
      </c>
      <c r="H121" s="404" t="s">
        <v>5728</v>
      </c>
      <c r="I121" s="404" t="s">
        <v>2715</v>
      </c>
      <c r="J121" s="469">
        <v>43480.0</v>
      </c>
      <c r="K121" s="404" t="s">
        <v>5750</v>
      </c>
      <c r="L121" s="468">
        <v>1.0</v>
      </c>
      <c r="M121" s="404" t="s">
        <v>5794</v>
      </c>
      <c r="N121" s="404" t="s">
        <v>5795</v>
      </c>
      <c r="O121" s="468">
        <v>218.0</v>
      </c>
      <c r="P121" s="471" t="s">
        <v>5796</v>
      </c>
      <c r="Q121" s="404"/>
    </row>
    <row r="122">
      <c r="A122" s="475" t="s">
        <v>1219</v>
      </c>
      <c r="B122" s="466" t="s">
        <v>5656</v>
      </c>
      <c r="C122" s="467" t="s">
        <v>5682</v>
      </c>
      <c r="D122" s="467" t="s">
        <v>5658</v>
      </c>
      <c r="E122" s="467" t="s">
        <v>5727</v>
      </c>
      <c r="F122" s="271" t="s">
        <v>5665</v>
      </c>
      <c r="G122" s="451"/>
      <c r="H122" s="451"/>
      <c r="I122" s="451"/>
      <c r="J122" s="451"/>
      <c r="K122" s="451"/>
      <c r="L122" s="451"/>
      <c r="M122" s="451"/>
      <c r="N122" s="451"/>
      <c r="O122" s="451"/>
      <c r="P122" s="451"/>
    </row>
    <row r="123">
      <c r="A123" s="475" t="s">
        <v>5797</v>
      </c>
      <c r="B123" s="466" t="s">
        <v>5749</v>
      </c>
      <c r="C123" s="467" t="s">
        <v>5664</v>
      </c>
      <c r="D123" s="467" t="s">
        <v>5658</v>
      </c>
      <c r="E123" s="467" t="s">
        <v>5727</v>
      </c>
      <c r="F123" s="404" t="s">
        <v>1220</v>
      </c>
      <c r="G123" s="468">
        <v>2.0</v>
      </c>
      <c r="H123" s="404" t="s">
        <v>5728</v>
      </c>
      <c r="I123" s="404" t="s">
        <v>2715</v>
      </c>
      <c r="J123" s="469">
        <v>43468.0</v>
      </c>
      <c r="K123" s="404" t="s">
        <v>5754</v>
      </c>
      <c r="L123" s="468">
        <v>1.0</v>
      </c>
      <c r="M123" s="404" t="s">
        <v>5798</v>
      </c>
      <c r="N123" s="404" t="s">
        <v>5799</v>
      </c>
      <c r="O123" s="468">
        <v>307.0</v>
      </c>
      <c r="P123" s="470" t="s">
        <v>5800</v>
      </c>
      <c r="Q123" s="404"/>
    </row>
    <row r="124">
      <c r="A124" s="475" t="s">
        <v>1222</v>
      </c>
      <c r="B124" s="466" t="s">
        <v>5701</v>
      </c>
      <c r="C124" s="467" t="s">
        <v>5667</v>
      </c>
      <c r="D124" s="467" t="s">
        <v>5658</v>
      </c>
      <c r="E124" s="467" t="s">
        <v>5727</v>
      </c>
      <c r="F124" s="271" t="s">
        <v>5665</v>
      </c>
      <c r="G124" s="451"/>
      <c r="H124" s="451"/>
      <c r="I124" s="451"/>
      <c r="J124" s="451"/>
      <c r="K124" s="451"/>
      <c r="L124" s="451"/>
      <c r="M124" s="451"/>
      <c r="N124" s="451"/>
      <c r="O124" s="451"/>
      <c r="P124" s="451"/>
    </row>
    <row r="125">
      <c r="A125" s="461" t="s">
        <v>5801</v>
      </c>
      <c r="B125" s="466" t="s">
        <v>5802</v>
      </c>
      <c r="C125" s="467" t="s">
        <v>5664</v>
      </c>
      <c r="D125" s="467" t="s">
        <v>5668</v>
      </c>
      <c r="E125" s="467" t="s">
        <v>5659</v>
      </c>
      <c r="F125" s="404" t="s">
        <v>1990</v>
      </c>
      <c r="G125" s="468">
        <v>2.0</v>
      </c>
      <c r="H125" s="404" t="s">
        <v>5660</v>
      </c>
      <c r="I125" s="404" t="s">
        <v>2702</v>
      </c>
      <c r="J125" s="469">
        <v>43517.0</v>
      </c>
      <c r="K125" s="404" t="s">
        <v>5754</v>
      </c>
      <c r="L125" s="468">
        <v>2.0</v>
      </c>
      <c r="M125" s="404" t="s">
        <v>5803</v>
      </c>
      <c r="N125" s="404" t="s">
        <v>5804</v>
      </c>
      <c r="O125" s="468">
        <v>336.0</v>
      </c>
      <c r="P125" s="470" t="s">
        <v>5805</v>
      </c>
      <c r="Q125" s="404"/>
    </row>
    <row r="126">
      <c r="A126" s="461" t="s">
        <v>1992</v>
      </c>
      <c r="B126" s="466" t="s">
        <v>5717</v>
      </c>
      <c r="C126" s="467" t="s">
        <v>5682</v>
      </c>
      <c r="D126" s="467" t="s">
        <v>5668</v>
      </c>
      <c r="E126" s="467" t="s">
        <v>5659</v>
      </c>
      <c r="F126" s="271" t="s">
        <v>5665</v>
      </c>
      <c r="G126" s="451"/>
      <c r="H126" s="451"/>
      <c r="I126" s="451"/>
      <c r="J126" s="451"/>
      <c r="K126" s="451"/>
      <c r="L126" s="451"/>
      <c r="M126" s="451"/>
      <c r="N126" s="451"/>
      <c r="O126" s="451"/>
      <c r="P126" s="451"/>
    </row>
    <row r="127">
      <c r="A127" s="461" t="s">
        <v>5806</v>
      </c>
      <c r="B127" s="466" t="s">
        <v>5663</v>
      </c>
      <c r="C127" s="467" t="s">
        <v>5681</v>
      </c>
      <c r="D127" s="467" t="s">
        <v>5668</v>
      </c>
      <c r="E127" s="467" t="s">
        <v>5659</v>
      </c>
      <c r="F127" s="404" t="s">
        <v>1993</v>
      </c>
      <c r="G127" s="468">
        <v>2.0</v>
      </c>
      <c r="H127" s="404" t="s">
        <v>5660</v>
      </c>
      <c r="I127" s="404" t="s">
        <v>2709</v>
      </c>
      <c r="J127" s="469">
        <v>43522.0</v>
      </c>
      <c r="K127" s="404" t="s">
        <v>5750</v>
      </c>
      <c r="L127" s="468">
        <v>2.0</v>
      </c>
      <c r="M127" s="404" t="s">
        <v>5722</v>
      </c>
      <c r="N127" s="404" t="s">
        <v>5807</v>
      </c>
      <c r="O127" s="468">
        <v>373.0</v>
      </c>
      <c r="P127" s="470" t="s">
        <v>5808</v>
      </c>
      <c r="Q127" s="404"/>
    </row>
    <row r="128">
      <c r="A128" s="461" t="s">
        <v>1997</v>
      </c>
      <c r="B128" s="466" t="s">
        <v>5749</v>
      </c>
      <c r="C128" s="467" t="s">
        <v>5667</v>
      </c>
      <c r="D128" s="467" t="s">
        <v>5668</v>
      </c>
      <c r="E128" s="467" t="s">
        <v>5659</v>
      </c>
      <c r="F128" s="271" t="s">
        <v>5665</v>
      </c>
      <c r="G128" s="451"/>
      <c r="H128" s="451"/>
      <c r="I128" s="451"/>
      <c r="J128" s="451"/>
      <c r="K128" s="451"/>
      <c r="L128" s="451"/>
      <c r="M128" s="451"/>
      <c r="N128" s="451"/>
      <c r="O128" s="451"/>
      <c r="P128" s="451"/>
    </row>
    <row r="129">
      <c r="A129" s="461" t="s">
        <v>5809</v>
      </c>
      <c r="B129" s="466" t="s">
        <v>5717</v>
      </c>
      <c r="C129" s="467" t="s">
        <v>5657</v>
      </c>
      <c r="D129" s="467" t="s">
        <v>5668</v>
      </c>
      <c r="E129" s="467" t="s">
        <v>5659</v>
      </c>
      <c r="F129" s="404" t="s">
        <v>1999</v>
      </c>
      <c r="G129" s="468">
        <v>2.0</v>
      </c>
      <c r="H129" s="404" t="s">
        <v>5660</v>
      </c>
      <c r="I129" s="404" t="s">
        <v>2724</v>
      </c>
      <c r="J129" s="469">
        <v>43523.0</v>
      </c>
      <c r="K129" s="404" t="s">
        <v>5711</v>
      </c>
      <c r="L129" s="468">
        <v>2.0</v>
      </c>
      <c r="M129" s="404" t="s">
        <v>5722</v>
      </c>
      <c r="N129" s="404" t="s">
        <v>5810</v>
      </c>
      <c r="O129" s="468">
        <v>292.0</v>
      </c>
      <c r="P129" s="470" t="s">
        <v>5811</v>
      </c>
      <c r="Q129" s="404"/>
    </row>
    <row r="130">
      <c r="A130" s="461" t="s">
        <v>2008</v>
      </c>
      <c r="B130" s="466" t="s">
        <v>5802</v>
      </c>
      <c r="C130" s="467" t="s">
        <v>5671</v>
      </c>
      <c r="D130" s="467" t="s">
        <v>5675</v>
      </c>
      <c r="E130" s="467" t="s">
        <v>5659</v>
      </c>
      <c r="F130" s="271" t="s">
        <v>5665</v>
      </c>
      <c r="G130" s="451"/>
      <c r="H130" s="451"/>
      <c r="I130" s="451"/>
      <c r="J130" s="451"/>
      <c r="K130" s="451"/>
      <c r="L130" s="451"/>
      <c r="M130" s="451"/>
      <c r="N130" s="451"/>
      <c r="O130" s="451"/>
      <c r="P130" s="451"/>
    </row>
    <row r="131">
      <c r="A131" s="461" t="s">
        <v>2013</v>
      </c>
      <c r="B131" s="466" t="s">
        <v>5701</v>
      </c>
      <c r="C131" s="467" t="s">
        <v>5670</v>
      </c>
      <c r="D131" s="467" t="s">
        <v>5675</v>
      </c>
      <c r="E131" s="467" t="s">
        <v>5659</v>
      </c>
      <c r="F131" s="271" t="s">
        <v>5665</v>
      </c>
      <c r="G131" s="451"/>
      <c r="H131" s="451"/>
      <c r="I131" s="451"/>
      <c r="J131" s="451"/>
      <c r="K131" s="451"/>
      <c r="L131" s="451"/>
      <c r="M131" s="451"/>
      <c r="N131" s="451"/>
      <c r="O131" s="451"/>
      <c r="P131" s="451"/>
    </row>
    <row r="132">
      <c r="A132" s="461" t="s">
        <v>2014</v>
      </c>
      <c r="B132" s="466" t="s">
        <v>5717</v>
      </c>
      <c r="C132" s="467" t="s">
        <v>5682</v>
      </c>
      <c r="D132" s="467" t="s">
        <v>5675</v>
      </c>
      <c r="E132" s="467" t="s">
        <v>5659</v>
      </c>
      <c r="F132" s="271" t="s">
        <v>5665</v>
      </c>
      <c r="G132" s="451"/>
      <c r="H132" s="451"/>
      <c r="I132" s="451"/>
      <c r="J132" s="451"/>
      <c r="K132" s="451"/>
      <c r="L132" s="451"/>
      <c r="M132" s="451"/>
      <c r="N132" s="451"/>
      <c r="O132" s="451"/>
      <c r="P132" s="451"/>
    </row>
    <row r="133">
      <c r="A133" s="461" t="s">
        <v>2015</v>
      </c>
      <c r="B133" s="466" t="s">
        <v>5656</v>
      </c>
      <c r="C133" s="467" t="s">
        <v>5681</v>
      </c>
      <c r="D133" s="467" t="s">
        <v>5675</v>
      </c>
      <c r="E133" s="467" t="s">
        <v>5659</v>
      </c>
      <c r="F133" s="271" t="s">
        <v>5665</v>
      </c>
      <c r="G133" s="451"/>
      <c r="H133" s="451"/>
      <c r="I133" s="451"/>
      <c r="J133" s="451"/>
      <c r="K133" s="451"/>
      <c r="L133" s="451"/>
      <c r="M133" s="451"/>
      <c r="N133" s="451"/>
      <c r="O133" s="451"/>
      <c r="P133" s="451"/>
    </row>
    <row r="134">
      <c r="A134" s="461" t="s">
        <v>5812</v>
      </c>
      <c r="B134" s="466" t="s">
        <v>5672</v>
      </c>
      <c r="C134" s="467" t="s">
        <v>5657</v>
      </c>
      <c r="D134" s="467" t="s">
        <v>5675</v>
      </c>
      <c r="E134" s="467" t="s">
        <v>5659</v>
      </c>
      <c r="F134" s="404" t="s">
        <v>2024</v>
      </c>
      <c r="G134" s="468">
        <v>2.0</v>
      </c>
      <c r="H134" s="404" t="s">
        <v>5660</v>
      </c>
      <c r="I134" s="404" t="s">
        <v>2695</v>
      </c>
      <c r="J134" s="469">
        <v>43537.0</v>
      </c>
      <c r="K134" s="404" t="s">
        <v>5711</v>
      </c>
      <c r="L134" s="468">
        <v>3.0</v>
      </c>
      <c r="M134" s="404" t="s">
        <v>5722</v>
      </c>
      <c r="N134" s="404" t="s">
        <v>5813</v>
      </c>
      <c r="O134" s="468">
        <v>430.0</v>
      </c>
      <c r="P134" s="470" t="s">
        <v>5814</v>
      </c>
      <c r="Q134" s="404"/>
    </row>
    <row r="135">
      <c r="A135" s="461" t="s">
        <v>2030</v>
      </c>
      <c r="B135" s="466" t="s">
        <v>5656</v>
      </c>
      <c r="C135" s="467" t="s">
        <v>5681</v>
      </c>
      <c r="D135" s="467" t="s">
        <v>5683</v>
      </c>
      <c r="E135" s="467" t="s">
        <v>5659</v>
      </c>
      <c r="F135" s="271" t="s">
        <v>5665</v>
      </c>
      <c r="G135" s="451"/>
      <c r="H135" s="451"/>
      <c r="I135" s="451"/>
      <c r="J135" s="451"/>
      <c r="K135" s="451"/>
      <c r="L135" s="451"/>
      <c r="M135" s="451"/>
      <c r="N135" s="451"/>
      <c r="O135" s="451"/>
      <c r="P135" s="451"/>
    </row>
    <row r="136">
      <c r="A136" s="461" t="s">
        <v>5815</v>
      </c>
      <c r="B136" s="466" t="s">
        <v>5684</v>
      </c>
      <c r="C136" s="467" t="s">
        <v>5667</v>
      </c>
      <c r="D136" s="467" t="s">
        <v>5683</v>
      </c>
      <c r="E136" s="467" t="s">
        <v>5659</v>
      </c>
      <c r="F136" s="404" t="s">
        <v>2033</v>
      </c>
      <c r="G136" s="468">
        <v>2.0</v>
      </c>
      <c r="H136" s="404" t="s">
        <v>5660</v>
      </c>
      <c r="I136" s="404" t="s">
        <v>2707</v>
      </c>
      <c r="J136" s="469">
        <v>43581.0</v>
      </c>
      <c r="K136" s="404" t="s">
        <v>5734</v>
      </c>
      <c r="L136" s="468">
        <v>4.0</v>
      </c>
      <c r="M136" s="404" t="s">
        <v>5816</v>
      </c>
      <c r="N136" s="404" t="s">
        <v>5817</v>
      </c>
      <c r="O136" s="468">
        <v>527.0</v>
      </c>
      <c r="P136" s="470" t="s">
        <v>5818</v>
      </c>
      <c r="Q136" s="404"/>
    </row>
    <row r="137">
      <c r="A137" s="461" t="s">
        <v>2038</v>
      </c>
      <c r="B137" s="466" t="s">
        <v>5749</v>
      </c>
      <c r="C137" s="467" t="s">
        <v>5682</v>
      </c>
      <c r="D137" s="467" t="s">
        <v>5683</v>
      </c>
      <c r="E137" s="467" t="s">
        <v>5659</v>
      </c>
      <c r="F137" s="271" t="s">
        <v>5665</v>
      </c>
      <c r="G137" s="451"/>
      <c r="H137" s="451"/>
      <c r="I137" s="451"/>
      <c r="J137" s="451"/>
      <c r="K137" s="451"/>
      <c r="L137" s="451"/>
      <c r="M137" s="451"/>
      <c r="N137" s="451"/>
      <c r="O137" s="451"/>
      <c r="P137" s="451"/>
    </row>
    <row r="138">
      <c r="A138" s="461" t="s">
        <v>2058</v>
      </c>
      <c r="B138" s="466" t="s">
        <v>5684</v>
      </c>
      <c r="C138" s="467" t="s">
        <v>5657</v>
      </c>
      <c r="D138" s="467" t="s">
        <v>5692</v>
      </c>
      <c r="E138" s="467" t="s">
        <v>5659</v>
      </c>
      <c r="F138" s="271" t="s">
        <v>5665</v>
      </c>
      <c r="G138" s="451"/>
      <c r="H138" s="451"/>
      <c r="I138" s="451"/>
      <c r="J138" s="451"/>
      <c r="K138" s="451"/>
      <c r="L138" s="451"/>
      <c r="M138" s="451"/>
      <c r="N138" s="451"/>
      <c r="O138" s="451"/>
      <c r="P138" s="451"/>
    </row>
    <row r="139">
      <c r="A139" s="461" t="s">
        <v>2059</v>
      </c>
      <c r="B139" s="466" t="s">
        <v>5802</v>
      </c>
      <c r="C139" s="467" t="s">
        <v>5671</v>
      </c>
      <c r="D139" s="467" t="s">
        <v>5692</v>
      </c>
      <c r="E139" s="467" t="s">
        <v>5659</v>
      </c>
      <c r="F139" s="271" t="s">
        <v>5665</v>
      </c>
      <c r="G139" s="451"/>
      <c r="H139" s="451"/>
      <c r="I139" s="451"/>
      <c r="J139" s="451"/>
      <c r="K139" s="451"/>
      <c r="L139" s="451"/>
      <c r="M139" s="451"/>
      <c r="N139" s="451"/>
      <c r="O139" s="451"/>
      <c r="P139" s="451"/>
    </row>
    <row r="140">
      <c r="A140" s="461" t="s">
        <v>2060</v>
      </c>
      <c r="B140" s="466" t="s">
        <v>5717</v>
      </c>
      <c r="C140" s="467" t="s">
        <v>5682</v>
      </c>
      <c r="D140" s="467" t="s">
        <v>5692</v>
      </c>
      <c r="E140" s="467" t="s">
        <v>5659</v>
      </c>
      <c r="F140" s="271" t="s">
        <v>5665</v>
      </c>
      <c r="G140" s="451"/>
      <c r="H140" s="451"/>
      <c r="I140" s="451"/>
      <c r="J140" s="451"/>
      <c r="K140" s="451"/>
      <c r="L140" s="451"/>
      <c r="M140" s="451"/>
      <c r="N140" s="451"/>
      <c r="O140" s="451"/>
      <c r="P140" s="451"/>
    </row>
    <row r="141">
      <c r="A141" s="461" t="s">
        <v>2067</v>
      </c>
      <c r="B141" s="466" t="s">
        <v>5656</v>
      </c>
      <c r="C141" s="467" t="s">
        <v>5670</v>
      </c>
      <c r="D141" s="467" t="s">
        <v>5705</v>
      </c>
      <c r="E141" s="467" t="s">
        <v>5659</v>
      </c>
      <c r="F141" s="271" t="s">
        <v>5665</v>
      </c>
      <c r="G141" s="451"/>
      <c r="H141" s="451"/>
      <c r="I141" s="451"/>
      <c r="J141" s="451"/>
      <c r="K141" s="451"/>
      <c r="L141" s="451"/>
      <c r="M141" s="451"/>
      <c r="N141" s="451"/>
      <c r="O141" s="451"/>
      <c r="P141" s="451"/>
    </row>
    <row r="142">
      <c r="A142" s="461" t="s">
        <v>2068</v>
      </c>
      <c r="B142" s="466" t="s">
        <v>5673</v>
      </c>
      <c r="C142" s="467" t="s">
        <v>5681</v>
      </c>
      <c r="D142" s="467" t="s">
        <v>5705</v>
      </c>
      <c r="E142" s="467" t="s">
        <v>5659</v>
      </c>
      <c r="F142" s="271" t="s">
        <v>5665</v>
      </c>
      <c r="G142" s="451"/>
      <c r="H142" s="451"/>
      <c r="I142" s="451"/>
      <c r="J142" s="451"/>
      <c r="K142" s="451"/>
      <c r="L142" s="451"/>
      <c r="M142" s="451"/>
      <c r="N142" s="451"/>
      <c r="O142" s="451"/>
      <c r="P142" s="451"/>
    </row>
    <row r="143">
      <c r="A143" s="461" t="s">
        <v>2069</v>
      </c>
      <c r="B143" s="466" t="s">
        <v>5749</v>
      </c>
      <c r="C143" s="467" t="s">
        <v>5682</v>
      </c>
      <c r="D143" s="467" t="s">
        <v>5705</v>
      </c>
      <c r="E143" s="467" t="s">
        <v>5659</v>
      </c>
      <c r="F143" s="271" t="s">
        <v>5665</v>
      </c>
      <c r="G143" s="451"/>
      <c r="H143" s="451"/>
      <c r="I143" s="451"/>
      <c r="J143" s="451"/>
      <c r="K143" s="451"/>
      <c r="L143" s="451"/>
      <c r="M143" s="451"/>
      <c r="N143" s="451"/>
      <c r="O143" s="451"/>
      <c r="P143" s="451"/>
    </row>
    <row r="144">
      <c r="A144" s="461" t="s">
        <v>2071</v>
      </c>
      <c r="B144" s="466" t="s">
        <v>5802</v>
      </c>
      <c r="C144" s="467" t="s">
        <v>5664</v>
      </c>
      <c r="D144" s="467" t="s">
        <v>5705</v>
      </c>
      <c r="E144" s="467" t="s">
        <v>5659</v>
      </c>
      <c r="F144" s="271" t="s">
        <v>5665</v>
      </c>
      <c r="G144" s="451"/>
      <c r="H144" s="451"/>
      <c r="I144" s="451"/>
      <c r="J144" s="451"/>
      <c r="K144" s="451"/>
      <c r="L144" s="451"/>
      <c r="M144" s="451"/>
      <c r="N144" s="451"/>
      <c r="O144" s="451"/>
      <c r="P144" s="451"/>
    </row>
    <row r="145">
      <c r="A145" s="461" t="s">
        <v>2072</v>
      </c>
      <c r="B145" s="466" t="s">
        <v>5684</v>
      </c>
      <c r="C145" s="467" t="s">
        <v>5667</v>
      </c>
      <c r="D145" s="467" t="s">
        <v>5705</v>
      </c>
      <c r="E145" s="467" t="s">
        <v>5659</v>
      </c>
      <c r="F145" s="271" t="s">
        <v>5665</v>
      </c>
      <c r="G145" s="451"/>
      <c r="H145" s="451"/>
      <c r="I145" s="451"/>
      <c r="J145" s="451"/>
      <c r="K145" s="451"/>
      <c r="L145" s="451"/>
      <c r="M145" s="451"/>
      <c r="N145" s="451"/>
      <c r="O145" s="451"/>
      <c r="P145" s="451"/>
    </row>
    <row r="146">
      <c r="A146" s="461" t="s">
        <v>2073</v>
      </c>
      <c r="B146" s="466" t="s">
        <v>5673</v>
      </c>
      <c r="C146" s="467" t="s">
        <v>5682</v>
      </c>
      <c r="D146" s="467" t="s">
        <v>5716</v>
      </c>
      <c r="E146" s="467" t="s">
        <v>5659</v>
      </c>
      <c r="F146" s="271" t="s">
        <v>5665</v>
      </c>
      <c r="G146" s="451"/>
      <c r="H146" s="451"/>
      <c r="I146" s="451"/>
      <c r="J146" s="451"/>
      <c r="K146" s="451"/>
      <c r="L146" s="451"/>
      <c r="M146" s="451"/>
      <c r="N146" s="451"/>
      <c r="O146" s="451"/>
      <c r="P146" s="451"/>
    </row>
    <row r="147">
      <c r="A147" s="461" t="s">
        <v>2074</v>
      </c>
      <c r="B147" s="466" t="s">
        <v>5663</v>
      </c>
      <c r="C147" s="467" t="s">
        <v>5670</v>
      </c>
      <c r="D147" s="467" t="s">
        <v>5716</v>
      </c>
      <c r="E147" s="467" t="s">
        <v>5659</v>
      </c>
      <c r="F147" s="271" t="s">
        <v>5665</v>
      </c>
      <c r="G147" s="451"/>
      <c r="H147" s="451"/>
      <c r="I147" s="451"/>
      <c r="J147" s="451"/>
      <c r="K147" s="451"/>
      <c r="L147" s="451"/>
      <c r="M147" s="451"/>
      <c r="N147" s="451"/>
      <c r="O147" s="451"/>
      <c r="P147" s="451"/>
    </row>
    <row r="148">
      <c r="A148" s="461" t="s">
        <v>2075</v>
      </c>
      <c r="B148" s="466" t="s">
        <v>5717</v>
      </c>
      <c r="C148" s="467" t="s">
        <v>5664</v>
      </c>
      <c r="D148" s="467" t="s">
        <v>5716</v>
      </c>
      <c r="E148" s="467" t="s">
        <v>5659</v>
      </c>
      <c r="F148" s="271" t="s">
        <v>5665</v>
      </c>
      <c r="G148" s="451"/>
      <c r="H148" s="451"/>
      <c r="I148" s="451"/>
      <c r="J148" s="451"/>
      <c r="K148" s="451"/>
      <c r="L148" s="451"/>
      <c r="M148" s="451"/>
      <c r="N148" s="451"/>
      <c r="O148" s="451"/>
      <c r="P148" s="451"/>
    </row>
    <row r="149">
      <c r="A149" s="461" t="s">
        <v>2084</v>
      </c>
      <c r="B149" s="466" t="s">
        <v>5802</v>
      </c>
      <c r="C149" s="467" t="s">
        <v>5667</v>
      </c>
      <c r="D149" s="467" t="s">
        <v>5716</v>
      </c>
      <c r="E149" s="467" t="s">
        <v>5659</v>
      </c>
      <c r="F149" s="271" t="s">
        <v>5665</v>
      </c>
      <c r="G149" s="451"/>
      <c r="H149" s="451"/>
      <c r="I149" s="451"/>
      <c r="J149" s="451"/>
      <c r="K149" s="451"/>
      <c r="L149" s="451"/>
      <c r="M149" s="451"/>
      <c r="N149" s="451"/>
      <c r="O149" s="451"/>
      <c r="P149" s="451"/>
    </row>
    <row r="150">
      <c r="A150" s="461" t="s">
        <v>2085</v>
      </c>
      <c r="B150" s="466" t="s">
        <v>5701</v>
      </c>
      <c r="C150" s="467" t="s">
        <v>5657</v>
      </c>
      <c r="D150" s="467" t="s">
        <v>5719</v>
      </c>
      <c r="E150" s="467" t="s">
        <v>5659</v>
      </c>
      <c r="F150" s="271" t="s">
        <v>5665</v>
      </c>
      <c r="G150" s="451"/>
      <c r="H150" s="451"/>
      <c r="I150" s="451"/>
      <c r="J150" s="451"/>
      <c r="K150" s="451"/>
      <c r="L150" s="451"/>
      <c r="M150" s="451"/>
      <c r="N150" s="451"/>
      <c r="O150" s="451"/>
      <c r="P150" s="451"/>
    </row>
    <row r="151">
      <c r="A151" s="461" t="s">
        <v>2088</v>
      </c>
      <c r="B151" s="466" t="s">
        <v>5673</v>
      </c>
      <c r="C151" s="467" t="s">
        <v>5671</v>
      </c>
      <c r="D151" s="467" t="s">
        <v>5719</v>
      </c>
      <c r="E151" s="467" t="s">
        <v>5659</v>
      </c>
      <c r="F151" s="271" t="s">
        <v>5665</v>
      </c>
      <c r="G151" s="451"/>
      <c r="H151" s="451"/>
      <c r="I151" s="451"/>
      <c r="J151" s="451"/>
      <c r="K151" s="451"/>
      <c r="L151" s="451"/>
      <c r="M151" s="451"/>
      <c r="N151" s="451"/>
      <c r="O151" s="451"/>
      <c r="P151" s="451"/>
    </row>
    <row r="152">
      <c r="A152" s="461" t="s">
        <v>2092</v>
      </c>
      <c r="B152" s="460" t="s">
        <v>5701</v>
      </c>
      <c r="C152" s="467" t="s">
        <v>5819</v>
      </c>
      <c r="D152" s="467" t="s">
        <v>5719</v>
      </c>
      <c r="E152" s="467" t="s">
        <v>5659</v>
      </c>
      <c r="F152" s="271" t="s">
        <v>5665</v>
      </c>
      <c r="G152" s="451"/>
      <c r="H152" s="451"/>
      <c r="I152" s="451"/>
      <c r="J152" s="451"/>
      <c r="K152" s="451"/>
      <c r="L152" s="451"/>
      <c r="M152" s="451"/>
      <c r="N152" s="451"/>
      <c r="O152" s="451"/>
      <c r="P152" s="451"/>
    </row>
    <row r="153">
      <c r="A153" s="461" t="s">
        <v>2093</v>
      </c>
      <c r="B153" s="466" t="s">
        <v>5663</v>
      </c>
      <c r="C153" s="467" t="s">
        <v>5682</v>
      </c>
      <c r="D153" s="467" t="s">
        <v>5719</v>
      </c>
      <c r="E153" s="467" t="s">
        <v>5659</v>
      </c>
      <c r="F153" s="271" t="s">
        <v>5665</v>
      </c>
      <c r="G153" s="451"/>
      <c r="H153" s="451"/>
      <c r="I153" s="451"/>
      <c r="J153" s="451"/>
      <c r="K153" s="451"/>
      <c r="L153" s="451"/>
      <c r="M153" s="451"/>
      <c r="N153" s="451"/>
      <c r="O153" s="451"/>
      <c r="P153" s="451"/>
    </row>
    <row r="154">
      <c r="A154" s="495" t="s">
        <v>1225</v>
      </c>
      <c r="B154" s="466" t="s">
        <v>5749</v>
      </c>
      <c r="C154" s="467" t="s">
        <v>5671</v>
      </c>
      <c r="D154" s="467" t="s">
        <v>5658</v>
      </c>
      <c r="E154" s="467" t="s">
        <v>5727</v>
      </c>
      <c r="F154" s="271" t="s">
        <v>5665</v>
      </c>
      <c r="G154" s="451"/>
      <c r="H154" s="451"/>
      <c r="I154" s="451"/>
      <c r="J154" s="451"/>
      <c r="K154" s="451"/>
      <c r="L154" s="451"/>
      <c r="M154" s="451"/>
      <c r="N154" s="451"/>
      <c r="O154" s="451"/>
      <c r="P154" s="451"/>
    </row>
    <row r="155">
      <c r="A155" s="495" t="s">
        <v>5820</v>
      </c>
      <c r="B155" s="466" t="s">
        <v>5666</v>
      </c>
      <c r="C155" s="467" t="s">
        <v>5667</v>
      </c>
      <c r="D155" s="467" t="s">
        <v>5668</v>
      </c>
      <c r="E155" s="467" t="s">
        <v>5727</v>
      </c>
      <c r="F155" s="404" t="s">
        <v>1229</v>
      </c>
      <c r="G155" s="468">
        <v>2.0</v>
      </c>
      <c r="H155" s="404" t="s">
        <v>5728</v>
      </c>
      <c r="I155" s="404" t="s">
        <v>2698</v>
      </c>
      <c r="J155" s="469">
        <v>43497.0</v>
      </c>
      <c r="K155" s="404" t="s">
        <v>5734</v>
      </c>
      <c r="L155" s="468">
        <v>2.0</v>
      </c>
      <c r="M155" s="404" t="s">
        <v>5790</v>
      </c>
      <c r="N155" s="404" t="s">
        <v>5821</v>
      </c>
      <c r="O155" s="468">
        <v>418.0</v>
      </c>
      <c r="P155" s="470" t="s">
        <v>5822</v>
      </c>
      <c r="Q155" s="404"/>
    </row>
    <row r="156">
      <c r="A156" s="495" t="s">
        <v>5823</v>
      </c>
      <c r="B156" s="466" t="s">
        <v>5656</v>
      </c>
      <c r="C156" s="467" t="s">
        <v>5670</v>
      </c>
      <c r="D156" s="467" t="s">
        <v>5668</v>
      </c>
      <c r="E156" s="467" t="s">
        <v>5727</v>
      </c>
      <c r="F156" s="404" t="s">
        <v>1231</v>
      </c>
      <c r="G156" s="468">
        <v>2.0</v>
      </c>
      <c r="H156" s="404" t="s">
        <v>5728</v>
      </c>
      <c r="I156" s="404" t="s">
        <v>2692</v>
      </c>
      <c r="J156" s="469">
        <v>43505.0</v>
      </c>
      <c r="K156" s="404" t="s">
        <v>5786</v>
      </c>
      <c r="L156" s="468">
        <v>2.0</v>
      </c>
      <c r="M156" s="404" t="s">
        <v>5824</v>
      </c>
      <c r="N156" s="404" t="s">
        <v>5825</v>
      </c>
      <c r="O156" s="468">
        <v>344.0</v>
      </c>
      <c r="P156" s="470" t="s">
        <v>5826</v>
      </c>
      <c r="Q156" s="404"/>
    </row>
    <row r="157">
      <c r="A157" s="495" t="s">
        <v>5827</v>
      </c>
      <c r="B157" s="466" t="s">
        <v>5717</v>
      </c>
      <c r="C157" s="467" t="s">
        <v>5657</v>
      </c>
      <c r="D157" s="467" t="s">
        <v>5668</v>
      </c>
      <c r="E157" s="467" t="s">
        <v>5727</v>
      </c>
      <c r="F157" s="404" t="s">
        <v>1233</v>
      </c>
      <c r="G157" s="468">
        <v>2.0</v>
      </c>
      <c r="H157" s="404" t="s">
        <v>5728</v>
      </c>
      <c r="I157" s="404" t="s">
        <v>2724</v>
      </c>
      <c r="J157" s="469">
        <v>43509.0</v>
      </c>
      <c r="K157" s="404" t="s">
        <v>5711</v>
      </c>
      <c r="L157" s="468">
        <v>2.0</v>
      </c>
      <c r="M157" s="404" t="s">
        <v>5828</v>
      </c>
      <c r="N157" s="404" t="s">
        <v>5829</v>
      </c>
      <c r="O157" s="468">
        <v>270.0</v>
      </c>
      <c r="P157" s="470" t="s">
        <v>5830</v>
      </c>
      <c r="Q157" s="404"/>
    </row>
    <row r="158">
      <c r="A158" s="495" t="s">
        <v>1235</v>
      </c>
      <c r="B158" s="466" t="s">
        <v>5673</v>
      </c>
      <c r="C158" s="467" t="s">
        <v>5670</v>
      </c>
      <c r="D158" s="467" t="s">
        <v>5668</v>
      </c>
      <c r="E158" s="467" t="s">
        <v>5727</v>
      </c>
      <c r="F158" s="271" t="s">
        <v>5665</v>
      </c>
      <c r="G158" s="451"/>
      <c r="H158" s="451"/>
      <c r="I158" s="451"/>
      <c r="J158" s="451"/>
      <c r="K158" s="451"/>
      <c r="L158" s="451"/>
      <c r="M158" s="451"/>
      <c r="N158" s="451"/>
      <c r="O158" s="451"/>
      <c r="P158" s="451"/>
    </row>
    <row r="159">
      <c r="A159" s="495" t="s">
        <v>2133</v>
      </c>
      <c r="B159" s="466" t="s">
        <v>5701</v>
      </c>
      <c r="C159" s="467" t="s">
        <v>5681</v>
      </c>
      <c r="D159" s="467" t="s">
        <v>5668</v>
      </c>
      <c r="E159" s="467" t="s">
        <v>5727</v>
      </c>
      <c r="F159" s="351" t="s">
        <v>5700</v>
      </c>
      <c r="G159" s="472"/>
      <c r="H159" s="351"/>
      <c r="I159" s="351"/>
      <c r="J159" s="473"/>
      <c r="K159" s="351"/>
      <c r="L159" s="472"/>
      <c r="M159" s="351"/>
      <c r="N159" s="351"/>
      <c r="O159" s="472"/>
      <c r="P159" s="351"/>
      <c r="Q159" s="351"/>
    </row>
    <row r="160">
      <c r="A160" s="495" t="s">
        <v>2135</v>
      </c>
      <c r="B160" s="466" t="s">
        <v>5802</v>
      </c>
      <c r="C160" s="467" t="s">
        <v>5681</v>
      </c>
      <c r="D160" s="467" t="s">
        <v>5668</v>
      </c>
      <c r="E160" s="467" t="s">
        <v>5727</v>
      </c>
      <c r="F160" s="404" t="s">
        <v>1237</v>
      </c>
      <c r="G160" s="468">
        <v>2.0</v>
      </c>
      <c r="H160" s="404" t="s">
        <v>5728</v>
      </c>
      <c r="I160" s="404" t="s">
        <v>2702</v>
      </c>
      <c r="J160" s="469">
        <v>43501.0</v>
      </c>
      <c r="K160" s="404" t="s">
        <v>5750</v>
      </c>
      <c r="L160" s="468">
        <v>2.0</v>
      </c>
      <c r="M160" s="404" t="s">
        <v>5831</v>
      </c>
      <c r="N160" s="404" t="s">
        <v>5832</v>
      </c>
      <c r="O160" s="468">
        <v>288.0</v>
      </c>
      <c r="P160" s="470" t="s">
        <v>5833</v>
      </c>
      <c r="Q160" s="404"/>
    </row>
    <row r="161">
      <c r="A161" s="495" t="s">
        <v>5834</v>
      </c>
      <c r="B161" s="466" t="s">
        <v>5802</v>
      </c>
      <c r="C161" s="467" t="s">
        <v>5664</v>
      </c>
      <c r="D161" s="467" t="s">
        <v>5668</v>
      </c>
      <c r="E161" s="467" t="s">
        <v>5727</v>
      </c>
      <c r="F161" s="404" t="s">
        <v>1243</v>
      </c>
      <c r="G161" s="468">
        <v>2.0</v>
      </c>
      <c r="H161" s="404" t="s">
        <v>5728</v>
      </c>
      <c r="I161" s="404" t="s">
        <v>2702</v>
      </c>
      <c r="J161" s="469">
        <v>43524.0</v>
      </c>
      <c r="K161" s="404" t="s">
        <v>5754</v>
      </c>
      <c r="L161" s="468">
        <v>2.0</v>
      </c>
      <c r="M161" s="404" t="s">
        <v>5835</v>
      </c>
      <c r="N161" s="404" t="s">
        <v>5836</v>
      </c>
      <c r="O161" s="468">
        <v>399.0</v>
      </c>
      <c r="P161" s="470" t="s">
        <v>5837</v>
      </c>
      <c r="Q161" s="404"/>
    </row>
    <row r="162">
      <c r="A162" s="495" t="s">
        <v>1249</v>
      </c>
      <c r="B162" s="466" t="s">
        <v>5749</v>
      </c>
      <c r="C162" s="467" t="s">
        <v>5657</v>
      </c>
      <c r="D162" s="467" t="s">
        <v>5668</v>
      </c>
      <c r="E162" s="467" t="s">
        <v>5727</v>
      </c>
      <c r="F162" s="271" t="s">
        <v>5665</v>
      </c>
      <c r="G162" s="451"/>
      <c r="H162" s="451"/>
      <c r="I162" s="451"/>
      <c r="J162" s="451"/>
      <c r="K162" s="451"/>
      <c r="L162" s="451"/>
      <c r="M162" s="451"/>
      <c r="N162" s="451"/>
      <c r="O162" s="451"/>
      <c r="P162" s="451"/>
    </row>
    <row r="163">
      <c r="A163" s="495" t="s">
        <v>5838</v>
      </c>
      <c r="B163" s="466" t="s">
        <v>5673</v>
      </c>
      <c r="C163" s="467" t="s">
        <v>5664</v>
      </c>
      <c r="D163" s="467" t="s">
        <v>5668</v>
      </c>
      <c r="E163" s="467" t="s">
        <v>5727</v>
      </c>
      <c r="F163" s="404" t="s">
        <v>1250</v>
      </c>
      <c r="G163" s="468">
        <v>2.0</v>
      </c>
      <c r="H163" s="404" t="s">
        <v>5728</v>
      </c>
      <c r="I163" s="404" t="s">
        <v>2704</v>
      </c>
      <c r="J163" s="469">
        <v>43510.0</v>
      </c>
      <c r="K163" s="404" t="s">
        <v>5754</v>
      </c>
      <c r="L163" s="468">
        <v>2.0</v>
      </c>
      <c r="M163" s="404" t="s">
        <v>5839</v>
      </c>
      <c r="N163" s="404" t="s">
        <v>5840</v>
      </c>
      <c r="O163" s="468">
        <v>305.0</v>
      </c>
      <c r="P163" s="470" t="s">
        <v>5841</v>
      </c>
      <c r="Q163" s="404"/>
    </row>
    <row r="164">
      <c r="A164" s="495" t="s">
        <v>1252</v>
      </c>
      <c r="B164" s="466" t="s">
        <v>5672</v>
      </c>
      <c r="C164" s="467" t="s">
        <v>5667</v>
      </c>
      <c r="D164" s="467" t="s">
        <v>5668</v>
      </c>
      <c r="E164" s="467" t="s">
        <v>5727</v>
      </c>
      <c r="F164" s="271" t="s">
        <v>5665</v>
      </c>
      <c r="G164" s="451"/>
      <c r="H164" s="451"/>
      <c r="I164" s="451"/>
      <c r="J164" s="451"/>
      <c r="K164" s="451"/>
      <c r="L164" s="451"/>
      <c r="M164" s="451"/>
      <c r="N164" s="451"/>
      <c r="O164" s="451"/>
      <c r="P164" s="451"/>
    </row>
    <row r="165">
      <c r="A165" s="495" t="s">
        <v>1253</v>
      </c>
      <c r="B165" s="466" t="s">
        <v>5666</v>
      </c>
      <c r="C165" s="467" t="s">
        <v>5671</v>
      </c>
      <c r="D165" s="467" t="s">
        <v>5668</v>
      </c>
      <c r="E165" s="467" t="s">
        <v>5727</v>
      </c>
      <c r="F165" s="271" t="s">
        <v>5665</v>
      </c>
      <c r="G165" s="451"/>
      <c r="H165" s="451"/>
      <c r="I165" s="451"/>
      <c r="J165" s="451"/>
      <c r="K165" s="451"/>
      <c r="L165" s="451"/>
      <c r="M165" s="451"/>
      <c r="N165" s="451"/>
      <c r="O165" s="451"/>
      <c r="P165" s="451"/>
    </row>
    <row r="166">
      <c r="A166" s="495" t="s">
        <v>1260</v>
      </c>
      <c r="B166" s="466" t="s">
        <v>5701</v>
      </c>
      <c r="C166" s="467" t="s">
        <v>5657</v>
      </c>
      <c r="D166" s="467" t="s">
        <v>5675</v>
      </c>
      <c r="E166" s="467" t="s">
        <v>5727</v>
      </c>
      <c r="F166" s="271" t="s">
        <v>5665</v>
      </c>
      <c r="G166" s="451"/>
      <c r="H166" s="451"/>
      <c r="I166" s="451"/>
      <c r="J166" s="451"/>
      <c r="K166" s="451"/>
      <c r="L166" s="451"/>
      <c r="M166" s="451"/>
      <c r="N166" s="451"/>
      <c r="O166" s="451"/>
      <c r="P166" s="451"/>
    </row>
    <row r="167">
      <c r="A167" s="495" t="s">
        <v>1265</v>
      </c>
      <c r="B167" s="466" t="s">
        <v>5673</v>
      </c>
      <c r="C167" s="467" t="s">
        <v>5664</v>
      </c>
      <c r="D167" s="467" t="s">
        <v>5675</v>
      </c>
      <c r="E167" s="467" t="s">
        <v>5727</v>
      </c>
      <c r="F167" s="271" t="s">
        <v>5665</v>
      </c>
      <c r="G167" s="451"/>
      <c r="H167" s="451"/>
      <c r="I167" s="451"/>
      <c r="J167" s="451"/>
      <c r="K167" s="451"/>
      <c r="L167" s="451"/>
      <c r="M167" s="451"/>
      <c r="N167" s="451"/>
      <c r="O167" s="451"/>
      <c r="P167" s="451"/>
    </row>
    <row r="168">
      <c r="A168" s="495" t="s">
        <v>5842</v>
      </c>
      <c r="B168" s="466" t="s">
        <v>5749</v>
      </c>
      <c r="C168" s="467" t="s">
        <v>5671</v>
      </c>
      <c r="D168" s="467" t="s">
        <v>5675</v>
      </c>
      <c r="E168" s="467" t="s">
        <v>5727</v>
      </c>
      <c r="F168" s="404" t="s">
        <v>1266</v>
      </c>
      <c r="G168" s="468">
        <v>2.0</v>
      </c>
      <c r="H168" s="404" t="s">
        <v>5728</v>
      </c>
      <c r="I168" s="404" t="s">
        <v>2715</v>
      </c>
      <c r="J168" s="469">
        <v>43534.0</v>
      </c>
      <c r="K168" s="404" t="s">
        <v>5729</v>
      </c>
      <c r="L168" s="468">
        <v>3.0</v>
      </c>
      <c r="M168" s="404" t="s">
        <v>5773</v>
      </c>
      <c r="N168" s="404" t="s">
        <v>5843</v>
      </c>
      <c r="O168" s="468">
        <v>246.0</v>
      </c>
      <c r="P168" s="470" t="s">
        <v>5844</v>
      </c>
      <c r="Q168" s="404"/>
    </row>
    <row r="169">
      <c r="A169" s="495" t="s">
        <v>5845</v>
      </c>
      <c r="B169" s="466" t="s">
        <v>5701</v>
      </c>
      <c r="C169" s="467" t="s">
        <v>5681</v>
      </c>
      <c r="D169" s="467" t="s">
        <v>5675</v>
      </c>
      <c r="E169" s="467" t="s">
        <v>5727</v>
      </c>
      <c r="F169" s="404" t="s">
        <v>1268</v>
      </c>
      <c r="G169" s="468">
        <v>2.0</v>
      </c>
      <c r="H169" s="404" t="s">
        <v>5728</v>
      </c>
      <c r="I169" s="404" t="s">
        <v>2740</v>
      </c>
      <c r="J169" s="469">
        <v>43536.0</v>
      </c>
      <c r="K169" s="404" t="s">
        <v>5750</v>
      </c>
      <c r="L169" s="468">
        <v>3.0</v>
      </c>
      <c r="M169" s="404" t="s">
        <v>5846</v>
      </c>
      <c r="N169" s="404" t="s">
        <v>5847</v>
      </c>
      <c r="O169" s="468">
        <v>440.0</v>
      </c>
      <c r="P169" s="470" t="s">
        <v>5848</v>
      </c>
      <c r="Q169" s="404"/>
    </row>
    <row r="170">
      <c r="A170" s="495" t="s">
        <v>1270</v>
      </c>
      <c r="B170" s="466" t="s">
        <v>5715</v>
      </c>
      <c r="C170" s="467" t="s">
        <v>5657</v>
      </c>
      <c r="D170" s="467" t="s">
        <v>5675</v>
      </c>
      <c r="E170" s="467" t="s">
        <v>5727</v>
      </c>
      <c r="F170" s="271" t="s">
        <v>5665</v>
      </c>
      <c r="G170" s="451"/>
      <c r="H170" s="451"/>
      <c r="I170" s="451"/>
      <c r="J170" s="451"/>
      <c r="K170" s="451"/>
      <c r="L170" s="451"/>
      <c r="M170" s="451"/>
      <c r="N170" s="451"/>
      <c r="O170" s="451"/>
      <c r="P170" s="451"/>
    </row>
    <row r="171">
      <c r="A171" s="495" t="s">
        <v>5849</v>
      </c>
      <c r="B171" s="466" t="s">
        <v>5663</v>
      </c>
      <c r="C171" s="467" t="s">
        <v>5682</v>
      </c>
      <c r="D171" s="467" t="s">
        <v>5675</v>
      </c>
      <c r="E171" s="467" t="s">
        <v>5727</v>
      </c>
      <c r="F171" s="404" t="s">
        <v>1274</v>
      </c>
      <c r="G171" s="468">
        <v>2.0</v>
      </c>
      <c r="H171" s="404" t="s">
        <v>5728</v>
      </c>
      <c r="I171" s="404" t="s">
        <v>2709</v>
      </c>
      <c r="J171" s="469">
        <v>43542.0</v>
      </c>
      <c r="K171" s="404" t="s">
        <v>5721</v>
      </c>
      <c r="L171" s="468">
        <v>3.0</v>
      </c>
      <c r="M171" s="404" t="s">
        <v>5850</v>
      </c>
      <c r="N171" s="404" t="s">
        <v>5851</v>
      </c>
      <c r="O171" s="468">
        <v>280.0</v>
      </c>
      <c r="P171" s="470" t="s">
        <v>5852</v>
      </c>
      <c r="Q171" s="404"/>
    </row>
    <row r="172">
      <c r="A172" s="495" t="s">
        <v>5853</v>
      </c>
      <c r="B172" s="466" t="s">
        <v>5666</v>
      </c>
      <c r="C172" s="467" t="s">
        <v>5682</v>
      </c>
      <c r="D172" s="467" t="s">
        <v>5675</v>
      </c>
      <c r="E172" s="467" t="s">
        <v>5727</v>
      </c>
      <c r="F172" s="404" t="s">
        <v>1276</v>
      </c>
      <c r="G172" s="468">
        <v>2.0</v>
      </c>
      <c r="H172" s="404" t="s">
        <v>5728</v>
      </c>
      <c r="I172" s="404" t="s">
        <v>2698</v>
      </c>
      <c r="J172" s="469">
        <v>43539.0</v>
      </c>
      <c r="K172" s="404" t="s">
        <v>5734</v>
      </c>
      <c r="L172" s="468">
        <v>3.0</v>
      </c>
      <c r="M172" s="404" t="s">
        <v>5854</v>
      </c>
      <c r="N172" s="404" t="s">
        <v>5855</v>
      </c>
      <c r="O172" s="468">
        <v>520.0</v>
      </c>
      <c r="P172" s="470" t="s">
        <v>5856</v>
      </c>
      <c r="Q172" s="404"/>
    </row>
    <row r="173">
      <c r="A173" s="495" t="s">
        <v>533</v>
      </c>
      <c r="B173" s="466" t="s">
        <v>5656</v>
      </c>
      <c r="C173" s="467" t="s">
        <v>5664</v>
      </c>
      <c r="D173" s="467" t="s">
        <v>5675</v>
      </c>
      <c r="E173" s="467" t="s">
        <v>5727</v>
      </c>
      <c r="F173" s="271" t="s">
        <v>5665</v>
      </c>
      <c r="G173" s="451"/>
      <c r="H173" s="451"/>
      <c r="I173" s="451"/>
      <c r="J173" s="451"/>
      <c r="K173" s="451"/>
      <c r="L173" s="451"/>
      <c r="M173" s="451"/>
      <c r="N173" s="451"/>
      <c r="O173" s="451"/>
      <c r="P173" s="451"/>
    </row>
    <row r="174">
      <c r="A174" s="495" t="s">
        <v>1286</v>
      </c>
      <c r="B174" s="466" t="s">
        <v>5715</v>
      </c>
      <c r="C174" s="467" t="s">
        <v>5670</v>
      </c>
      <c r="D174" s="467" t="s">
        <v>5683</v>
      </c>
      <c r="E174" s="467" t="s">
        <v>5727</v>
      </c>
      <c r="F174" s="271" t="s">
        <v>5665</v>
      </c>
      <c r="G174" s="451"/>
      <c r="H174" s="451"/>
      <c r="I174" s="451"/>
      <c r="J174" s="451"/>
      <c r="K174" s="451"/>
      <c r="L174" s="451"/>
      <c r="M174" s="451"/>
      <c r="N174" s="451"/>
      <c r="O174" s="451"/>
      <c r="P174" s="451"/>
    </row>
    <row r="175">
      <c r="A175" s="495" t="s">
        <v>5857</v>
      </c>
      <c r="B175" s="466" t="s">
        <v>5656</v>
      </c>
      <c r="C175" s="467" t="s">
        <v>5681</v>
      </c>
      <c r="D175" s="467" t="s">
        <v>5683</v>
      </c>
      <c r="E175" s="467" t="s">
        <v>5727</v>
      </c>
      <c r="F175" s="404" t="s">
        <v>1291</v>
      </c>
      <c r="G175" s="468">
        <v>2.0</v>
      </c>
      <c r="H175" s="404" t="s">
        <v>5728</v>
      </c>
      <c r="I175" s="404" t="s">
        <v>2692</v>
      </c>
      <c r="J175" s="469">
        <v>43564.0</v>
      </c>
      <c r="K175" s="404" t="s">
        <v>5750</v>
      </c>
      <c r="L175" s="468">
        <v>4.0</v>
      </c>
      <c r="M175" s="404" t="s">
        <v>5854</v>
      </c>
      <c r="N175" s="404" t="s">
        <v>5858</v>
      </c>
      <c r="O175" s="468">
        <v>518.0</v>
      </c>
      <c r="P175" s="470" t="s">
        <v>5859</v>
      </c>
      <c r="Q175" s="404"/>
    </row>
    <row r="176">
      <c r="A176" s="495" t="s">
        <v>1293</v>
      </c>
      <c r="B176" s="496" t="str">
        <f>HYPERLINK("http://republika.co.id","republika.co.id")</f>
        <v>republika.co.id</v>
      </c>
      <c r="C176" s="467" t="s">
        <v>5667</v>
      </c>
      <c r="D176" s="467" t="s">
        <v>5683</v>
      </c>
      <c r="E176" s="467" t="s">
        <v>5727</v>
      </c>
      <c r="F176" s="271" t="s">
        <v>5665</v>
      </c>
      <c r="G176" s="451"/>
      <c r="H176" s="451"/>
      <c r="I176" s="451"/>
      <c r="J176" s="451"/>
      <c r="K176" s="451"/>
      <c r="L176" s="451"/>
      <c r="M176" s="451"/>
      <c r="N176" s="451"/>
      <c r="O176" s="451"/>
      <c r="P176" s="451"/>
    </row>
    <row r="177">
      <c r="A177" s="495" t="s">
        <v>5860</v>
      </c>
      <c r="B177" s="466" t="s">
        <v>5656</v>
      </c>
      <c r="C177" s="467" t="s">
        <v>5670</v>
      </c>
      <c r="D177" s="467" t="s">
        <v>5683</v>
      </c>
      <c r="E177" s="467" t="s">
        <v>5727</v>
      </c>
      <c r="F177" s="404" t="s">
        <v>1295</v>
      </c>
      <c r="G177" s="468">
        <v>2.0</v>
      </c>
      <c r="H177" s="404" t="s">
        <v>5728</v>
      </c>
      <c r="I177" s="404" t="s">
        <v>2692</v>
      </c>
      <c r="J177" s="469">
        <v>43582.0</v>
      </c>
      <c r="K177" s="404" t="s">
        <v>5786</v>
      </c>
      <c r="L177" s="468">
        <v>4.0</v>
      </c>
      <c r="M177" s="404" t="s">
        <v>5763</v>
      </c>
      <c r="N177" s="404" t="s">
        <v>5861</v>
      </c>
      <c r="O177" s="468">
        <v>1537.0</v>
      </c>
      <c r="P177" s="470" t="s">
        <v>5862</v>
      </c>
      <c r="Q177" s="404"/>
    </row>
    <row r="178">
      <c r="A178" s="495" t="s">
        <v>5863</v>
      </c>
      <c r="B178" s="466" t="s">
        <v>5672</v>
      </c>
      <c r="C178" s="467" t="s">
        <v>5682</v>
      </c>
      <c r="D178" s="467" t="s">
        <v>5683</v>
      </c>
      <c r="E178" s="467" t="s">
        <v>5727</v>
      </c>
      <c r="F178" s="404" t="s">
        <v>1297</v>
      </c>
      <c r="G178" s="468">
        <v>2.0</v>
      </c>
      <c r="H178" s="404" t="s">
        <v>5728</v>
      </c>
      <c r="I178" s="404" t="s">
        <v>2695</v>
      </c>
      <c r="J178" s="469">
        <v>43563.0</v>
      </c>
      <c r="K178" s="404" t="s">
        <v>5721</v>
      </c>
      <c r="L178" s="468">
        <v>4.0</v>
      </c>
      <c r="M178" s="404" t="s">
        <v>5722</v>
      </c>
      <c r="N178" s="404" t="s">
        <v>5864</v>
      </c>
      <c r="O178" s="468">
        <v>451.0</v>
      </c>
      <c r="P178" s="470" t="s">
        <v>5865</v>
      </c>
      <c r="Q178" s="404"/>
    </row>
    <row r="179">
      <c r="A179" s="461" t="s">
        <v>2094</v>
      </c>
      <c r="B179" s="466" t="s">
        <v>5663</v>
      </c>
      <c r="C179" s="467" t="s">
        <v>5670</v>
      </c>
      <c r="D179" s="467" t="s">
        <v>5719</v>
      </c>
      <c r="E179" s="467" t="s">
        <v>5659</v>
      </c>
      <c r="F179" s="271" t="s">
        <v>5665</v>
      </c>
      <c r="G179" s="451"/>
      <c r="H179" s="451"/>
      <c r="I179" s="451"/>
      <c r="J179" s="451"/>
      <c r="K179" s="451"/>
      <c r="L179" s="451"/>
      <c r="M179" s="451"/>
      <c r="N179" s="451"/>
      <c r="O179" s="451"/>
      <c r="P179" s="451"/>
    </row>
    <row r="180">
      <c r="A180" s="461" t="s">
        <v>2096</v>
      </c>
      <c r="B180" s="466" t="s">
        <v>5701</v>
      </c>
      <c r="C180" s="467" t="s">
        <v>5671</v>
      </c>
      <c r="D180" s="467" t="s">
        <v>5725</v>
      </c>
      <c r="E180" s="467" t="s">
        <v>5659</v>
      </c>
      <c r="F180" s="271" t="s">
        <v>5665</v>
      </c>
      <c r="G180" s="451"/>
      <c r="H180" s="451"/>
      <c r="I180" s="451"/>
      <c r="J180" s="451"/>
      <c r="K180" s="451"/>
      <c r="L180" s="451"/>
      <c r="M180" s="451"/>
      <c r="N180" s="451"/>
      <c r="O180" s="451"/>
      <c r="P180" s="451"/>
    </row>
    <row r="181">
      <c r="A181" s="461" t="s">
        <v>1207</v>
      </c>
      <c r="B181" s="466" t="s">
        <v>5749</v>
      </c>
      <c r="C181" s="467" t="s">
        <v>5671</v>
      </c>
      <c r="D181" s="467" t="s">
        <v>5725</v>
      </c>
      <c r="E181" s="467" t="s">
        <v>5659</v>
      </c>
      <c r="F181" s="271" t="s">
        <v>5665</v>
      </c>
      <c r="G181" s="451"/>
      <c r="H181" s="451"/>
      <c r="I181" s="451"/>
      <c r="J181" s="451"/>
      <c r="K181" s="451"/>
      <c r="L181" s="451"/>
      <c r="M181" s="451"/>
      <c r="N181" s="451"/>
      <c r="O181" s="451"/>
      <c r="P181" s="451"/>
    </row>
    <row r="182">
      <c r="A182" s="461" t="s">
        <v>2097</v>
      </c>
      <c r="B182" s="466" t="s">
        <v>5717</v>
      </c>
      <c r="C182" s="467" t="s">
        <v>5682</v>
      </c>
      <c r="D182" s="467" t="s">
        <v>5725</v>
      </c>
      <c r="E182" s="467" t="s">
        <v>5659</v>
      </c>
      <c r="F182" s="271" t="s">
        <v>5665</v>
      </c>
      <c r="G182" s="451"/>
      <c r="H182" s="451"/>
      <c r="I182" s="451"/>
      <c r="J182" s="451"/>
      <c r="K182" s="451"/>
      <c r="L182" s="451"/>
      <c r="M182" s="451"/>
      <c r="N182" s="451"/>
      <c r="O182" s="451"/>
      <c r="P182" s="451"/>
    </row>
    <row r="183">
      <c r="A183" s="461" t="s">
        <v>2098</v>
      </c>
      <c r="B183" s="466" t="s">
        <v>5717</v>
      </c>
      <c r="C183" s="467" t="s">
        <v>5681</v>
      </c>
      <c r="D183" s="467" t="s">
        <v>5725</v>
      </c>
      <c r="E183" s="467" t="s">
        <v>5659</v>
      </c>
      <c r="F183" s="271" t="s">
        <v>5665</v>
      </c>
      <c r="G183" s="451"/>
      <c r="H183" s="451"/>
      <c r="I183" s="451"/>
      <c r="J183" s="451"/>
      <c r="K183" s="451"/>
      <c r="L183" s="451"/>
      <c r="M183" s="451"/>
      <c r="N183" s="451"/>
      <c r="O183" s="451"/>
      <c r="P183" s="451"/>
    </row>
    <row r="184">
      <c r="A184" s="461" t="s">
        <v>2099</v>
      </c>
      <c r="B184" s="466" t="s">
        <v>5666</v>
      </c>
      <c r="C184" s="467" t="s">
        <v>5657</v>
      </c>
      <c r="D184" s="467" t="s">
        <v>5725</v>
      </c>
      <c r="E184" s="467" t="s">
        <v>5659</v>
      </c>
      <c r="F184" s="271" t="s">
        <v>5665</v>
      </c>
      <c r="G184" s="451"/>
      <c r="H184" s="451"/>
      <c r="I184" s="451"/>
      <c r="J184" s="451"/>
      <c r="K184" s="451"/>
      <c r="L184" s="451"/>
      <c r="M184" s="451"/>
      <c r="N184" s="451"/>
      <c r="O184" s="451"/>
      <c r="P184" s="451"/>
    </row>
    <row r="185">
      <c r="A185" s="461" t="s">
        <v>2100</v>
      </c>
      <c r="B185" s="466" t="s">
        <v>5663</v>
      </c>
      <c r="C185" s="467" t="s">
        <v>5657</v>
      </c>
      <c r="D185" s="467" t="s">
        <v>5658</v>
      </c>
      <c r="E185" s="467" t="s">
        <v>5727</v>
      </c>
      <c r="F185" s="271" t="s">
        <v>5665</v>
      </c>
      <c r="G185" s="451"/>
      <c r="H185" s="451"/>
      <c r="I185" s="451"/>
      <c r="J185" s="451"/>
      <c r="K185" s="451"/>
      <c r="L185" s="451"/>
      <c r="M185" s="451"/>
      <c r="N185" s="451"/>
      <c r="O185" s="451"/>
      <c r="P185" s="451"/>
    </row>
    <row r="186">
      <c r="A186" s="461" t="s">
        <v>5866</v>
      </c>
      <c r="B186" s="466" t="s">
        <v>5666</v>
      </c>
      <c r="C186" s="467" t="s">
        <v>5671</v>
      </c>
      <c r="D186" s="467" t="s">
        <v>5658</v>
      </c>
      <c r="E186" s="467" t="s">
        <v>5727</v>
      </c>
      <c r="F186" s="404" t="s">
        <v>2107</v>
      </c>
      <c r="G186" s="468">
        <v>2.0</v>
      </c>
      <c r="H186" s="404" t="s">
        <v>5728</v>
      </c>
      <c r="I186" s="404" t="s">
        <v>2698</v>
      </c>
      <c r="J186" s="469">
        <v>43492.0</v>
      </c>
      <c r="K186" s="404" t="s">
        <v>5729</v>
      </c>
      <c r="L186" s="468">
        <v>1.0</v>
      </c>
      <c r="M186" s="404" t="s">
        <v>5763</v>
      </c>
      <c r="N186" s="404" t="s">
        <v>5867</v>
      </c>
      <c r="O186" s="468">
        <v>218.0</v>
      </c>
      <c r="P186" s="470" t="s">
        <v>5868</v>
      </c>
      <c r="Q186" s="404"/>
    </row>
    <row r="187">
      <c r="A187" s="461" t="s">
        <v>2109</v>
      </c>
      <c r="B187" s="466" t="s">
        <v>5672</v>
      </c>
      <c r="C187" s="467" t="s">
        <v>5681</v>
      </c>
      <c r="D187" s="467" t="s">
        <v>5658</v>
      </c>
      <c r="E187" s="467" t="s">
        <v>5727</v>
      </c>
      <c r="F187" s="271" t="s">
        <v>5665</v>
      </c>
      <c r="G187" s="451"/>
      <c r="H187" s="451"/>
      <c r="I187" s="451"/>
      <c r="J187" s="451"/>
      <c r="K187" s="451"/>
      <c r="L187" s="451"/>
      <c r="M187" s="451"/>
      <c r="N187" s="451"/>
      <c r="O187" s="451"/>
      <c r="P187" s="451"/>
    </row>
    <row r="188">
      <c r="A188" s="461" t="s">
        <v>5869</v>
      </c>
      <c r="B188" s="466" t="s">
        <v>5701</v>
      </c>
      <c r="C188" s="467" t="s">
        <v>5681</v>
      </c>
      <c r="D188" s="467" t="s">
        <v>5658</v>
      </c>
      <c r="E188" s="467" t="s">
        <v>5727</v>
      </c>
      <c r="F188" s="404" t="s">
        <v>2110</v>
      </c>
      <c r="G188" s="468">
        <v>2.0</v>
      </c>
      <c r="H188" s="404" t="s">
        <v>5728</v>
      </c>
      <c r="I188" s="404" t="s">
        <v>2740</v>
      </c>
      <c r="J188" s="469">
        <v>43487.0</v>
      </c>
      <c r="K188" s="404" t="s">
        <v>5750</v>
      </c>
      <c r="L188" s="468">
        <v>1.0</v>
      </c>
      <c r="M188" s="404" t="s">
        <v>5712</v>
      </c>
      <c r="N188" s="404" t="s">
        <v>5870</v>
      </c>
      <c r="O188" s="468">
        <v>350.0</v>
      </c>
      <c r="P188" s="470" t="s">
        <v>5871</v>
      </c>
      <c r="Q188" s="404"/>
    </row>
    <row r="189">
      <c r="A189" s="461" t="s">
        <v>2118</v>
      </c>
      <c r="B189" s="466" t="s">
        <v>5802</v>
      </c>
      <c r="C189" s="467" t="s">
        <v>5670</v>
      </c>
      <c r="D189" s="467" t="s">
        <v>5658</v>
      </c>
      <c r="E189" s="467" t="s">
        <v>5727</v>
      </c>
      <c r="F189" s="271" t="s">
        <v>5665</v>
      </c>
      <c r="G189" s="451"/>
      <c r="H189" s="451"/>
      <c r="I189" s="451"/>
      <c r="J189" s="451"/>
      <c r="K189" s="451"/>
      <c r="L189" s="451"/>
      <c r="M189" s="451"/>
      <c r="N189" s="451"/>
      <c r="O189" s="451"/>
      <c r="P189" s="451"/>
    </row>
    <row r="190">
      <c r="A190" s="461" t="s">
        <v>5872</v>
      </c>
      <c r="B190" s="466" t="s">
        <v>5672</v>
      </c>
      <c r="C190" s="467" t="s">
        <v>5671</v>
      </c>
      <c r="D190" s="467" t="s">
        <v>5658</v>
      </c>
      <c r="E190" s="467" t="s">
        <v>5727</v>
      </c>
      <c r="F190" s="404" t="s">
        <v>2119</v>
      </c>
      <c r="G190" s="468">
        <v>2.0</v>
      </c>
      <c r="H190" s="404" t="s">
        <v>5728</v>
      </c>
      <c r="I190" s="404" t="s">
        <v>2695</v>
      </c>
      <c r="J190" s="469">
        <v>43478.0</v>
      </c>
      <c r="K190" s="404" t="s">
        <v>5729</v>
      </c>
      <c r="L190" s="468">
        <v>1.0</v>
      </c>
      <c r="M190" s="404" t="s">
        <v>5722</v>
      </c>
      <c r="N190" s="404" t="s">
        <v>5873</v>
      </c>
      <c r="O190" s="468">
        <v>519.0</v>
      </c>
      <c r="P190" s="470" t="s">
        <v>5874</v>
      </c>
      <c r="Q190" s="404"/>
    </row>
    <row r="191">
      <c r="A191" s="461" t="s">
        <v>5875</v>
      </c>
      <c r="B191" s="466" t="s">
        <v>5717</v>
      </c>
      <c r="C191" s="467" t="s">
        <v>5670</v>
      </c>
      <c r="D191" s="467" t="s">
        <v>5658</v>
      </c>
      <c r="E191" s="467" t="s">
        <v>5727</v>
      </c>
      <c r="F191" s="404" t="s">
        <v>2121</v>
      </c>
      <c r="G191" s="468">
        <v>2.0</v>
      </c>
      <c r="H191" s="404" t="s">
        <v>5728</v>
      </c>
      <c r="I191" s="404" t="s">
        <v>2724</v>
      </c>
      <c r="J191" s="469">
        <v>43484.0</v>
      </c>
      <c r="K191" s="404" t="s">
        <v>5786</v>
      </c>
      <c r="L191" s="468">
        <v>1.0</v>
      </c>
      <c r="M191" s="404" t="s">
        <v>5828</v>
      </c>
      <c r="N191" s="404" t="s">
        <v>5876</v>
      </c>
      <c r="O191" s="468">
        <v>294.0</v>
      </c>
      <c r="P191" s="470" t="s">
        <v>5877</v>
      </c>
      <c r="Q191" s="404"/>
    </row>
    <row r="192">
      <c r="A192" s="461" t="s">
        <v>2123</v>
      </c>
      <c r="B192" s="466" t="s">
        <v>5666</v>
      </c>
      <c r="C192" s="467" t="s">
        <v>5670</v>
      </c>
      <c r="D192" s="467" t="s">
        <v>5658</v>
      </c>
      <c r="E192" s="467" t="s">
        <v>5727</v>
      </c>
      <c r="F192" s="271" t="s">
        <v>5665</v>
      </c>
      <c r="G192" s="451"/>
      <c r="H192" s="451"/>
      <c r="I192" s="451"/>
      <c r="J192" s="451"/>
      <c r="K192" s="451"/>
      <c r="L192" s="451"/>
      <c r="M192" s="451"/>
      <c r="N192" s="451"/>
      <c r="O192" s="451"/>
      <c r="P192" s="451"/>
    </row>
    <row r="193">
      <c r="A193" s="461" t="s">
        <v>5878</v>
      </c>
      <c r="B193" s="466" t="s">
        <v>5717</v>
      </c>
      <c r="C193" s="467" t="s">
        <v>5664</v>
      </c>
      <c r="D193" s="467" t="s">
        <v>5658</v>
      </c>
      <c r="E193" s="467" t="s">
        <v>5727</v>
      </c>
      <c r="F193" s="404" t="s">
        <v>2127</v>
      </c>
      <c r="G193" s="468">
        <v>2.0</v>
      </c>
      <c r="H193" s="404" t="s">
        <v>5728</v>
      </c>
      <c r="I193" s="404" t="s">
        <v>2724</v>
      </c>
      <c r="J193" s="469">
        <v>43489.0</v>
      </c>
      <c r="K193" s="404" t="s">
        <v>5754</v>
      </c>
      <c r="L193" s="468">
        <v>1.0</v>
      </c>
      <c r="M193" s="404" t="s">
        <v>5879</v>
      </c>
      <c r="N193" s="404" t="s">
        <v>5880</v>
      </c>
      <c r="O193" s="468">
        <v>311.0</v>
      </c>
      <c r="P193" s="470" t="s">
        <v>5881</v>
      </c>
      <c r="Q193" s="404"/>
    </row>
    <row r="194">
      <c r="A194" s="461" t="s">
        <v>474</v>
      </c>
      <c r="B194" s="466" t="s">
        <v>5717</v>
      </c>
      <c r="C194" s="467" t="s">
        <v>5681</v>
      </c>
      <c r="D194" s="467" t="s">
        <v>5668</v>
      </c>
      <c r="E194" s="467" t="s">
        <v>5727</v>
      </c>
      <c r="F194" s="271" t="s">
        <v>5665</v>
      </c>
      <c r="G194" s="451"/>
      <c r="H194" s="451"/>
      <c r="I194" s="451"/>
      <c r="J194" s="451"/>
      <c r="K194" s="451"/>
      <c r="L194" s="451"/>
      <c r="M194" s="451"/>
      <c r="N194" s="451"/>
      <c r="O194" s="451"/>
      <c r="P194" s="451"/>
    </row>
    <row r="195">
      <c r="A195" s="461" t="s">
        <v>5882</v>
      </c>
      <c r="B195" s="466" t="s">
        <v>5802</v>
      </c>
      <c r="C195" s="467" t="s">
        <v>5671</v>
      </c>
      <c r="D195" s="467" t="s">
        <v>5668</v>
      </c>
      <c r="E195" s="467" t="s">
        <v>5727</v>
      </c>
      <c r="F195" s="404" t="s">
        <v>475</v>
      </c>
      <c r="G195" s="468">
        <v>2.0</v>
      </c>
      <c r="H195" s="404" t="s">
        <v>5728</v>
      </c>
      <c r="I195" s="404" t="s">
        <v>2702</v>
      </c>
      <c r="J195" s="469">
        <v>43515.0</v>
      </c>
      <c r="K195" s="404" t="s">
        <v>5750</v>
      </c>
      <c r="L195" s="468">
        <v>2.0</v>
      </c>
      <c r="M195" s="404" t="s">
        <v>5839</v>
      </c>
      <c r="N195" s="404" t="s">
        <v>5883</v>
      </c>
      <c r="O195" s="468">
        <v>272.0</v>
      </c>
      <c r="P195" s="470" t="s">
        <v>5884</v>
      </c>
      <c r="Q195" s="404"/>
    </row>
    <row r="196">
      <c r="A196" s="461" t="s">
        <v>479</v>
      </c>
      <c r="B196" s="466" t="s">
        <v>5673</v>
      </c>
      <c r="C196" s="467" t="s">
        <v>5682</v>
      </c>
      <c r="D196" s="467" t="s">
        <v>5668</v>
      </c>
      <c r="E196" s="467" t="s">
        <v>5727</v>
      </c>
      <c r="F196" s="271" t="s">
        <v>5665</v>
      </c>
      <c r="G196" s="451"/>
      <c r="H196" s="451"/>
      <c r="I196" s="451"/>
      <c r="J196" s="451"/>
      <c r="K196" s="451"/>
      <c r="L196" s="451"/>
      <c r="M196" s="451"/>
      <c r="N196" s="451"/>
      <c r="O196" s="451"/>
      <c r="P196" s="451"/>
    </row>
    <row r="197">
      <c r="A197" s="461" t="s">
        <v>5885</v>
      </c>
      <c r="B197" s="466" t="s">
        <v>5749</v>
      </c>
      <c r="C197" s="467" t="s">
        <v>5671</v>
      </c>
      <c r="D197" s="467" t="s">
        <v>5668</v>
      </c>
      <c r="E197" s="467" t="s">
        <v>5727</v>
      </c>
      <c r="F197" s="404" t="s">
        <v>482</v>
      </c>
      <c r="G197" s="468">
        <v>2.0</v>
      </c>
      <c r="H197" s="404" t="s">
        <v>5728</v>
      </c>
      <c r="I197" s="404" t="s">
        <v>2715</v>
      </c>
      <c r="J197" s="469">
        <v>43520.0</v>
      </c>
      <c r="K197" s="404" t="s">
        <v>5729</v>
      </c>
      <c r="L197" s="468">
        <v>2.0</v>
      </c>
      <c r="M197" s="404" t="s">
        <v>5886</v>
      </c>
      <c r="N197" s="404" t="s">
        <v>5887</v>
      </c>
      <c r="O197" s="468">
        <v>132.0</v>
      </c>
      <c r="P197" s="470" t="s">
        <v>5888</v>
      </c>
      <c r="Q197" s="404"/>
    </row>
    <row r="198">
      <c r="A198" s="461" t="s">
        <v>5889</v>
      </c>
      <c r="B198" s="466" t="s">
        <v>5701</v>
      </c>
      <c r="C198" s="467" t="s">
        <v>5657</v>
      </c>
      <c r="D198" s="467" t="s">
        <v>5668</v>
      </c>
      <c r="E198" s="467" t="s">
        <v>5727</v>
      </c>
      <c r="F198" s="404" t="s">
        <v>488</v>
      </c>
      <c r="G198" s="468">
        <v>2.0</v>
      </c>
      <c r="H198" s="404" t="s">
        <v>5728</v>
      </c>
      <c r="I198" s="404" t="s">
        <v>2740</v>
      </c>
      <c r="J198" s="469">
        <v>43516.0</v>
      </c>
      <c r="K198" s="404" t="s">
        <v>5711</v>
      </c>
      <c r="L198" s="468">
        <v>2.0</v>
      </c>
      <c r="M198" s="404" t="s">
        <v>5846</v>
      </c>
      <c r="N198" s="404" t="s">
        <v>5890</v>
      </c>
      <c r="O198" s="468">
        <v>279.0</v>
      </c>
      <c r="P198" s="470" t="s">
        <v>5891</v>
      </c>
      <c r="Q198" s="404"/>
    </row>
    <row r="199">
      <c r="A199" s="461" t="s">
        <v>492</v>
      </c>
      <c r="B199" s="466" t="s">
        <v>5673</v>
      </c>
      <c r="C199" s="467" t="s">
        <v>5664</v>
      </c>
      <c r="D199" s="467" t="s">
        <v>5668</v>
      </c>
      <c r="E199" s="467" t="s">
        <v>5727</v>
      </c>
      <c r="F199" s="271" t="s">
        <v>5665</v>
      </c>
      <c r="G199" s="451"/>
      <c r="H199" s="451"/>
      <c r="I199" s="451"/>
      <c r="J199" s="451"/>
      <c r="K199" s="451"/>
      <c r="L199" s="451"/>
      <c r="M199" s="451"/>
      <c r="N199" s="451"/>
      <c r="O199" s="451"/>
      <c r="P199" s="451"/>
    </row>
    <row r="200">
      <c r="A200" s="461" t="s">
        <v>5892</v>
      </c>
      <c r="B200" s="466" t="s">
        <v>5717</v>
      </c>
      <c r="C200" s="467" t="s">
        <v>5667</v>
      </c>
      <c r="D200" s="467" t="s">
        <v>5668</v>
      </c>
      <c r="E200" s="467" t="s">
        <v>5727</v>
      </c>
      <c r="F200" s="404" t="s">
        <v>493</v>
      </c>
      <c r="G200" s="468">
        <v>2.0</v>
      </c>
      <c r="H200" s="404" t="s">
        <v>5728</v>
      </c>
      <c r="I200" s="404" t="s">
        <v>2724</v>
      </c>
      <c r="J200" s="469">
        <v>43504.0</v>
      </c>
      <c r="K200" s="404" t="s">
        <v>5734</v>
      </c>
      <c r="L200" s="468">
        <v>2.0</v>
      </c>
      <c r="M200" s="404" t="s">
        <v>5893</v>
      </c>
      <c r="N200" s="404" t="s">
        <v>5894</v>
      </c>
      <c r="O200" s="468">
        <v>197.0</v>
      </c>
      <c r="P200" s="470" t="s">
        <v>5895</v>
      </c>
      <c r="Q200" s="404"/>
    </row>
    <row r="201">
      <c r="A201" s="461" t="s">
        <v>5896</v>
      </c>
      <c r="B201" s="466" t="s">
        <v>5666</v>
      </c>
      <c r="C201" s="467" t="s">
        <v>5682</v>
      </c>
      <c r="D201" s="467" t="s">
        <v>5668</v>
      </c>
      <c r="E201" s="467" t="s">
        <v>5727</v>
      </c>
      <c r="F201" s="404" t="s">
        <v>495</v>
      </c>
      <c r="G201" s="468">
        <v>2.0</v>
      </c>
      <c r="H201" s="404" t="s">
        <v>5728</v>
      </c>
      <c r="I201" s="404" t="s">
        <v>2698</v>
      </c>
      <c r="J201" s="469">
        <v>43521.0</v>
      </c>
      <c r="K201" s="404" t="s">
        <v>5721</v>
      </c>
      <c r="L201" s="468">
        <v>2.0</v>
      </c>
      <c r="M201" s="404" t="s">
        <v>5763</v>
      </c>
      <c r="N201" s="404" t="s">
        <v>5897</v>
      </c>
      <c r="O201" s="468">
        <v>337.0</v>
      </c>
      <c r="P201" s="470" t="s">
        <v>5898</v>
      </c>
      <c r="Q201" s="404"/>
    </row>
    <row r="202">
      <c r="A202" s="461" t="s">
        <v>498</v>
      </c>
      <c r="B202" s="466" t="s">
        <v>5666</v>
      </c>
      <c r="C202" s="467" t="s">
        <v>5681</v>
      </c>
      <c r="D202" s="467" t="s">
        <v>5668</v>
      </c>
      <c r="E202" s="467" t="s">
        <v>5727</v>
      </c>
      <c r="F202" s="404" t="s">
        <v>5899</v>
      </c>
      <c r="G202" s="468">
        <v>2.0</v>
      </c>
      <c r="H202" s="404" t="s">
        <v>5728</v>
      </c>
      <c r="I202" s="404" t="s">
        <v>2698</v>
      </c>
      <c r="J202" s="469">
        <v>43522.0</v>
      </c>
      <c r="K202" s="404" t="s">
        <v>5750</v>
      </c>
      <c r="L202" s="468">
        <v>2.0</v>
      </c>
      <c r="M202" s="404" t="s">
        <v>5763</v>
      </c>
      <c r="N202" s="404" t="s">
        <v>5900</v>
      </c>
      <c r="O202" s="468">
        <v>242.0</v>
      </c>
      <c r="P202" s="470" t="s">
        <v>5901</v>
      </c>
      <c r="Q202" s="404"/>
    </row>
    <row r="203">
      <c r="A203" s="461" t="s">
        <v>5902</v>
      </c>
      <c r="B203" s="466" t="s">
        <v>5717</v>
      </c>
      <c r="C203" s="467" t="s">
        <v>5667</v>
      </c>
      <c r="D203" s="467" t="s">
        <v>5675</v>
      </c>
      <c r="E203" s="467" t="s">
        <v>5727</v>
      </c>
      <c r="F203" s="404" t="s">
        <v>503</v>
      </c>
      <c r="G203" s="468">
        <v>2.0</v>
      </c>
      <c r="H203" s="404" t="s">
        <v>5728</v>
      </c>
      <c r="I203" s="404" t="s">
        <v>2724</v>
      </c>
      <c r="J203" s="469">
        <v>43539.0</v>
      </c>
      <c r="K203" s="404" t="s">
        <v>5734</v>
      </c>
      <c r="L203" s="468">
        <v>3.0</v>
      </c>
      <c r="M203" s="404" t="s">
        <v>5893</v>
      </c>
      <c r="N203" s="404" t="s">
        <v>5903</v>
      </c>
      <c r="O203" s="468">
        <v>236.0</v>
      </c>
      <c r="P203" s="470" t="s">
        <v>5904</v>
      </c>
      <c r="Q203" s="404"/>
    </row>
    <row r="204">
      <c r="A204" s="461" t="s">
        <v>5905</v>
      </c>
      <c r="B204" s="466" t="s">
        <v>5656</v>
      </c>
      <c r="C204" s="467" t="s">
        <v>5682</v>
      </c>
      <c r="D204" s="467" t="s">
        <v>5675</v>
      </c>
      <c r="E204" s="467" t="s">
        <v>5727</v>
      </c>
      <c r="F204" s="404" t="s">
        <v>505</v>
      </c>
      <c r="G204" s="468">
        <v>2.0</v>
      </c>
      <c r="H204" s="404" t="s">
        <v>5728</v>
      </c>
      <c r="I204" s="404" t="s">
        <v>2692</v>
      </c>
      <c r="J204" s="469">
        <v>43549.0</v>
      </c>
      <c r="K204" s="404" t="s">
        <v>5721</v>
      </c>
      <c r="L204" s="468">
        <v>3.0</v>
      </c>
      <c r="M204" s="404" t="s">
        <v>5790</v>
      </c>
      <c r="N204" s="404" t="s">
        <v>5906</v>
      </c>
      <c r="O204" s="468">
        <v>462.0</v>
      </c>
      <c r="P204" s="470" t="s">
        <v>5907</v>
      </c>
      <c r="Q204" s="404"/>
    </row>
    <row r="205">
      <c r="A205" s="461" t="s">
        <v>5908</v>
      </c>
      <c r="B205" s="466" t="s">
        <v>5663</v>
      </c>
      <c r="C205" s="467" t="s">
        <v>5657</v>
      </c>
      <c r="D205" s="467" t="s">
        <v>5675</v>
      </c>
      <c r="E205" s="467" t="s">
        <v>5727</v>
      </c>
      <c r="F205" s="404" t="s">
        <v>508</v>
      </c>
      <c r="G205" s="468">
        <v>2.0</v>
      </c>
      <c r="H205" s="404" t="s">
        <v>5728</v>
      </c>
      <c r="I205" s="404" t="s">
        <v>2709</v>
      </c>
      <c r="J205" s="469">
        <v>43544.0</v>
      </c>
      <c r="K205" s="404" t="s">
        <v>5711</v>
      </c>
      <c r="L205" s="468">
        <v>3.0</v>
      </c>
      <c r="M205" s="404" t="s">
        <v>5909</v>
      </c>
      <c r="N205" s="404" t="s">
        <v>5910</v>
      </c>
      <c r="O205" s="468">
        <v>275.0</v>
      </c>
      <c r="P205" s="470" t="s">
        <v>5911</v>
      </c>
      <c r="Q205" s="404"/>
    </row>
    <row r="206">
      <c r="A206" s="461" t="s">
        <v>511</v>
      </c>
      <c r="B206" s="466" t="s">
        <v>5656</v>
      </c>
      <c r="C206" s="467" t="s">
        <v>5667</v>
      </c>
      <c r="D206" s="467" t="s">
        <v>5675</v>
      </c>
      <c r="E206" s="467" t="s">
        <v>5727</v>
      </c>
      <c r="F206" s="271" t="s">
        <v>5665</v>
      </c>
      <c r="G206" s="451"/>
      <c r="H206" s="451"/>
      <c r="I206" s="451"/>
      <c r="J206" s="451"/>
      <c r="K206" s="451"/>
      <c r="L206" s="451"/>
      <c r="M206" s="451"/>
      <c r="N206" s="451"/>
      <c r="O206" s="451"/>
      <c r="P206" s="451"/>
    </row>
    <row r="207">
      <c r="A207" s="461" t="s">
        <v>512</v>
      </c>
      <c r="B207" s="466" t="s">
        <v>5673</v>
      </c>
      <c r="C207" s="467" t="s">
        <v>5682</v>
      </c>
      <c r="D207" s="467" t="s">
        <v>5675</v>
      </c>
      <c r="E207" s="467" t="s">
        <v>5727</v>
      </c>
      <c r="F207" s="271" t="s">
        <v>5665</v>
      </c>
      <c r="G207" s="451"/>
      <c r="H207" s="451"/>
      <c r="I207" s="451"/>
      <c r="J207" s="451"/>
      <c r="K207" s="451"/>
      <c r="L207" s="451"/>
      <c r="M207" s="451"/>
      <c r="N207" s="451"/>
      <c r="O207" s="451"/>
      <c r="P207" s="451"/>
    </row>
    <row r="208">
      <c r="A208" s="461" t="s">
        <v>5912</v>
      </c>
      <c r="B208" s="466" t="s">
        <v>5717</v>
      </c>
      <c r="C208" s="467" t="s">
        <v>5670</v>
      </c>
      <c r="D208" s="467" t="s">
        <v>5675</v>
      </c>
      <c r="E208" s="467" t="s">
        <v>5727</v>
      </c>
      <c r="F208" s="404" t="s">
        <v>516</v>
      </c>
      <c r="G208" s="468">
        <v>2.0</v>
      </c>
      <c r="H208" s="404" t="s">
        <v>5728</v>
      </c>
      <c r="I208" s="404" t="s">
        <v>2724</v>
      </c>
      <c r="J208" s="469">
        <v>43540.0</v>
      </c>
      <c r="K208" s="404" t="s">
        <v>5786</v>
      </c>
      <c r="L208" s="468">
        <v>3.0</v>
      </c>
      <c r="M208" s="404" t="s">
        <v>5893</v>
      </c>
      <c r="N208" s="404" t="s">
        <v>5913</v>
      </c>
      <c r="O208" s="468">
        <v>223.0</v>
      </c>
      <c r="P208" s="470" t="s">
        <v>5914</v>
      </c>
      <c r="Q208" s="404"/>
    </row>
    <row r="209">
      <c r="A209" s="461" t="s">
        <v>518</v>
      </c>
      <c r="B209" s="466" t="s">
        <v>5717</v>
      </c>
      <c r="C209" s="467" t="s">
        <v>5671</v>
      </c>
      <c r="D209" s="467" t="s">
        <v>5675</v>
      </c>
      <c r="E209" s="467" t="s">
        <v>5727</v>
      </c>
      <c r="F209" s="271" t="s">
        <v>5665</v>
      </c>
      <c r="G209" s="451"/>
      <c r="H209" s="451"/>
      <c r="I209" s="451"/>
      <c r="J209" s="451"/>
      <c r="K209" s="451"/>
      <c r="L209" s="451"/>
      <c r="M209" s="451"/>
      <c r="N209" s="451"/>
      <c r="O209" s="451"/>
      <c r="P209" s="451"/>
    </row>
    <row r="210">
      <c r="A210" s="461" t="s">
        <v>5915</v>
      </c>
      <c r="B210" s="466" t="s">
        <v>5673</v>
      </c>
      <c r="C210" s="467" t="s">
        <v>5671</v>
      </c>
      <c r="D210" s="467" t="s">
        <v>5675</v>
      </c>
      <c r="E210" s="467" t="s">
        <v>5727</v>
      </c>
      <c r="F210" s="404" t="s">
        <v>519</v>
      </c>
      <c r="G210" s="468">
        <v>2.0</v>
      </c>
      <c r="H210" s="404" t="s">
        <v>5728</v>
      </c>
      <c r="I210" s="404" t="s">
        <v>2704</v>
      </c>
      <c r="J210" s="469">
        <v>43527.0</v>
      </c>
      <c r="K210" s="404" t="s">
        <v>5729</v>
      </c>
      <c r="L210" s="468">
        <v>3.0</v>
      </c>
      <c r="M210" s="404" t="s">
        <v>5916</v>
      </c>
      <c r="N210" s="404" t="s">
        <v>5917</v>
      </c>
      <c r="O210" s="468">
        <v>792.0</v>
      </c>
      <c r="P210" s="470" t="s">
        <v>5918</v>
      </c>
      <c r="Q210" s="404"/>
    </row>
    <row r="211">
      <c r="A211" s="461" t="s">
        <v>522</v>
      </c>
      <c r="B211" s="466" t="s">
        <v>5672</v>
      </c>
      <c r="C211" s="467" t="s">
        <v>5681</v>
      </c>
      <c r="D211" s="467" t="s">
        <v>5675</v>
      </c>
      <c r="E211" s="467" t="s">
        <v>5727</v>
      </c>
      <c r="F211" s="271" t="s">
        <v>5665</v>
      </c>
      <c r="G211" s="451"/>
      <c r="H211" s="451"/>
      <c r="I211" s="451"/>
      <c r="J211" s="451"/>
      <c r="K211" s="451"/>
      <c r="L211" s="451"/>
      <c r="M211" s="451"/>
      <c r="N211" s="451"/>
      <c r="O211" s="451"/>
      <c r="P211" s="451"/>
    </row>
    <row r="212">
      <c r="A212" s="461" t="s">
        <v>524</v>
      </c>
      <c r="B212" s="466" t="s">
        <v>5802</v>
      </c>
      <c r="C212" s="467" t="s">
        <v>5667</v>
      </c>
      <c r="D212" s="467" t="s">
        <v>5675</v>
      </c>
      <c r="E212" s="467" t="s">
        <v>5727</v>
      </c>
      <c r="F212" s="271" t="s">
        <v>5665</v>
      </c>
      <c r="G212" s="451"/>
      <c r="H212" s="451"/>
      <c r="I212" s="451"/>
      <c r="J212" s="451"/>
      <c r="K212" s="451"/>
      <c r="L212" s="451"/>
      <c r="M212" s="451"/>
      <c r="N212" s="451"/>
      <c r="O212" s="451"/>
      <c r="P212" s="451"/>
    </row>
    <row r="213">
      <c r="A213" s="461" t="s">
        <v>5919</v>
      </c>
      <c r="B213" s="466" t="s">
        <v>5802</v>
      </c>
      <c r="C213" s="467" t="s">
        <v>5671</v>
      </c>
      <c r="D213" s="467" t="s">
        <v>5675</v>
      </c>
      <c r="E213" s="467" t="s">
        <v>5727</v>
      </c>
      <c r="F213" s="404" t="s">
        <v>526</v>
      </c>
      <c r="G213" s="468">
        <v>2.0</v>
      </c>
      <c r="H213" s="404" t="s">
        <v>5728</v>
      </c>
      <c r="I213" s="404" t="s">
        <v>2702</v>
      </c>
      <c r="J213" s="469">
        <v>43541.0</v>
      </c>
      <c r="K213" s="404" t="s">
        <v>5729</v>
      </c>
      <c r="L213" s="468">
        <v>3.0</v>
      </c>
      <c r="M213" s="404" t="s">
        <v>5839</v>
      </c>
      <c r="N213" s="404" t="s">
        <v>5920</v>
      </c>
      <c r="O213" s="468">
        <v>311.0</v>
      </c>
      <c r="P213" s="470" t="s">
        <v>5921</v>
      </c>
      <c r="Q213" s="404"/>
    </row>
    <row r="214">
      <c r="A214" s="461" t="s">
        <v>528</v>
      </c>
      <c r="B214" s="466" t="s">
        <v>5666</v>
      </c>
      <c r="C214" s="467" t="s">
        <v>5657</v>
      </c>
      <c r="D214" s="467" t="s">
        <v>5675</v>
      </c>
      <c r="E214" s="467" t="s">
        <v>5727</v>
      </c>
      <c r="F214" s="271" t="s">
        <v>5665</v>
      </c>
      <c r="G214" s="451"/>
      <c r="H214" s="451"/>
      <c r="I214" s="451"/>
      <c r="J214" s="451"/>
      <c r="K214" s="451"/>
      <c r="L214" s="451"/>
      <c r="M214" s="451"/>
      <c r="N214" s="451"/>
      <c r="O214" s="451"/>
      <c r="P214" s="451"/>
    </row>
    <row r="215">
      <c r="A215" s="461" t="s">
        <v>5922</v>
      </c>
      <c r="B215" s="460" t="s">
        <v>5749</v>
      </c>
      <c r="C215" s="467" t="s">
        <v>5657</v>
      </c>
      <c r="D215" s="467" t="s">
        <v>5675</v>
      </c>
      <c r="E215" s="467" t="s">
        <v>5727</v>
      </c>
      <c r="F215" s="497" t="s">
        <v>530</v>
      </c>
      <c r="G215" s="498">
        <v>2.0</v>
      </c>
      <c r="H215" s="497" t="s">
        <v>5728</v>
      </c>
      <c r="I215" s="497" t="s">
        <v>2715</v>
      </c>
      <c r="J215" s="497" t="s">
        <v>5923</v>
      </c>
      <c r="K215" s="497" t="s">
        <v>5711</v>
      </c>
      <c r="L215" s="498">
        <v>3.0</v>
      </c>
      <c r="M215" s="497" t="s">
        <v>5839</v>
      </c>
      <c r="N215" s="497" t="s">
        <v>5924</v>
      </c>
      <c r="O215" s="498">
        <v>227.0</v>
      </c>
      <c r="P215" s="497" t="s">
        <v>5925</v>
      </c>
      <c r="Q215" s="499"/>
      <c r="R215" s="500"/>
      <c r="S215" s="500"/>
      <c r="T215" s="500"/>
      <c r="U215" s="500"/>
      <c r="V215" s="500"/>
      <c r="W215" s="500"/>
      <c r="X215" s="500"/>
      <c r="Y215" s="500"/>
      <c r="Z215" s="500"/>
      <c r="AA215" s="500"/>
      <c r="AB215" s="500"/>
      <c r="AC215" s="500"/>
      <c r="AD215" s="500"/>
      <c r="AE215" s="497"/>
    </row>
    <row r="216">
      <c r="A216" s="461" t="s">
        <v>533</v>
      </c>
      <c r="B216" s="466" t="s">
        <v>5656</v>
      </c>
      <c r="C216" s="467" t="s">
        <v>5664</v>
      </c>
      <c r="D216" s="467" t="s">
        <v>5675</v>
      </c>
      <c r="E216" s="467" t="s">
        <v>5727</v>
      </c>
      <c r="F216" s="271" t="s">
        <v>5665</v>
      </c>
      <c r="G216" s="451"/>
      <c r="H216" s="451"/>
      <c r="I216" s="451"/>
      <c r="J216" s="451"/>
      <c r="K216" s="451"/>
      <c r="L216" s="451"/>
      <c r="M216" s="451"/>
      <c r="N216" s="451"/>
      <c r="O216" s="451"/>
      <c r="P216" s="451"/>
    </row>
    <row r="217">
      <c r="A217" s="461" t="s">
        <v>535</v>
      </c>
      <c r="B217" s="466" t="s">
        <v>5749</v>
      </c>
      <c r="C217" s="467" t="s">
        <v>5667</v>
      </c>
      <c r="D217" s="467" t="s">
        <v>5675</v>
      </c>
      <c r="E217" s="467" t="s">
        <v>5727</v>
      </c>
      <c r="F217" s="271" t="s">
        <v>5665</v>
      </c>
      <c r="G217" s="451"/>
      <c r="H217" s="451"/>
      <c r="I217" s="451"/>
      <c r="J217" s="451"/>
      <c r="K217" s="451"/>
      <c r="L217" s="451"/>
      <c r="M217" s="451"/>
      <c r="N217" s="451"/>
      <c r="O217" s="451"/>
      <c r="P217" s="451"/>
    </row>
    <row r="218">
      <c r="A218" s="461" t="s">
        <v>537</v>
      </c>
      <c r="B218" s="466" t="s">
        <v>5673</v>
      </c>
      <c r="C218" s="467" t="s">
        <v>5682</v>
      </c>
      <c r="D218" s="467" t="s">
        <v>5675</v>
      </c>
      <c r="E218" s="467" t="s">
        <v>5727</v>
      </c>
      <c r="F218" s="271" t="s">
        <v>5665</v>
      </c>
      <c r="G218" s="451"/>
      <c r="H218" s="451"/>
      <c r="I218" s="451"/>
      <c r="J218" s="451"/>
      <c r="K218" s="451"/>
      <c r="L218" s="451"/>
      <c r="M218" s="451"/>
      <c r="N218" s="451"/>
      <c r="O218" s="451"/>
      <c r="P218" s="451"/>
    </row>
    <row r="219">
      <c r="A219" s="461" t="s">
        <v>538</v>
      </c>
      <c r="B219" s="466" t="s">
        <v>5701</v>
      </c>
      <c r="C219" s="467" t="s">
        <v>5667</v>
      </c>
      <c r="D219" s="467" t="s">
        <v>5683</v>
      </c>
      <c r="E219" s="467" t="s">
        <v>5727</v>
      </c>
      <c r="F219" s="271" t="s">
        <v>5665</v>
      </c>
      <c r="G219" s="451"/>
      <c r="H219" s="451"/>
      <c r="I219" s="451"/>
      <c r="J219" s="451"/>
      <c r="K219" s="451"/>
      <c r="L219" s="451"/>
      <c r="M219" s="451"/>
      <c r="N219" s="451"/>
      <c r="O219" s="451"/>
      <c r="P219" s="451"/>
    </row>
    <row r="220">
      <c r="A220" s="501" t="s">
        <v>5926</v>
      </c>
      <c r="B220" s="466" t="s">
        <v>5701</v>
      </c>
      <c r="C220" s="467" t="s">
        <v>5682</v>
      </c>
      <c r="D220" s="467" t="s">
        <v>5658</v>
      </c>
      <c r="E220" s="467" t="s">
        <v>5659</v>
      </c>
      <c r="F220" s="271" t="s">
        <v>5665</v>
      </c>
      <c r="G220" s="451"/>
      <c r="H220" s="451"/>
      <c r="I220" s="451"/>
      <c r="J220" s="451"/>
      <c r="K220" s="451"/>
      <c r="L220" s="451"/>
      <c r="M220" s="451"/>
      <c r="N220" s="451"/>
      <c r="O220" s="451"/>
      <c r="P220" s="451"/>
    </row>
    <row r="221">
      <c r="A221" s="501" t="s">
        <v>4875</v>
      </c>
      <c r="B221" s="466" t="s">
        <v>5656</v>
      </c>
      <c r="C221" s="467" t="s">
        <v>5681</v>
      </c>
      <c r="D221" s="467" t="s">
        <v>5705</v>
      </c>
      <c r="E221" s="467" t="s">
        <v>5659</v>
      </c>
      <c r="F221" s="271" t="s">
        <v>5665</v>
      </c>
      <c r="G221" s="451"/>
      <c r="H221" s="451"/>
      <c r="I221" s="451"/>
      <c r="J221" s="451"/>
      <c r="K221" s="451"/>
      <c r="L221" s="451"/>
      <c r="M221" s="451"/>
      <c r="N221" s="451"/>
      <c r="O221" s="451"/>
      <c r="P221" s="451"/>
    </row>
    <row r="222">
      <c r="A222" s="501" t="s">
        <v>4879</v>
      </c>
      <c r="B222" s="466" t="s">
        <v>5701</v>
      </c>
      <c r="C222" s="467" t="s">
        <v>5667</v>
      </c>
      <c r="D222" s="467" t="s">
        <v>5658</v>
      </c>
      <c r="E222" s="467" t="s">
        <v>5659</v>
      </c>
      <c r="F222" s="497" t="s">
        <v>5927</v>
      </c>
      <c r="G222" s="498">
        <v>2.0</v>
      </c>
      <c r="H222" s="497" t="s">
        <v>5660</v>
      </c>
      <c r="I222" s="497" t="s">
        <v>2740</v>
      </c>
      <c r="J222" s="497" t="s">
        <v>5928</v>
      </c>
      <c r="K222" s="497" t="s">
        <v>5734</v>
      </c>
      <c r="L222" s="498">
        <v>1.0</v>
      </c>
      <c r="M222" s="497" t="s">
        <v>5712</v>
      </c>
      <c r="N222" s="497" t="s">
        <v>5929</v>
      </c>
      <c r="O222" s="498">
        <v>637.0</v>
      </c>
      <c r="P222" s="497" t="s">
        <v>5930</v>
      </c>
      <c r="Q222" s="500"/>
      <c r="R222" s="500"/>
      <c r="S222" s="500"/>
      <c r="T222" s="500"/>
      <c r="U222" s="500"/>
      <c r="V222" s="500"/>
      <c r="W222" s="500"/>
      <c r="X222" s="500"/>
      <c r="Y222" s="500"/>
      <c r="Z222" s="500"/>
      <c r="AA222" s="500"/>
      <c r="AB222" s="500"/>
      <c r="AC222" s="500"/>
      <c r="AD222" s="500"/>
      <c r="AE222" s="497"/>
    </row>
    <row r="223">
      <c r="A223" s="501" t="s">
        <v>4881</v>
      </c>
      <c r="B223" s="466" t="s">
        <v>5931</v>
      </c>
      <c r="C223" s="467" t="s">
        <v>5657</v>
      </c>
      <c r="D223" s="467" t="s">
        <v>5658</v>
      </c>
      <c r="E223" s="467" t="s">
        <v>5659</v>
      </c>
      <c r="F223" s="271" t="s">
        <v>5665</v>
      </c>
      <c r="G223" s="451"/>
      <c r="H223" s="451"/>
      <c r="I223" s="451"/>
      <c r="J223" s="451"/>
      <c r="K223" s="451"/>
      <c r="L223" s="451"/>
      <c r="M223" s="451"/>
      <c r="N223" s="451"/>
      <c r="O223" s="451"/>
      <c r="P223" s="451"/>
    </row>
    <row r="224">
      <c r="A224" s="501" t="s">
        <v>4893</v>
      </c>
      <c r="B224" s="466" t="s">
        <v>5749</v>
      </c>
      <c r="C224" s="467" t="s">
        <v>5682</v>
      </c>
      <c r="D224" s="467" t="s">
        <v>5675</v>
      </c>
      <c r="E224" s="467" t="s">
        <v>5659</v>
      </c>
      <c r="F224" s="271" t="s">
        <v>5665</v>
      </c>
      <c r="G224" s="451"/>
      <c r="H224" s="451"/>
      <c r="I224" s="451"/>
      <c r="J224" s="451"/>
      <c r="K224" s="451"/>
      <c r="L224" s="451"/>
      <c r="M224" s="451"/>
      <c r="N224" s="451"/>
      <c r="O224" s="451"/>
      <c r="P224" s="451"/>
    </row>
    <row r="225">
      <c r="A225" s="501" t="s">
        <v>4896</v>
      </c>
      <c r="B225" s="466" t="s">
        <v>5673</v>
      </c>
      <c r="C225" s="467" t="s">
        <v>5664</v>
      </c>
      <c r="D225" s="467" t="s">
        <v>5675</v>
      </c>
      <c r="E225" s="467" t="s">
        <v>5659</v>
      </c>
      <c r="F225" s="271" t="s">
        <v>5665</v>
      </c>
      <c r="G225" s="451"/>
      <c r="H225" s="451"/>
      <c r="I225" s="451"/>
      <c r="J225" s="451"/>
      <c r="K225" s="451"/>
      <c r="L225" s="451"/>
      <c r="M225" s="451"/>
      <c r="N225" s="451"/>
      <c r="O225" s="451"/>
      <c r="P225" s="451"/>
    </row>
    <row r="226">
      <c r="A226" s="501" t="s">
        <v>4897</v>
      </c>
      <c r="B226" s="466" t="s">
        <v>5656</v>
      </c>
      <c r="C226" s="467" t="s">
        <v>5667</v>
      </c>
      <c r="D226" s="467" t="s">
        <v>5675</v>
      </c>
      <c r="E226" s="467" t="s">
        <v>5659</v>
      </c>
      <c r="F226" s="271" t="s">
        <v>5665</v>
      </c>
      <c r="G226" s="451"/>
      <c r="H226" s="451"/>
      <c r="I226" s="451"/>
      <c r="J226" s="451"/>
      <c r="K226" s="451"/>
      <c r="L226" s="451"/>
      <c r="M226" s="451"/>
      <c r="N226" s="451"/>
      <c r="O226" s="451"/>
      <c r="P226" s="451"/>
    </row>
    <row r="227">
      <c r="A227" s="501" t="s">
        <v>4077</v>
      </c>
      <c r="B227" s="466" t="s">
        <v>5715</v>
      </c>
      <c r="C227" s="467" t="s">
        <v>5670</v>
      </c>
      <c r="D227" s="467" t="s">
        <v>5675</v>
      </c>
      <c r="E227" s="467" t="s">
        <v>5659</v>
      </c>
      <c r="F227" s="271" t="s">
        <v>5665</v>
      </c>
      <c r="G227" s="451"/>
      <c r="H227" s="451"/>
      <c r="I227" s="451"/>
      <c r="J227" s="451"/>
      <c r="K227" s="451"/>
      <c r="L227" s="451"/>
      <c r="M227" s="451"/>
      <c r="N227" s="451"/>
      <c r="O227" s="451"/>
      <c r="P227" s="451"/>
    </row>
    <row r="228">
      <c r="A228" s="501" t="s">
        <v>4898</v>
      </c>
      <c r="B228" s="466" t="s">
        <v>5802</v>
      </c>
      <c r="C228" s="467" t="s">
        <v>5682</v>
      </c>
      <c r="D228" s="467" t="s">
        <v>5675</v>
      </c>
      <c r="E228" s="467" t="s">
        <v>5659</v>
      </c>
      <c r="F228" s="271" t="s">
        <v>5665</v>
      </c>
      <c r="G228" s="451"/>
      <c r="H228" s="451"/>
      <c r="I228" s="451"/>
      <c r="J228" s="451"/>
      <c r="K228" s="451"/>
      <c r="L228" s="451"/>
      <c r="M228" s="451"/>
      <c r="N228" s="451"/>
      <c r="O228" s="451"/>
      <c r="P228" s="451"/>
    </row>
    <row r="229">
      <c r="A229" s="501" t="s">
        <v>4901</v>
      </c>
      <c r="B229" s="466" t="s">
        <v>5672</v>
      </c>
      <c r="C229" s="467" t="s">
        <v>5667</v>
      </c>
      <c r="D229" s="467" t="s">
        <v>5675</v>
      </c>
      <c r="E229" s="467" t="s">
        <v>5659</v>
      </c>
      <c r="F229" s="271" t="s">
        <v>5665</v>
      </c>
      <c r="G229" s="451"/>
      <c r="H229" s="451"/>
      <c r="I229" s="451"/>
      <c r="J229" s="451"/>
      <c r="K229" s="451"/>
      <c r="L229" s="451"/>
      <c r="M229" s="451"/>
      <c r="N229" s="451"/>
      <c r="O229" s="451"/>
      <c r="P229" s="451"/>
    </row>
    <row r="230">
      <c r="A230" s="501" t="s">
        <v>4904</v>
      </c>
      <c r="B230" s="466" t="s">
        <v>5656</v>
      </c>
      <c r="C230" s="467" t="s">
        <v>5932</v>
      </c>
      <c r="D230" s="467" t="s">
        <v>5932</v>
      </c>
      <c r="E230" s="467" t="s">
        <v>5932</v>
      </c>
      <c r="F230" s="271" t="s">
        <v>5933</v>
      </c>
      <c r="G230" s="451"/>
      <c r="H230" s="451"/>
      <c r="I230" s="451"/>
      <c r="J230" s="451"/>
      <c r="K230" s="451"/>
      <c r="L230" s="451"/>
      <c r="M230" s="451"/>
      <c r="N230" s="451"/>
      <c r="O230" s="451"/>
      <c r="P230" s="451"/>
    </row>
    <row r="231">
      <c r="A231" s="501" t="s">
        <v>2945</v>
      </c>
      <c r="B231" s="466" t="s">
        <v>5715</v>
      </c>
      <c r="C231" s="467" t="s">
        <v>5681</v>
      </c>
      <c r="D231" s="467" t="s">
        <v>5683</v>
      </c>
      <c r="E231" s="467" t="s">
        <v>5659</v>
      </c>
      <c r="F231" s="271" t="s">
        <v>5665</v>
      </c>
      <c r="G231" s="451"/>
      <c r="H231" s="451"/>
      <c r="I231" s="451"/>
      <c r="J231" s="451"/>
      <c r="K231" s="451"/>
      <c r="L231" s="451"/>
      <c r="M231" s="451"/>
      <c r="N231" s="451"/>
      <c r="O231" s="451"/>
      <c r="P231" s="451"/>
    </row>
    <row r="232">
      <c r="A232" s="501" t="s">
        <v>4906</v>
      </c>
      <c r="B232" s="466" t="s">
        <v>5931</v>
      </c>
      <c r="C232" s="467" t="s">
        <v>5657</v>
      </c>
      <c r="D232" s="467" t="s">
        <v>5683</v>
      </c>
      <c r="E232" s="467" t="s">
        <v>5659</v>
      </c>
      <c r="F232" s="497" t="s">
        <v>5934</v>
      </c>
      <c r="G232" s="498">
        <v>2.0</v>
      </c>
      <c r="H232" s="497" t="s">
        <v>5660</v>
      </c>
      <c r="I232" s="497" t="s">
        <v>2709</v>
      </c>
      <c r="J232" s="497" t="s">
        <v>5935</v>
      </c>
      <c r="K232" s="497" t="s">
        <v>5711</v>
      </c>
      <c r="L232" s="498">
        <v>4.0</v>
      </c>
      <c r="M232" s="497" t="s">
        <v>5722</v>
      </c>
      <c r="N232" s="497" t="s">
        <v>5936</v>
      </c>
      <c r="O232" s="498">
        <v>797.0</v>
      </c>
      <c r="P232" s="497" t="s">
        <v>5937</v>
      </c>
      <c r="Q232" s="499"/>
      <c r="R232" s="500"/>
      <c r="S232" s="500"/>
      <c r="T232" s="500"/>
      <c r="U232" s="500"/>
      <c r="V232" s="500"/>
      <c r="W232" s="500"/>
      <c r="X232" s="500"/>
      <c r="Y232" s="500"/>
      <c r="Z232" s="500"/>
      <c r="AA232" s="500"/>
      <c r="AB232" s="500"/>
      <c r="AC232" s="500"/>
      <c r="AD232" s="500"/>
      <c r="AE232" s="497"/>
    </row>
    <row r="233">
      <c r="A233" s="501" t="s">
        <v>4909</v>
      </c>
      <c r="B233" s="466" t="s">
        <v>5749</v>
      </c>
      <c r="C233" s="467" t="s">
        <v>5671</v>
      </c>
      <c r="D233" s="467" t="s">
        <v>5683</v>
      </c>
      <c r="E233" s="467" t="s">
        <v>5659</v>
      </c>
      <c r="F233" s="271" t="s">
        <v>5665</v>
      </c>
      <c r="G233" s="451"/>
      <c r="H233" s="451"/>
      <c r="I233" s="451"/>
      <c r="J233" s="451"/>
      <c r="K233" s="451"/>
      <c r="L233" s="451"/>
      <c r="M233" s="451"/>
      <c r="N233" s="451"/>
      <c r="O233" s="451"/>
      <c r="P233" s="451"/>
    </row>
    <row r="234">
      <c r="A234" s="501" t="s">
        <v>4098</v>
      </c>
      <c r="B234" s="466" t="s">
        <v>5717</v>
      </c>
      <c r="C234" s="467" t="s">
        <v>5682</v>
      </c>
      <c r="D234" s="467" t="s">
        <v>5683</v>
      </c>
      <c r="E234" s="467" t="s">
        <v>5659</v>
      </c>
      <c r="F234" s="271" t="s">
        <v>5665</v>
      </c>
      <c r="G234" s="451"/>
      <c r="H234" s="451"/>
      <c r="I234" s="451"/>
      <c r="J234" s="451"/>
      <c r="K234" s="451"/>
      <c r="L234" s="451"/>
      <c r="M234" s="451"/>
      <c r="N234" s="451"/>
      <c r="O234" s="451"/>
      <c r="P234" s="451"/>
    </row>
    <row r="235">
      <c r="A235" s="501" t="s">
        <v>4070</v>
      </c>
      <c r="B235" s="466" t="s">
        <v>5672</v>
      </c>
      <c r="C235" s="467" t="s">
        <v>5682</v>
      </c>
      <c r="D235" s="467" t="s">
        <v>5675</v>
      </c>
      <c r="E235" s="467" t="s">
        <v>5659</v>
      </c>
      <c r="F235" s="271" t="s">
        <v>5665</v>
      </c>
      <c r="G235" s="451"/>
      <c r="H235" s="451"/>
      <c r="I235" s="451"/>
      <c r="J235" s="451"/>
      <c r="K235" s="451"/>
      <c r="L235" s="451"/>
      <c r="M235" s="451"/>
      <c r="N235" s="451"/>
      <c r="O235" s="451"/>
      <c r="P235" s="451"/>
      <c r="Q235" s="451"/>
      <c r="R235" s="451"/>
      <c r="S235" s="451"/>
      <c r="T235" s="451"/>
      <c r="U235" s="451"/>
      <c r="V235" s="451"/>
      <c r="W235" s="451"/>
      <c r="X235" s="451"/>
      <c r="Y235" s="451"/>
      <c r="Z235" s="451"/>
      <c r="AA235" s="451"/>
      <c r="AB235" s="451"/>
      <c r="AC235" s="451"/>
      <c r="AD235" s="451"/>
    </row>
    <row r="236">
      <c r="A236" s="501" t="s">
        <v>4071</v>
      </c>
      <c r="B236" s="466" t="s">
        <v>5715</v>
      </c>
      <c r="C236" s="467" t="s">
        <v>5682</v>
      </c>
      <c r="D236" s="467" t="s">
        <v>5675</v>
      </c>
      <c r="E236" s="467" t="s">
        <v>5659</v>
      </c>
      <c r="F236" s="271" t="s">
        <v>5665</v>
      </c>
      <c r="G236" s="451"/>
      <c r="H236" s="451"/>
      <c r="I236" s="451"/>
      <c r="J236" s="451"/>
      <c r="K236" s="451"/>
      <c r="L236" s="451"/>
      <c r="M236" s="451"/>
      <c r="N236" s="451"/>
      <c r="O236" s="451"/>
      <c r="P236" s="451"/>
      <c r="Q236" s="451"/>
      <c r="R236" s="451"/>
      <c r="S236" s="451"/>
      <c r="T236" s="451"/>
      <c r="U236" s="451"/>
      <c r="V236" s="451"/>
      <c r="W236" s="451"/>
      <c r="X236" s="451"/>
      <c r="Y236" s="451"/>
      <c r="Z236" s="451"/>
      <c r="AA236" s="451"/>
      <c r="AB236" s="451"/>
      <c r="AC236" s="451"/>
      <c r="AD236" s="451"/>
    </row>
    <row r="237">
      <c r="A237" s="501" t="s">
        <v>5938</v>
      </c>
      <c r="B237" s="466" t="s">
        <v>5666</v>
      </c>
      <c r="C237" s="467" t="s">
        <v>5682</v>
      </c>
      <c r="D237" s="467" t="s">
        <v>5675</v>
      </c>
      <c r="E237" s="467" t="s">
        <v>5659</v>
      </c>
      <c r="F237" s="497" t="s">
        <v>4078</v>
      </c>
      <c r="G237" s="498">
        <v>2.0</v>
      </c>
      <c r="H237" s="497" t="s">
        <v>5660</v>
      </c>
      <c r="I237" s="497" t="s">
        <v>2698</v>
      </c>
      <c r="J237" s="497" t="s">
        <v>5939</v>
      </c>
      <c r="K237" s="497" t="s">
        <v>5721</v>
      </c>
      <c r="L237" s="498">
        <v>3.0</v>
      </c>
      <c r="M237" s="497" t="s">
        <v>5854</v>
      </c>
      <c r="N237" s="497" t="s">
        <v>5940</v>
      </c>
      <c r="O237" s="498">
        <v>234.0</v>
      </c>
      <c r="P237" s="497" t="s">
        <v>5941</v>
      </c>
      <c r="Q237" s="500"/>
      <c r="R237" s="500"/>
      <c r="S237" s="500"/>
      <c r="T237" s="500"/>
      <c r="U237" s="500"/>
      <c r="V237" s="500"/>
      <c r="W237" s="500"/>
      <c r="X237" s="500"/>
      <c r="Y237" s="500"/>
      <c r="Z237" s="500"/>
      <c r="AA237" s="500"/>
      <c r="AB237" s="500"/>
      <c r="AC237" s="500"/>
      <c r="AD237" s="500"/>
      <c r="AE237" s="497"/>
    </row>
    <row r="238">
      <c r="A238" s="501" t="s">
        <v>4081</v>
      </c>
      <c r="B238" s="466" t="s">
        <v>5666</v>
      </c>
      <c r="C238" s="467" t="s">
        <v>5681</v>
      </c>
      <c r="D238" s="467" t="s">
        <v>5675</v>
      </c>
      <c r="E238" s="467" t="s">
        <v>5659</v>
      </c>
      <c r="F238" s="271" t="s">
        <v>5665</v>
      </c>
      <c r="G238" s="451"/>
      <c r="H238" s="451"/>
      <c r="I238" s="451"/>
      <c r="J238" s="451"/>
      <c r="K238" s="451"/>
      <c r="L238" s="451"/>
      <c r="M238" s="451"/>
      <c r="N238" s="451"/>
      <c r="O238" s="451"/>
      <c r="P238" s="451"/>
      <c r="Q238" s="451"/>
      <c r="R238" s="451"/>
      <c r="S238" s="451"/>
      <c r="T238" s="451"/>
      <c r="U238" s="451"/>
      <c r="V238" s="451"/>
      <c r="W238" s="451"/>
      <c r="X238" s="451"/>
      <c r="Y238" s="451"/>
      <c r="Z238" s="451"/>
      <c r="AA238" s="451"/>
      <c r="AB238" s="451"/>
      <c r="AC238" s="451"/>
      <c r="AD238" s="451"/>
    </row>
    <row r="239">
      <c r="A239" s="501" t="s">
        <v>5942</v>
      </c>
      <c r="B239" s="466" t="s">
        <v>5802</v>
      </c>
      <c r="C239" s="467" t="s">
        <v>5664</v>
      </c>
      <c r="D239" s="467" t="s">
        <v>5675</v>
      </c>
      <c r="E239" s="467" t="s">
        <v>5659</v>
      </c>
      <c r="F239" s="497" t="s">
        <v>4084</v>
      </c>
      <c r="G239" s="498">
        <v>2.0</v>
      </c>
      <c r="H239" s="497" t="s">
        <v>5660</v>
      </c>
      <c r="I239" s="497" t="s">
        <v>2702</v>
      </c>
      <c r="J239" s="497" t="s">
        <v>5943</v>
      </c>
      <c r="K239" s="497" t="s">
        <v>5754</v>
      </c>
      <c r="L239" s="498">
        <v>3.0</v>
      </c>
      <c r="M239" s="497" t="s">
        <v>5803</v>
      </c>
      <c r="N239" s="497" t="s">
        <v>5944</v>
      </c>
      <c r="O239" s="498">
        <v>373.0</v>
      </c>
      <c r="P239" s="497" t="s">
        <v>5945</v>
      </c>
      <c r="Q239" s="499"/>
      <c r="R239" s="500"/>
      <c r="S239" s="500"/>
      <c r="T239" s="500"/>
      <c r="U239" s="500"/>
      <c r="V239" s="500"/>
      <c r="W239" s="500"/>
      <c r="X239" s="500"/>
      <c r="Y239" s="500"/>
      <c r="Z239" s="500"/>
      <c r="AA239" s="500"/>
      <c r="AB239" s="500"/>
      <c r="AC239" s="500"/>
      <c r="AD239" s="500"/>
      <c r="AE239" s="497"/>
    </row>
    <row r="240">
      <c r="A240" s="501" t="s">
        <v>4089</v>
      </c>
      <c r="B240" s="466" t="s">
        <v>5946</v>
      </c>
      <c r="C240" s="467" t="s">
        <v>5671</v>
      </c>
      <c r="D240" s="467" t="s">
        <v>5675</v>
      </c>
      <c r="E240" s="467" t="s">
        <v>5659</v>
      </c>
      <c r="F240" s="271" t="s">
        <v>5665</v>
      </c>
      <c r="G240" s="451"/>
      <c r="H240" s="451"/>
      <c r="I240" s="451"/>
      <c r="J240" s="451"/>
      <c r="K240" s="451"/>
      <c r="L240" s="451"/>
      <c r="M240" s="451"/>
      <c r="N240" s="451"/>
      <c r="O240" s="451"/>
      <c r="P240" s="451"/>
      <c r="Q240" s="451"/>
      <c r="R240" s="451"/>
      <c r="S240" s="451"/>
      <c r="T240" s="451"/>
      <c r="U240" s="451"/>
      <c r="V240" s="451"/>
      <c r="W240" s="451"/>
      <c r="X240" s="451"/>
      <c r="Y240" s="451"/>
      <c r="Z240" s="451"/>
      <c r="AA240" s="451"/>
      <c r="AB240" s="451"/>
      <c r="AC240" s="451"/>
      <c r="AD240" s="451"/>
    </row>
    <row r="241">
      <c r="A241" s="501" t="s">
        <v>4090</v>
      </c>
      <c r="B241" s="466" t="s">
        <v>5701</v>
      </c>
      <c r="C241" s="467" t="s">
        <v>5682</v>
      </c>
      <c r="D241" s="467" t="s">
        <v>5675</v>
      </c>
      <c r="E241" s="467" t="s">
        <v>5659</v>
      </c>
      <c r="F241" s="271" t="s">
        <v>5665</v>
      </c>
      <c r="G241" s="451"/>
      <c r="H241" s="451"/>
      <c r="I241" s="451"/>
      <c r="J241" s="451"/>
      <c r="K241" s="451"/>
      <c r="L241" s="451"/>
      <c r="M241" s="451"/>
      <c r="N241" s="451"/>
      <c r="O241" s="451"/>
      <c r="P241" s="451"/>
      <c r="Q241" s="451"/>
      <c r="R241" s="451"/>
      <c r="S241" s="451"/>
      <c r="T241" s="451"/>
      <c r="U241" s="451"/>
      <c r="V241" s="451"/>
      <c r="W241" s="451"/>
      <c r="X241" s="451"/>
      <c r="Y241" s="451"/>
      <c r="Z241" s="451"/>
      <c r="AA241" s="451"/>
      <c r="AB241" s="451"/>
      <c r="AC241" s="451"/>
      <c r="AD241" s="451"/>
    </row>
    <row r="242">
      <c r="A242" s="501" t="s">
        <v>4095</v>
      </c>
      <c r="B242" s="466" t="s">
        <v>5946</v>
      </c>
      <c r="C242" s="467" t="s">
        <v>5671</v>
      </c>
      <c r="D242" s="467" t="s">
        <v>5683</v>
      </c>
      <c r="E242" s="467" t="s">
        <v>5659</v>
      </c>
      <c r="F242" s="271" t="s">
        <v>5665</v>
      </c>
      <c r="G242" s="451"/>
      <c r="H242" s="451"/>
      <c r="I242" s="451"/>
      <c r="J242" s="451"/>
      <c r="K242" s="451"/>
      <c r="L242" s="451"/>
      <c r="M242" s="451"/>
      <c r="N242" s="451"/>
      <c r="O242" s="451"/>
      <c r="P242" s="451"/>
      <c r="Q242" s="451"/>
      <c r="R242" s="451"/>
      <c r="S242" s="451"/>
      <c r="T242" s="451"/>
      <c r="U242" s="451"/>
      <c r="V242" s="451"/>
      <c r="W242" s="451"/>
      <c r="X242" s="451"/>
      <c r="Y242" s="451"/>
      <c r="Z242" s="451"/>
      <c r="AA242" s="451"/>
      <c r="AB242" s="451"/>
      <c r="AC242" s="451"/>
      <c r="AD242" s="451"/>
    </row>
    <row r="243">
      <c r="A243" s="501" t="s">
        <v>4099</v>
      </c>
      <c r="B243" s="466" t="s">
        <v>5672</v>
      </c>
      <c r="C243" s="467" t="s">
        <v>5681</v>
      </c>
      <c r="D243" s="467" t="s">
        <v>5683</v>
      </c>
      <c r="E243" s="467" t="s">
        <v>5659</v>
      </c>
      <c r="F243" s="271" t="s">
        <v>5665</v>
      </c>
      <c r="G243" s="451"/>
      <c r="H243" s="451"/>
      <c r="I243" s="451"/>
      <c r="J243" s="451"/>
      <c r="K243" s="451"/>
      <c r="L243" s="451"/>
      <c r="M243" s="451"/>
      <c r="N243" s="451"/>
      <c r="O243" s="451"/>
      <c r="P243" s="451"/>
      <c r="Q243" s="451"/>
      <c r="R243" s="451"/>
      <c r="S243" s="451"/>
      <c r="T243" s="451"/>
      <c r="U243" s="451"/>
      <c r="V243" s="451"/>
      <c r="W243" s="451"/>
      <c r="X243" s="451"/>
      <c r="Y243" s="451"/>
      <c r="Z243" s="451"/>
      <c r="AA243" s="451"/>
      <c r="AB243" s="451"/>
      <c r="AC243" s="451"/>
      <c r="AD243" s="451"/>
    </row>
    <row r="244">
      <c r="A244" s="501" t="s">
        <v>5947</v>
      </c>
      <c r="B244" s="466" t="s">
        <v>5666</v>
      </c>
      <c r="C244" s="467" t="s">
        <v>5657</v>
      </c>
      <c r="D244" s="467" t="s">
        <v>5668</v>
      </c>
      <c r="E244" s="467" t="s">
        <v>5659</v>
      </c>
      <c r="F244" s="502" t="s">
        <v>2925</v>
      </c>
      <c r="G244" s="503">
        <v>2.0</v>
      </c>
      <c r="H244" s="502" t="s">
        <v>5660</v>
      </c>
      <c r="I244" s="502" t="s">
        <v>2698</v>
      </c>
      <c r="J244" s="502" t="s">
        <v>5948</v>
      </c>
      <c r="K244" s="502" t="s">
        <v>5711</v>
      </c>
      <c r="L244" s="503">
        <v>2.0</v>
      </c>
      <c r="M244" s="502" t="s">
        <v>5763</v>
      </c>
      <c r="N244" s="502" t="s">
        <v>5949</v>
      </c>
      <c r="O244" s="503">
        <v>169.0</v>
      </c>
      <c r="P244" s="502" t="s">
        <v>5950</v>
      </c>
      <c r="Q244" s="504"/>
      <c r="R244" s="505"/>
      <c r="S244" s="505"/>
      <c r="T244" s="505"/>
      <c r="U244" s="505"/>
      <c r="V244" s="505"/>
      <c r="W244" s="505"/>
      <c r="X244" s="505"/>
      <c r="Y244" s="505"/>
      <c r="Z244" s="505"/>
      <c r="AA244" s="505"/>
      <c r="AB244" s="505"/>
      <c r="AC244" s="505"/>
      <c r="AD244" s="505"/>
      <c r="AE244" s="502"/>
    </row>
    <row r="245">
      <c r="A245" s="501" t="s">
        <v>2960</v>
      </c>
      <c r="B245" s="466" t="s">
        <v>5701</v>
      </c>
      <c r="C245" s="467" t="s">
        <v>5670</v>
      </c>
      <c r="D245" s="467" t="s">
        <v>5683</v>
      </c>
      <c r="E245" s="467" t="s">
        <v>5659</v>
      </c>
      <c r="F245" s="271" t="s">
        <v>5665</v>
      </c>
      <c r="G245" s="451"/>
      <c r="H245" s="451"/>
      <c r="I245" s="451"/>
      <c r="J245" s="451"/>
      <c r="K245" s="451"/>
      <c r="L245" s="451"/>
      <c r="M245" s="451"/>
      <c r="N245" s="451"/>
      <c r="O245" s="451"/>
      <c r="P245" s="451"/>
      <c r="Q245" s="451"/>
      <c r="R245" s="451"/>
      <c r="S245" s="451"/>
      <c r="T245" s="451"/>
      <c r="U245" s="451"/>
      <c r="V245" s="451"/>
      <c r="W245" s="451"/>
      <c r="X245" s="451"/>
      <c r="Y245" s="451"/>
      <c r="Z245" s="451"/>
      <c r="AA245" s="451"/>
      <c r="AB245" s="451"/>
      <c r="AC245" s="451"/>
      <c r="AD245" s="451"/>
    </row>
    <row r="246">
      <c r="A246" s="501" t="s">
        <v>2962</v>
      </c>
      <c r="B246" s="466" t="s">
        <v>5802</v>
      </c>
      <c r="C246" s="467" t="s">
        <v>5670</v>
      </c>
      <c r="D246" s="467" t="s">
        <v>5683</v>
      </c>
      <c r="E246" s="467" t="s">
        <v>5659</v>
      </c>
      <c r="F246" s="271" t="s">
        <v>5665</v>
      </c>
      <c r="G246" s="451"/>
      <c r="H246" s="451"/>
      <c r="I246" s="451"/>
      <c r="J246" s="451"/>
      <c r="K246" s="451"/>
      <c r="L246" s="451"/>
      <c r="M246" s="451"/>
      <c r="N246" s="451"/>
      <c r="O246" s="451"/>
      <c r="P246" s="451"/>
      <c r="Q246" s="451"/>
      <c r="R246" s="451"/>
      <c r="S246" s="451"/>
      <c r="T246" s="451"/>
      <c r="U246" s="451"/>
      <c r="V246" s="451"/>
      <c r="W246" s="451"/>
      <c r="X246" s="451"/>
      <c r="Y246" s="451"/>
      <c r="Z246" s="451"/>
      <c r="AA246" s="451"/>
      <c r="AB246" s="451"/>
      <c r="AC246" s="451"/>
      <c r="AD246" s="451"/>
    </row>
    <row r="247">
      <c r="A247" s="501" t="s">
        <v>2964</v>
      </c>
      <c r="B247" s="466" t="s">
        <v>5666</v>
      </c>
      <c r="C247" s="467" t="s">
        <v>5681</v>
      </c>
      <c r="D247" s="467" t="s">
        <v>5683</v>
      </c>
      <c r="E247" s="467" t="s">
        <v>5659</v>
      </c>
      <c r="F247" s="271" t="s">
        <v>5665</v>
      </c>
      <c r="G247" s="451"/>
      <c r="H247" s="451"/>
      <c r="I247" s="451"/>
      <c r="J247" s="451"/>
      <c r="K247" s="451"/>
      <c r="L247" s="451"/>
      <c r="M247" s="451"/>
      <c r="N247" s="451"/>
      <c r="O247" s="451"/>
      <c r="P247" s="451"/>
      <c r="Q247" s="451"/>
      <c r="R247" s="451"/>
      <c r="S247" s="451"/>
      <c r="T247" s="451"/>
      <c r="U247" s="451"/>
      <c r="V247" s="451"/>
      <c r="W247" s="451"/>
      <c r="X247" s="451"/>
      <c r="Y247" s="451"/>
      <c r="Z247" s="451"/>
      <c r="AA247" s="451"/>
      <c r="AB247" s="451"/>
      <c r="AC247" s="451"/>
      <c r="AD247" s="451"/>
    </row>
    <row r="248">
      <c r="A248" s="501" t="s">
        <v>2969</v>
      </c>
      <c r="B248" s="466" t="s">
        <v>5656</v>
      </c>
      <c r="C248" s="467" t="s">
        <v>5670</v>
      </c>
      <c r="D248" s="467" t="s">
        <v>5683</v>
      </c>
      <c r="E248" s="467" t="s">
        <v>5659</v>
      </c>
      <c r="F248" s="321" t="s">
        <v>5951</v>
      </c>
      <c r="G248" s="506"/>
      <c r="H248" s="507"/>
      <c r="I248" s="507"/>
      <c r="J248" s="507"/>
      <c r="K248" s="507"/>
      <c r="L248" s="506"/>
      <c r="M248" s="507"/>
      <c r="N248" s="507"/>
      <c r="O248" s="506"/>
      <c r="P248" s="507"/>
      <c r="Q248" s="508"/>
      <c r="R248" s="509"/>
      <c r="S248" s="509"/>
      <c r="T248" s="509"/>
      <c r="U248" s="509"/>
      <c r="V248" s="509"/>
      <c r="W248" s="509"/>
      <c r="X248" s="509"/>
      <c r="Y248" s="509"/>
      <c r="Z248" s="509"/>
      <c r="AA248" s="509"/>
      <c r="AB248" s="509"/>
      <c r="AC248" s="509"/>
      <c r="AD248" s="509"/>
      <c r="AE248" s="507"/>
    </row>
    <row r="249">
      <c r="A249" s="501" t="s">
        <v>2988</v>
      </c>
      <c r="B249" s="466" t="s">
        <v>5802</v>
      </c>
      <c r="C249" s="467" t="s">
        <v>5667</v>
      </c>
      <c r="D249" s="467" t="s">
        <v>5692</v>
      </c>
      <c r="E249" s="467" t="s">
        <v>5659</v>
      </c>
      <c r="F249" s="271" t="s">
        <v>5665</v>
      </c>
      <c r="G249" s="451"/>
      <c r="H249" s="451"/>
      <c r="I249" s="451"/>
      <c r="J249" s="451"/>
      <c r="K249" s="451"/>
      <c r="L249" s="451"/>
      <c r="M249" s="451"/>
      <c r="N249" s="451"/>
      <c r="O249" s="451"/>
      <c r="P249" s="451"/>
      <c r="Q249" s="451"/>
      <c r="R249" s="451"/>
      <c r="S249" s="451"/>
      <c r="T249" s="451"/>
      <c r="U249" s="451"/>
      <c r="V249" s="451"/>
      <c r="W249" s="451"/>
      <c r="X249" s="451"/>
      <c r="Y249" s="451"/>
      <c r="Z249" s="451"/>
      <c r="AA249" s="451"/>
      <c r="AB249" s="451"/>
      <c r="AC249" s="451"/>
      <c r="AD249" s="451"/>
    </row>
    <row r="250">
      <c r="A250" s="501" t="s">
        <v>2991</v>
      </c>
      <c r="B250" s="466" t="s">
        <v>5749</v>
      </c>
      <c r="C250" s="467" t="s">
        <v>5681</v>
      </c>
      <c r="D250" s="467" t="s">
        <v>5692</v>
      </c>
      <c r="E250" s="467" t="s">
        <v>5659</v>
      </c>
      <c r="F250" s="271" t="s">
        <v>5665</v>
      </c>
      <c r="G250" s="451"/>
      <c r="H250" s="451"/>
      <c r="I250" s="451"/>
      <c r="J250" s="451"/>
      <c r="K250" s="451"/>
      <c r="L250" s="451"/>
      <c r="M250" s="451"/>
      <c r="N250" s="451"/>
      <c r="O250" s="451"/>
      <c r="P250" s="451"/>
      <c r="Q250" s="451"/>
      <c r="R250" s="451"/>
      <c r="S250" s="451"/>
      <c r="T250" s="451"/>
      <c r="U250" s="451"/>
      <c r="V250" s="451"/>
      <c r="W250" s="451"/>
      <c r="X250" s="451"/>
      <c r="Y250" s="451"/>
      <c r="Z250" s="451"/>
      <c r="AA250" s="451"/>
      <c r="AB250" s="451"/>
      <c r="AC250" s="451"/>
      <c r="AD250" s="451"/>
    </row>
    <row r="251">
      <c r="A251" s="501" t="s">
        <v>2993</v>
      </c>
      <c r="B251" s="466" t="s">
        <v>5802</v>
      </c>
      <c r="C251" s="467" t="s">
        <v>5657</v>
      </c>
      <c r="D251" s="467" t="s">
        <v>5692</v>
      </c>
      <c r="E251" s="467" t="s">
        <v>5659</v>
      </c>
      <c r="F251" s="271" t="s">
        <v>5665</v>
      </c>
      <c r="G251" s="451"/>
      <c r="H251" s="451"/>
      <c r="I251" s="451"/>
      <c r="J251" s="451"/>
      <c r="K251" s="451"/>
      <c r="L251" s="451"/>
      <c r="M251" s="451"/>
      <c r="N251" s="451"/>
      <c r="O251" s="451"/>
      <c r="P251" s="451"/>
      <c r="Q251" s="451"/>
      <c r="R251" s="451"/>
      <c r="S251" s="451"/>
      <c r="T251" s="451"/>
      <c r="U251" s="451"/>
      <c r="V251" s="451"/>
      <c r="W251" s="451"/>
      <c r="X251" s="451"/>
      <c r="Y251" s="451"/>
      <c r="Z251" s="451"/>
      <c r="AA251" s="451"/>
      <c r="AB251" s="451"/>
      <c r="AC251" s="451"/>
      <c r="AD251" s="451"/>
    </row>
    <row r="252">
      <c r="A252" s="501" t="s">
        <v>2997</v>
      </c>
      <c r="B252" s="466" t="s">
        <v>5672</v>
      </c>
      <c r="C252" s="467" t="s">
        <v>5670</v>
      </c>
      <c r="D252" s="467" t="s">
        <v>5692</v>
      </c>
      <c r="E252" s="467" t="s">
        <v>5659</v>
      </c>
      <c r="F252" s="271" t="s">
        <v>5665</v>
      </c>
      <c r="G252" s="451"/>
      <c r="H252" s="451"/>
      <c r="I252" s="451"/>
      <c r="J252" s="451"/>
      <c r="K252" s="451"/>
      <c r="L252" s="451"/>
      <c r="M252" s="451"/>
      <c r="N252" s="451"/>
      <c r="O252" s="451"/>
      <c r="P252" s="451"/>
      <c r="Q252" s="451"/>
      <c r="R252" s="451"/>
      <c r="S252" s="451"/>
      <c r="T252" s="451"/>
      <c r="U252" s="451"/>
      <c r="V252" s="451"/>
      <c r="W252" s="451"/>
      <c r="X252" s="451"/>
      <c r="Y252" s="451"/>
      <c r="Z252" s="451"/>
      <c r="AA252" s="451"/>
      <c r="AB252" s="451"/>
      <c r="AC252" s="451"/>
      <c r="AD252" s="451"/>
    </row>
    <row r="253">
      <c r="A253" s="501" t="s">
        <v>5952</v>
      </c>
      <c r="B253" s="466" t="s">
        <v>5701</v>
      </c>
      <c r="C253" s="467" t="s">
        <v>5670</v>
      </c>
      <c r="D253" s="467" t="s">
        <v>5692</v>
      </c>
      <c r="E253" s="467" t="s">
        <v>5659</v>
      </c>
      <c r="F253" s="497" t="s">
        <v>2999</v>
      </c>
      <c r="G253" s="498">
        <v>2.0</v>
      </c>
      <c r="H253" s="497" t="s">
        <v>5660</v>
      </c>
      <c r="I253" s="497" t="s">
        <v>2740</v>
      </c>
      <c r="J253" s="497" t="s">
        <v>5953</v>
      </c>
      <c r="K253" s="497" t="s">
        <v>5786</v>
      </c>
      <c r="L253" s="498">
        <v>5.0</v>
      </c>
      <c r="M253" s="497" t="s">
        <v>5954</v>
      </c>
      <c r="N253" s="497" t="s">
        <v>5955</v>
      </c>
      <c r="O253" s="498">
        <v>835.0</v>
      </c>
      <c r="P253" s="497" t="s">
        <v>5956</v>
      </c>
      <c r="Q253" s="500"/>
      <c r="R253" s="500"/>
      <c r="S253" s="500"/>
      <c r="T253" s="500"/>
      <c r="U253" s="500"/>
      <c r="V253" s="500"/>
      <c r="W253" s="500"/>
      <c r="X253" s="500"/>
      <c r="Y253" s="500"/>
      <c r="Z253" s="500"/>
      <c r="AA253" s="500"/>
      <c r="AB253" s="500"/>
      <c r="AC253" s="500"/>
      <c r="AD253" s="500"/>
      <c r="AE253" s="497"/>
    </row>
    <row r="254">
      <c r="A254" s="501" t="s">
        <v>5957</v>
      </c>
      <c r="B254" s="466" t="s">
        <v>5946</v>
      </c>
      <c r="C254" s="467" t="s">
        <v>5671</v>
      </c>
      <c r="D254" s="467" t="s">
        <v>5705</v>
      </c>
      <c r="E254" s="467" t="s">
        <v>5659</v>
      </c>
      <c r="F254" s="497" t="s">
        <v>3006</v>
      </c>
      <c r="G254" s="498">
        <v>2.0</v>
      </c>
      <c r="H254" s="497" t="s">
        <v>5660</v>
      </c>
      <c r="I254" s="497" t="s">
        <v>2724</v>
      </c>
      <c r="J254" s="497" t="s">
        <v>5958</v>
      </c>
      <c r="K254" s="497" t="s">
        <v>5729</v>
      </c>
      <c r="L254" s="498">
        <v>6.0</v>
      </c>
      <c r="M254" s="497" t="s">
        <v>5828</v>
      </c>
      <c r="N254" s="497" t="s">
        <v>5959</v>
      </c>
      <c r="O254" s="498">
        <v>474.0</v>
      </c>
      <c r="P254" s="497" t="s">
        <v>5960</v>
      </c>
      <c r="Q254" s="500"/>
      <c r="R254" s="500"/>
      <c r="S254" s="500"/>
      <c r="T254" s="500"/>
      <c r="U254" s="500"/>
      <c r="V254" s="500"/>
      <c r="W254" s="500"/>
      <c r="X254" s="500"/>
      <c r="Y254" s="500"/>
      <c r="Z254" s="500"/>
      <c r="AA254" s="500"/>
      <c r="AB254" s="500"/>
      <c r="AC254" s="500"/>
      <c r="AD254" s="500"/>
      <c r="AE254" s="497"/>
    </row>
    <row r="255">
      <c r="A255" s="501" t="s">
        <v>3008</v>
      </c>
      <c r="B255" s="466" t="s">
        <v>5946</v>
      </c>
      <c r="C255" s="467" t="s">
        <v>5657</v>
      </c>
      <c r="D255" s="467" t="s">
        <v>5705</v>
      </c>
      <c r="E255" s="467" t="s">
        <v>5659</v>
      </c>
      <c r="F255" s="271" t="s">
        <v>5665</v>
      </c>
      <c r="G255" s="451"/>
      <c r="H255" s="451"/>
      <c r="I255" s="451"/>
      <c r="J255" s="451"/>
      <c r="K255" s="451"/>
      <c r="L255" s="451"/>
      <c r="M255" s="451"/>
      <c r="N255" s="451"/>
      <c r="O255" s="451"/>
      <c r="P255" s="451"/>
      <c r="Q255" s="451"/>
      <c r="R255" s="451"/>
      <c r="S255" s="451"/>
      <c r="T255" s="451"/>
      <c r="U255" s="451"/>
      <c r="V255" s="451"/>
      <c r="W255" s="451"/>
      <c r="X255" s="451"/>
      <c r="Y255" s="451"/>
      <c r="Z255" s="451"/>
      <c r="AA255" s="451"/>
      <c r="AB255" s="451"/>
      <c r="AC255" s="451"/>
      <c r="AD255" s="451"/>
    </row>
    <row r="256">
      <c r="A256" s="501" t="s">
        <v>3014</v>
      </c>
      <c r="B256" s="466" t="s">
        <v>5673</v>
      </c>
      <c r="C256" s="467" t="s">
        <v>5664</v>
      </c>
      <c r="D256" s="467" t="s">
        <v>5705</v>
      </c>
      <c r="E256" s="467" t="s">
        <v>5659</v>
      </c>
      <c r="F256" s="271" t="s">
        <v>5665</v>
      </c>
      <c r="G256" s="451"/>
      <c r="H256" s="451"/>
      <c r="I256" s="451"/>
      <c r="J256" s="451"/>
      <c r="K256" s="451"/>
      <c r="L256" s="451"/>
      <c r="M256" s="451"/>
      <c r="N256" s="451"/>
      <c r="O256" s="451"/>
      <c r="P256" s="451"/>
      <c r="Q256" s="451"/>
      <c r="R256" s="451"/>
      <c r="S256" s="451"/>
      <c r="T256" s="451"/>
      <c r="U256" s="451"/>
      <c r="V256" s="451"/>
      <c r="W256" s="451"/>
      <c r="X256" s="451"/>
      <c r="Y256" s="451"/>
      <c r="Z256" s="451"/>
      <c r="AA256" s="451"/>
      <c r="AB256" s="451"/>
      <c r="AC256" s="451"/>
      <c r="AD256" s="451"/>
    </row>
    <row r="257">
      <c r="A257" s="501" t="s">
        <v>5961</v>
      </c>
      <c r="B257" s="466" t="s">
        <v>5715</v>
      </c>
      <c r="C257" s="467" t="s">
        <v>5670</v>
      </c>
      <c r="D257" s="467" t="s">
        <v>5705</v>
      </c>
      <c r="E257" s="467" t="s">
        <v>5659</v>
      </c>
      <c r="F257" s="497" t="s">
        <v>3016</v>
      </c>
      <c r="G257" s="498">
        <v>2.0</v>
      </c>
      <c r="H257" s="497" t="s">
        <v>5660</v>
      </c>
      <c r="I257" s="497" t="s">
        <v>2707</v>
      </c>
      <c r="J257" s="497" t="s">
        <v>5962</v>
      </c>
      <c r="K257" s="497" t="s">
        <v>5786</v>
      </c>
      <c r="L257" s="498">
        <v>6.0</v>
      </c>
      <c r="M257" s="497" t="s">
        <v>5773</v>
      </c>
      <c r="N257" s="497" t="s">
        <v>5963</v>
      </c>
      <c r="O257" s="498">
        <v>293.0</v>
      </c>
      <c r="P257" s="497" t="s">
        <v>5964</v>
      </c>
      <c r="Q257" s="499"/>
      <c r="R257" s="500"/>
      <c r="S257" s="500"/>
      <c r="T257" s="500"/>
      <c r="U257" s="500"/>
      <c r="V257" s="500"/>
      <c r="W257" s="500"/>
      <c r="X257" s="500"/>
      <c r="Y257" s="500"/>
      <c r="Z257" s="500"/>
      <c r="AA257" s="500"/>
      <c r="AB257" s="500"/>
      <c r="AC257" s="500"/>
      <c r="AD257" s="500"/>
      <c r="AE257" s="497"/>
    </row>
    <row r="258">
      <c r="A258" s="501" t="s">
        <v>3022</v>
      </c>
      <c r="B258" s="466" t="s">
        <v>5666</v>
      </c>
      <c r="C258" s="467" t="s">
        <v>5667</v>
      </c>
      <c r="D258" s="467" t="s">
        <v>5705</v>
      </c>
      <c r="E258" s="467" t="s">
        <v>5659</v>
      </c>
      <c r="F258" s="271" t="s">
        <v>5665</v>
      </c>
      <c r="G258" s="451"/>
      <c r="H258" s="451"/>
      <c r="I258" s="451"/>
      <c r="J258" s="451"/>
      <c r="K258" s="451"/>
      <c r="L258" s="451"/>
      <c r="M258" s="451"/>
      <c r="N258" s="451"/>
      <c r="O258" s="451"/>
      <c r="P258" s="451"/>
      <c r="Q258" s="451"/>
      <c r="R258" s="451"/>
      <c r="S258" s="451"/>
      <c r="T258" s="451"/>
      <c r="U258" s="451"/>
      <c r="V258" s="451"/>
      <c r="W258" s="451"/>
      <c r="X258" s="451"/>
      <c r="Y258" s="451"/>
      <c r="Z258" s="451"/>
      <c r="AA258" s="451"/>
      <c r="AB258" s="451"/>
      <c r="AC258" s="451"/>
      <c r="AD258" s="451"/>
    </row>
    <row r="259">
      <c r="A259" s="501" t="s">
        <v>5965</v>
      </c>
      <c r="B259" s="466" t="s">
        <v>5701</v>
      </c>
      <c r="C259" s="467" t="s">
        <v>5670</v>
      </c>
      <c r="D259" s="467" t="s">
        <v>5705</v>
      </c>
      <c r="E259" s="467" t="s">
        <v>5659</v>
      </c>
      <c r="F259" s="494" t="s">
        <v>3024</v>
      </c>
      <c r="G259" s="510">
        <v>2.0</v>
      </c>
      <c r="H259" s="494" t="s">
        <v>5660</v>
      </c>
      <c r="I259" s="494" t="s">
        <v>2740</v>
      </c>
      <c r="J259" s="494" t="s">
        <v>5966</v>
      </c>
      <c r="K259" s="494" t="s">
        <v>5786</v>
      </c>
      <c r="L259" s="510">
        <v>6.0</v>
      </c>
      <c r="M259" s="494" t="s">
        <v>5954</v>
      </c>
      <c r="N259" s="494" t="s">
        <v>5967</v>
      </c>
      <c r="O259" s="510">
        <v>1417.0</v>
      </c>
      <c r="P259" s="494" t="s">
        <v>5968</v>
      </c>
      <c r="Q259" s="493"/>
      <c r="R259" s="493"/>
      <c r="S259" s="493"/>
      <c r="T259" s="493"/>
      <c r="U259" s="493"/>
      <c r="V259" s="493"/>
      <c r="W259" s="493"/>
      <c r="X259" s="493"/>
      <c r="Y259" s="493"/>
      <c r="Z259" s="493"/>
      <c r="AA259" s="493"/>
      <c r="AB259" s="493"/>
      <c r="AC259" s="493"/>
      <c r="AD259" s="493"/>
      <c r="AE259" s="494"/>
    </row>
    <row r="260">
      <c r="A260" s="501" t="s">
        <v>4942</v>
      </c>
      <c r="B260" s="466" t="s">
        <v>5656</v>
      </c>
      <c r="C260" s="467" t="s">
        <v>5681</v>
      </c>
      <c r="D260" s="467" t="s">
        <v>5716</v>
      </c>
      <c r="E260" s="467" t="s">
        <v>5659</v>
      </c>
      <c r="F260" s="502" t="s">
        <v>3035</v>
      </c>
      <c r="G260" s="503">
        <v>2.0</v>
      </c>
      <c r="H260" s="502" t="s">
        <v>5660</v>
      </c>
      <c r="I260" s="502" t="s">
        <v>2692</v>
      </c>
      <c r="J260" s="502" t="s">
        <v>5969</v>
      </c>
      <c r="K260" s="502" t="s">
        <v>5750</v>
      </c>
      <c r="L260" s="503">
        <v>7.0</v>
      </c>
      <c r="M260" s="502" t="s">
        <v>5970</v>
      </c>
      <c r="N260" s="502" t="s">
        <v>5971</v>
      </c>
      <c r="O260" s="503">
        <v>334.0</v>
      </c>
      <c r="P260" s="502" t="s">
        <v>5972</v>
      </c>
      <c r="Q260" s="504"/>
      <c r="R260" s="505"/>
      <c r="S260" s="505"/>
      <c r="T260" s="505"/>
      <c r="U260" s="505"/>
      <c r="V260" s="505"/>
      <c r="W260" s="505"/>
      <c r="X260" s="505"/>
      <c r="Y260" s="505"/>
      <c r="Z260" s="505"/>
      <c r="AA260" s="505"/>
      <c r="AB260" s="505"/>
      <c r="AC260" s="505"/>
      <c r="AD260" s="505"/>
      <c r="AE260" s="502"/>
    </row>
    <row r="261">
      <c r="A261" s="501" t="s">
        <v>3037</v>
      </c>
      <c r="B261" s="466" t="s">
        <v>5673</v>
      </c>
      <c r="C261" s="467" t="s">
        <v>5681</v>
      </c>
      <c r="D261" s="467" t="s">
        <v>5716</v>
      </c>
      <c r="E261" s="467" t="s">
        <v>5659</v>
      </c>
      <c r="F261" s="271" t="s">
        <v>5973</v>
      </c>
      <c r="G261" s="451"/>
      <c r="H261" s="451"/>
      <c r="I261" s="451"/>
      <c r="J261" s="451"/>
      <c r="K261" s="451"/>
      <c r="L261" s="451"/>
      <c r="M261" s="451"/>
      <c r="N261" s="451"/>
      <c r="O261" s="451"/>
      <c r="P261" s="451"/>
      <c r="Q261" s="451"/>
      <c r="R261" s="451"/>
      <c r="S261" s="451"/>
      <c r="T261" s="451"/>
      <c r="U261" s="451"/>
      <c r="V261" s="451"/>
      <c r="W261" s="451"/>
      <c r="X261" s="451"/>
      <c r="Y261" s="451"/>
      <c r="Z261" s="451"/>
      <c r="AA261" s="451"/>
      <c r="AB261" s="451"/>
      <c r="AC261" s="451"/>
      <c r="AD261" s="451"/>
    </row>
    <row r="262">
      <c r="A262" s="501" t="s">
        <v>4912</v>
      </c>
      <c r="B262" s="466" t="s">
        <v>5802</v>
      </c>
      <c r="C262" s="467" t="s">
        <v>5657</v>
      </c>
      <c r="D262" s="467" t="s">
        <v>5683</v>
      </c>
      <c r="E262" s="467" t="s">
        <v>5659</v>
      </c>
      <c r="F262" s="271" t="s">
        <v>5973</v>
      </c>
      <c r="G262" s="451"/>
      <c r="H262" s="451"/>
      <c r="I262" s="451"/>
      <c r="J262" s="451"/>
      <c r="K262" s="451"/>
      <c r="L262" s="451"/>
      <c r="M262" s="451"/>
      <c r="N262" s="451"/>
      <c r="O262" s="451"/>
      <c r="P262" s="451"/>
      <c r="Q262" s="451"/>
      <c r="R262" s="451"/>
      <c r="S262" s="451"/>
      <c r="T262" s="451"/>
      <c r="U262" s="451"/>
      <c r="V262" s="451"/>
      <c r="W262" s="451"/>
      <c r="X262" s="451"/>
      <c r="Y262" s="451"/>
      <c r="Z262" s="451"/>
      <c r="AA262" s="451"/>
      <c r="AB262" s="451"/>
      <c r="AC262" s="451"/>
      <c r="AD262" s="451"/>
    </row>
    <row r="263">
      <c r="A263" s="501" t="s">
        <v>4913</v>
      </c>
      <c r="B263" s="466" t="s">
        <v>5656</v>
      </c>
      <c r="C263" s="467" t="s">
        <v>5667</v>
      </c>
      <c r="D263" s="467" t="s">
        <v>5683</v>
      </c>
      <c r="E263" s="467" t="s">
        <v>5659</v>
      </c>
      <c r="F263" s="271" t="s">
        <v>5973</v>
      </c>
      <c r="G263" s="451"/>
      <c r="H263" s="451"/>
      <c r="I263" s="451"/>
      <c r="J263" s="451"/>
      <c r="K263" s="451"/>
      <c r="L263" s="451"/>
      <c r="M263" s="451"/>
      <c r="N263" s="451"/>
      <c r="O263" s="451"/>
      <c r="P263" s="451"/>
      <c r="Q263" s="451"/>
      <c r="R263" s="451"/>
      <c r="S263" s="451"/>
      <c r="T263" s="451"/>
      <c r="U263" s="451"/>
      <c r="V263" s="451"/>
      <c r="W263" s="451"/>
      <c r="X263" s="451"/>
      <c r="Y263" s="451"/>
      <c r="Z263" s="451"/>
      <c r="AA263" s="451"/>
      <c r="AB263" s="451"/>
      <c r="AC263" s="451"/>
      <c r="AD263" s="451"/>
    </row>
    <row r="264">
      <c r="A264" s="501" t="s">
        <v>4918</v>
      </c>
      <c r="B264" s="466" t="s">
        <v>5673</v>
      </c>
      <c r="C264" s="467" t="s">
        <v>5671</v>
      </c>
      <c r="D264" s="467" t="s">
        <v>5683</v>
      </c>
      <c r="E264" s="467" t="s">
        <v>5659</v>
      </c>
      <c r="F264" s="271" t="s">
        <v>5973</v>
      </c>
      <c r="G264" s="451"/>
      <c r="H264" s="451"/>
      <c r="I264" s="451"/>
      <c r="J264" s="451"/>
      <c r="K264" s="451"/>
      <c r="L264" s="451"/>
      <c r="M264" s="451"/>
      <c r="N264" s="451"/>
      <c r="O264" s="451"/>
      <c r="P264" s="451"/>
      <c r="Q264" s="451"/>
      <c r="R264" s="451"/>
      <c r="S264" s="451"/>
      <c r="T264" s="451"/>
      <c r="U264" s="451"/>
      <c r="V264" s="451"/>
      <c r="W264" s="451"/>
      <c r="X264" s="451"/>
      <c r="Y264" s="451"/>
      <c r="Z264" s="451"/>
      <c r="AA264" s="451"/>
      <c r="AB264" s="451"/>
      <c r="AC264" s="451"/>
      <c r="AD264" s="451"/>
    </row>
    <row r="265">
      <c r="A265" s="501" t="s">
        <v>4104</v>
      </c>
      <c r="B265" s="466" t="s">
        <v>5749</v>
      </c>
      <c r="C265" s="467" t="s">
        <v>5657</v>
      </c>
      <c r="D265" s="467" t="s">
        <v>5683</v>
      </c>
      <c r="E265" s="467" t="s">
        <v>5659</v>
      </c>
      <c r="F265" s="271" t="s">
        <v>5973</v>
      </c>
      <c r="G265" s="451"/>
      <c r="H265" s="451"/>
      <c r="I265" s="451"/>
      <c r="J265" s="451"/>
      <c r="K265" s="451"/>
      <c r="L265" s="451"/>
      <c r="M265" s="451"/>
      <c r="N265" s="451"/>
      <c r="O265" s="451"/>
      <c r="P265" s="451"/>
      <c r="Q265" s="451"/>
      <c r="R265" s="451"/>
      <c r="S265" s="451"/>
      <c r="T265" s="451"/>
      <c r="U265" s="451"/>
      <c r="V265" s="451"/>
      <c r="W265" s="451"/>
      <c r="X265" s="451"/>
      <c r="Y265" s="451"/>
      <c r="Z265" s="451"/>
      <c r="AA265" s="451"/>
      <c r="AB265" s="451"/>
      <c r="AC265" s="451"/>
      <c r="AD265" s="451"/>
    </row>
    <row r="266">
      <c r="A266" s="501" t="s">
        <v>4921</v>
      </c>
      <c r="B266" s="466" t="s">
        <v>5715</v>
      </c>
      <c r="C266" s="467" t="s">
        <v>5682</v>
      </c>
      <c r="D266" s="467" t="s">
        <v>5683</v>
      </c>
      <c r="E266" s="467" t="s">
        <v>5659</v>
      </c>
      <c r="F266" s="271" t="s">
        <v>5973</v>
      </c>
      <c r="G266" s="451"/>
      <c r="H266" s="451"/>
      <c r="I266" s="451"/>
      <c r="J266" s="451"/>
      <c r="K266" s="451"/>
      <c r="L266" s="451"/>
      <c r="M266" s="451"/>
      <c r="N266" s="451"/>
      <c r="O266" s="451"/>
      <c r="P266" s="451"/>
      <c r="Q266" s="451"/>
      <c r="R266" s="451"/>
      <c r="S266" s="451"/>
      <c r="T266" s="451"/>
      <c r="U266" s="451"/>
      <c r="V266" s="451"/>
      <c r="W266" s="451"/>
      <c r="X266" s="451"/>
      <c r="Y266" s="451"/>
      <c r="Z266" s="451"/>
      <c r="AA266" s="451"/>
      <c r="AB266" s="451"/>
      <c r="AC266" s="451"/>
      <c r="AD266" s="451"/>
    </row>
    <row r="267">
      <c r="A267" s="501" t="s">
        <v>4922</v>
      </c>
      <c r="B267" s="466" t="s">
        <v>5931</v>
      </c>
      <c r="C267" s="467" t="s">
        <v>5667</v>
      </c>
      <c r="D267" s="467" t="s">
        <v>5692</v>
      </c>
      <c r="E267" s="467" t="s">
        <v>5659</v>
      </c>
      <c r="F267" s="271" t="s">
        <v>5973</v>
      </c>
      <c r="G267" s="451"/>
      <c r="H267" s="451"/>
      <c r="I267" s="451"/>
      <c r="J267" s="451"/>
      <c r="K267" s="451"/>
      <c r="L267" s="451"/>
      <c r="M267" s="451"/>
      <c r="N267" s="451"/>
      <c r="O267" s="451"/>
      <c r="P267" s="451"/>
      <c r="Q267" s="451"/>
      <c r="R267" s="451"/>
      <c r="S267" s="451"/>
      <c r="T267" s="451"/>
      <c r="U267" s="451"/>
      <c r="V267" s="451"/>
      <c r="W267" s="451"/>
      <c r="X267" s="451"/>
      <c r="Y267" s="451"/>
      <c r="Z267" s="451"/>
      <c r="AA267" s="451"/>
      <c r="AB267" s="451"/>
      <c r="AC267" s="451"/>
      <c r="AD267" s="451"/>
    </row>
    <row r="268">
      <c r="A268" s="501" t="s">
        <v>4923</v>
      </c>
      <c r="B268" s="466" t="s">
        <v>5946</v>
      </c>
      <c r="C268" s="467" t="s">
        <v>5657</v>
      </c>
      <c r="D268" s="467" t="s">
        <v>5692</v>
      </c>
      <c r="E268" s="467" t="s">
        <v>5659</v>
      </c>
      <c r="F268" s="271" t="s">
        <v>5973</v>
      </c>
      <c r="G268" s="451"/>
      <c r="H268" s="451"/>
      <c r="I268" s="451"/>
      <c r="J268" s="451"/>
      <c r="K268" s="451"/>
      <c r="L268" s="451"/>
      <c r="M268" s="451"/>
      <c r="N268" s="451"/>
      <c r="O268" s="451"/>
      <c r="P268" s="451"/>
      <c r="Q268" s="451"/>
      <c r="R268" s="451"/>
      <c r="S268" s="451"/>
      <c r="T268" s="451"/>
      <c r="U268" s="451"/>
      <c r="V268" s="451"/>
      <c r="W268" s="451"/>
      <c r="X268" s="451"/>
      <c r="Y268" s="451"/>
      <c r="Z268" s="451"/>
      <c r="AA268" s="451"/>
      <c r="AB268" s="451"/>
      <c r="AC268" s="451"/>
      <c r="AD268" s="451"/>
    </row>
    <row r="269">
      <c r="A269" s="511" t="s">
        <v>1164</v>
      </c>
      <c r="B269" s="466" t="s">
        <v>5656</v>
      </c>
      <c r="C269" s="467" t="s">
        <v>5681</v>
      </c>
      <c r="D269" s="467" t="s">
        <v>5692</v>
      </c>
      <c r="E269" s="467" t="s">
        <v>5659</v>
      </c>
      <c r="F269" s="271" t="s">
        <v>5973</v>
      </c>
      <c r="G269" s="451"/>
      <c r="H269" s="451"/>
      <c r="I269" s="451"/>
      <c r="J269" s="451"/>
      <c r="K269" s="451"/>
      <c r="L269" s="451"/>
      <c r="M269" s="451"/>
      <c r="N269" s="451"/>
      <c r="O269" s="451"/>
      <c r="P269" s="451"/>
      <c r="Q269" s="451"/>
      <c r="R269" s="451"/>
      <c r="S269" s="451"/>
      <c r="T269" s="451"/>
      <c r="U269" s="451"/>
      <c r="V269" s="451"/>
      <c r="W269" s="451"/>
      <c r="X269" s="451"/>
      <c r="Y269" s="451"/>
      <c r="Z269" s="451"/>
      <c r="AA269" s="451"/>
      <c r="AB269" s="451"/>
      <c r="AC269" s="451"/>
      <c r="AD269" s="451"/>
    </row>
    <row r="270">
      <c r="A270" s="501" t="s">
        <v>4929</v>
      </c>
      <c r="B270" s="466" t="s">
        <v>5715</v>
      </c>
      <c r="C270" s="467" t="s">
        <v>5681</v>
      </c>
      <c r="D270" s="467" t="s">
        <v>5692</v>
      </c>
      <c r="E270" s="467" t="s">
        <v>5659</v>
      </c>
      <c r="F270" s="271" t="s">
        <v>5973</v>
      </c>
      <c r="G270" s="512"/>
      <c r="H270" s="513"/>
      <c r="I270" s="513"/>
      <c r="J270" s="513"/>
      <c r="K270" s="513"/>
      <c r="L270" s="512"/>
      <c r="M270" s="513"/>
      <c r="N270" s="513"/>
      <c r="O270" s="512"/>
      <c r="P270" s="513"/>
      <c r="Q270" s="514"/>
      <c r="R270" s="515"/>
      <c r="S270" s="515"/>
      <c r="T270" s="515"/>
      <c r="U270" s="515"/>
      <c r="V270" s="515"/>
      <c r="W270" s="515"/>
      <c r="X270" s="515"/>
      <c r="Y270" s="515"/>
      <c r="Z270" s="515"/>
      <c r="AA270" s="515"/>
      <c r="AB270" s="515"/>
      <c r="AC270" s="515"/>
      <c r="AD270" s="515"/>
      <c r="AE270" s="513"/>
    </row>
    <row r="271">
      <c r="A271" s="501" t="s">
        <v>4930</v>
      </c>
      <c r="B271" s="466" t="s">
        <v>5802</v>
      </c>
      <c r="C271" s="467" t="s">
        <v>5664</v>
      </c>
      <c r="D271" s="467" t="s">
        <v>5692</v>
      </c>
      <c r="E271" s="467" t="s">
        <v>5659</v>
      </c>
      <c r="F271" s="271" t="s">
        <v>5973</v>
      </c>
      <c r="G271" s="451"/>
      <c r="H271" s="451"/>
      <c r="I271" s="451"/>
      <c r="J271" s="451"/>
      <c r="K271" s="451"/>
      <c r="L271" s="451"/>
      <c r="M271" s="451"/>
      <c r="N271" s="451"/>
      <c r="O271" s="451"/>
      <c r="P271" s="451"/>
      <c r="Q271" s="451"/>
      <c r="R271" s="451"/>
      <c r="S271" s="451"/>
      <c r="T271" s="451"/>
      <c r="U271" s="451"/>
      <c r="V271" s="451"/>
      <c r="W271" s="451"/>
      <c r="X271" s="451"/>
      <c r="Y271" s="451"/>
      <c r="Z271" s="451"/>
      <c r="AA271" s="451"/>
      <c r="AB271" s="451"/>
      <c r="AC271" s="451"/>
      <c r="AD271" s="451"/>
    </row>
    <row r="272">
      <c r="A272" s="501" t="s">
        <v>4931</v>
      </c>
      <c r="B272" s="466" t="s">
        <v>5673</v>
      </c>
      <c r="C272" s="467" t="s">
        <v>5682</v>
      </c>
      <c r="D272" s="467" t="s">
        <v>5692</v>
      </c>
      <c r="E272" s="467" t="s">
        <v>5659</v>
      </c>
      <c r="F272" s="271" t="s">
        <v>5973</v>
      </c>
      <c r="G272" s="451"/>
      <c r="H272" s="451"/>
      <c r="I272" s="451"/>
      <c r="J272" s="451"/>
      <c r="K272" s="451"/>
      <c r="L272" s="451"/>
      <c r="M272" s="451"/>
      <c r="N272" s="451"/>
      <c r="O272" s="451"/>
      <c r="P272" s="451"/>
      <c r="Q272" s="451"/>
      <c r="R272" s="451"/>
      <c r="S272" s="451"/>
      <c r="T272" s="451"/>
      <c r="U272" s="451"/>
      <c r="V272" s="451"/>
      <c r="W272" s="451"/>
      <c r="X272" s="451"/>
      <c r="Y272" s="451"/>
      <c r="Z272" s="451"/>
      <c r="AA272" s="451"/>
      <c r="AB272" s="451"/>
      <c r="AC272" s="451"/>
      <c r="AD272" s="451"/>
    </row>
    <row r="273">
      <c r="A273" s="501" t="s">
        <v>4932</v>
      </c>
      <c r="B273" s="466" t="s">
        <v>5946</v>
      </c>
      <c r="C273" s="467" t="s">
        <v>5664</v>
      </c>
      <c r="D273" s="467" t="s">
        <v>5705</v>
      </c>
      <c r="E273" s="467" t="s">
        <v>5659</v>
      </c>
      <c r="F273" s="271" t="s">
        <v>5973</v>
      </c>
      <c r="G273" s="451"/>
      <c r="H273" s="451"/>
      <c r="I273" s="451"/>
      <c r="J273" s="451"/>
      <c r="K273" s="451"/>
      <c r="L273" s="451"/>
      <c r="M273" s="451"/>
      <c r="N273" s="451"/>
      <c r="O273" s="451"/>
      <c r="P273" s="451"/>
      <c r="Q273" s="451"/>
      <c r="R273" s="451"/>
      <c r="S273" s="451"/>
      <c r="T273" s="451"/>
      <c r="U273" s="451"/>
      <c r="V273" s="451"/>
      <c r="W273" s="451"/>
      <c r="X273" s="451"/>
      <c r="Y273" s="451"/>
      <c r="Z273" s="451"/>
      <c r="AA273" s="451"/>
      <c r="AB273" s="451"/>
      <c r="AC273" s="451"/>
      <c r="AD273" s="451"/>
    </row>
    <row r="274">
      <c r="A274" s="501" t="s">
        <v>4933</v>
      </c>
      <c r="B274" s="466" t="s">
        <v>5656</v>
      </c>
      <c r="C274" s="467" t="s">
        <v>5682</v>
      </c>
      <c r="D274" s="467" t="s">
        <v>5705</v>
      </c>
      <c r="E274" s="467" t="s">
        <v>5659</v>
      </c>
      <c r="F274" s="271" t="s">
        <v>5973</v>
      </c>
      <c r="G274" s="451"/>
      <c r="H274" s="451"/>
      <c r="I274" s="451"/>
      <c r="J274" s="451"/>
      <c r="K274" s="451"/>
      <c r="L274" s="451"/>
      <c r="M274" s="451"/>
      <c r="N274" s="451"/>
      <c r="O274" s="451"/>
      <c r="P274" s="451"/>
      <c r="Q274" s="451"/>
      <c r="R274" s="451"/>
      <c r="S274" s="451"/>
      <c r="T274" s="451"/>
      <c r="U274" s="451"/>
      <c r="V274" s="451"/>
      <c r="W274" s="451"/>
      <c r="X274" s="451"/>
      <c r="Y274" s="451"/>
      <c r="Z274" s="451"/>
      <c r="AA274" s="451"/>
      <c r="AB274" s="451"/>
      <c r="AC274" s="451"/>
      <c r="AD274" s="451"/>
    </row>
    <row r="275">
      <c r="A275" s="501" t="s">
        <v>4934</v>
      </c>
      <c r="B275" s="466" t="s">
        <v>5656</v>
      </c>
      <c r="C275" s="467" t="s">
        <v>5664</v>
      </c>
      <c r="D275" s="467" t="s">
        <v>5705</v>
      </c>
      <c r="E275" s="467" t="s">
        <v>5659</v>
      </c>
      <c r="F275" s="271" t="s">
        <v>5973</v>
      </c>
      <c r="G275" s="451"/>
      <c r="H275" s="451"/>
      <c r="I275" s="451"/>
      <c r="J275" s="451"/>
      <c r="K275" s="451"/>
      <c r="L275" s="451"/>
      <c r="M275" s="451"/>
      <c r="N275" s="451"/>
      <c r="O275" s="451"/>
      <c r="P275" s="451"/>
      <c r="Q275" s="451"/>
      <c r="R275" s="451"/>
      <c r="S275" s="451"/>
      <c r="T275" s="451"/>
      <c r="U275" s="451"/>
      <c r="V275" s="451"/>
      <c r="W275" s="451"/>
      <c r="X275" s="451"/>
      <c r="Y275" s="451"/>
      <c r="Z275" s="451"/>
      <c r="AA275" s="451"/>
      <c r="AB275" s="451"/>
      <c r="AC275" s="451"/>
      <c r="AD275" s="451"/>
    </row>
    <row r="276">
      <c r="A276" s="501" t="s">
        <v>4935</v>
      </c>
      <c r="B276" s="466" t="s">
        <v>5931</v>
      </c>
      <c r="C276" s="467" t="s">
        <v>5671</v>
      </c>
      <c r="D276" s="467" t="s">
        <v>5705</v>
      </c>
      <c r="E276" s="467" t="s">
        <v>5659</v>
      </c>
      <c r="F276" s="271" t="s">
        <v>5973</v>
      </c>
      <c r="G276" s="451"/>
      <c r="H276" s="451"/>
      <c r="I276" s="451"/>
      <c r="J276" s="451"/>
      <c r="K276" s="451"/>
      <c r="L276" s="451"/>
      <c r="M276" s="451"/>
      <c r="N276" s="451"/>
      <c r="O276" s="451"/>
      <c r="P276" s="451"/>
      <c r="Q276" s="451"/>
      <c r="R276" s="451"/>
      <c r="S276" s="451"/>
      <c r="T276" s="451"/>
      <c r="U276" s="451"/>
      <c r="V276" s="451"/>
      <c r="W276" s="451"/>
      <c r="X276" s="451"/>
      <c r="Y276" s="451"/>
      <c r="Z276" s="451"/>
      <c r="AA276" s="451"/>
      <c r="AB276" s="451"/>
      <c r="AC276" s="451"/>
      <c r="AD276" s="451"/>
    </row>
    <row r="277">
      <c r="A277" s="501" t="s">
        <v>4937</v>
      </c>
      <c r="B277" s="466" t="s">
        <v>5656</v>
      </c>
      <c r="C277" s="467" t="s">
        <v>5682</v>
      </c>
      <c r="D277" s="467" t="s">
        <v>5705</v>
      </c>
      <c r="E277" s="467" t="s">
        <v>5659</v>
      </c>
      <c r="F277" s="271" t="s">
        <v>5973</v>
      </c>
      <c r="G277" s="451"/>
      <c r="H277" s="451"/>
      <c r="I277" s="451"/>
      <c r="J277" s="451"/>
      <c r="K277" s="451"/>
      <c r="L277" s="451"/>
      <c r="M277" s="451"/>
      <c r="N277" s="451"/>
      <c r="O277" s="451"/>
      <c r="P277" s="451"/>
      <c r="Q277" s="451"/>
      <c r="R277" s="451"/>
      <c r="S277" s="451"/>
      <c r="T277" s="451"/>
      <c r="U277" s="451"/>
      <c r="V277" s="451"/>
      <c r="W277" s="451"/>
      <c r="X277" s="451"/>
      <c r="Y277" s="451"/>
      <c r="Z277" s="451"/>
      <c r="AA277" s="451"/>
      <c r="AB277" s="451"/>
      <c r="AC277" s="451"/>
      <c r="AD277" s="451"/>
    </row>
    <row r="278">
      <c r="A278" s="501" t="s">
        <v>4938</v>
      </c>
      <c r="B278" s="466" t="s">
        <v>5749</v>
      </c>
      <c r="C278" s="467" t="s">
        <v>5657</v>
      </c>
      <c r="D278" s="467" t="s">
        <v>5705</v>
      </c>
      <c r="E278" s="467" t="s">
        <v>5659</v>
      </c>
      <c r="F278" s="271" t="s">
        <v>5973</v>
      </c>
      <c r="G278" s="451"/>
      <c r="H278" s="451"/>
      <c r="I278" s="451"/>
      <c r="J278" s="451"/>
      <c r="K278" s="451"/>
      <c r="L278" s="451"/>
      <c r="M278" s="451"/>
      <c r="N278" s="451"/>
      <c r="O278" s="451"/>
      <c r="P278" s="451"/>
      <c r="Q278" s="451"/>
      <c r="R278" s="451"/>
      <c r="S278" s="451"/>
      <c r="T278" s="451"/>
      <c r="U278" s="451"/>
      <c r="V278" s="451"/>
      <c r="W278" s="451"/>
      <c r="X278" s="451"/>
      <c r="Y278" s="451"/>
      <c r="Z278" s="451"/>
      <c r="AA278" s="451"/>
      <c r="AB278" s="451"/>
      <c r="AC278" s="451"/>
      <c r="AD278" s="451"/>
    </row>
    <row r="279">
      <c r="A279" s="501" t="s">
        <v>4939</v>
      </c>
      <c r="B279" s="466" t="s">
        <v>5715</v>
      </c>
      <c r="C279" s="467" t="s">
        <v>5671</v>
      </c>
      <c r="D279" s="467" t="s">
        <v>5705</v>
      </c>
      <c r="E279" s="467" t="s">
        <v>5659</v>
      </c>
      <c r="F279" s="271" t="s">
        <v>5973</v>
      </c>
      <c r="G279" s="506"/>
      <c r="H279" s="507"/>
      <c r="I279" s="507"/>
      <c r="J279" s="507"/>
      <c r="K279" s="507"/>
      <c r="L279" s="506"/>
      <c r="M279" s="507"/>
      <c r="N279" s="507"/>
      <c r="O279" s="506"/>
      <c r="P279" s="507"/>
      <c r="Q279" s="508"/>
      <c r="R279" s="509"/>
      <c r="S279" s="509"/>
      <c r="T279" s="509"/>
      <c r="U279" s="509"/>
      <c r="V279" s="509"/>
      <c r="W279" s="509"/>
      <c r="X279" s="509"/>
      <c r="Y279" s="509"/>
      <c r="Z279" s="509"/>
      <c r="AA279" s="509"/>
      <c r="AB279" s="509"/>
      <c r="AC279" s="509"/>
      <c r="AD279" s="509"/>
      <c r="AE279" s="507"/>
    </row>
    <row r="280">
      <c r="A280" s="501" t="s">
        <v>4940</v>
      </c>
      <c r="B280" s="466" t="s">
        <v>5701</v>
      </c>
      <c r="C280" s="467" t="s">
        <v>5682</v>
      </c>
      <c r="D280" s="467" t="s">
        <v>5716</v>
      </c>
      <c r="E280" s="467" t="s">
        <v>5659</v>
      </c>
      <c r="F280" s="502" t="s">
        <v>5974</v>
      </c>
      <c r="G280" s="503">
        <v>2.0</v>
      </c>
      <c r="H280" s="502" t="s">
        <v>5660</v>
      </c>
      <c r="I280" s="502" t="s">
        <v>2740</v>
      </c>
      <c r="J280" s="502" t="s">
        <v>5975</v>
      </c>
      <c r="K280" s="502" t="s">
        <v>5721</v>
      </c>
      <c r="L280" s="503">
        <v>7.0</v>
      </c>
      <c r="M280" s="502" t="s">
        <v>5879</v>
      </c>
      <c r="N280" s="502" t="s">
        <v>5976</v>
      </c>
      <c r="O280" s="503">
        <v>315.0</v>
      </c>
      <c r="P280" s="502" t="s">
        <v>5977</v>
      </c>
      <c r="Q280" s="505"/>
      <c r="R280" s="505"/>
      <c r="S280" s="505"/>
      <c r="T280" s="505"/>
      <c r="U280" s="505"/>
      <c r="V280" s="505"/>
      <c r="W280" s="505"/>
      <c r="X280" s="505"/>
      <c r="Y280" s="505"/>
      <c r="Z280" s="505"/>
      <c r="AA280" s="505"/>
      <c r="AB280" s="505"/>
      <c r="AC280" s="505"/>
      <c r="AD280" s="505"/>
      <c r="AE280" s="502"/>
    </row>
    <row r="281">
      <c r="A281" s="501" t="s">
        <v>4943</v>
      </c>
      <c r="B281" s="466" t="s">
        <v>5802</v>
      </c>
      <c r="C281" s="467" t="s">
        <v>5671</v>
      </c>
      <c r="D281" s="467" t="s">
        <v>5716</v>
      </c>
      <c r="E281" s="467" t="s">
        <v>5659</v>
      </c>
      <c r="F281" s="271" t="s">
        <v>5973</v>
      </c>
      <c r="G281" s="451"/>
      <c r="H281" s="451"/>
      <c r="I281" s="451"/>
      <c r="J281" s="451"/>
      <c r="K281" s="451"/>
      <c r="L281" s="451"/>
      <c r="M281" s="451"/>
      <c r="N281" s="451"/>
      <c r="O281" s="451"/>
      <c r="P281" s="451"/>
      <c r="Q281" s="451"/>
      <c r="R281" s="451"/>
      <c r="S281" s="451"/>
      <c r="T281" s="451"/>
      <c r="U281" s="451"/>
      <c r="V281" s="451"/>
      <c r="W281" s="451"/>
      <c r="X281" s="451"/>
      <c r="Y281" s="451"/>
      <c r="Z281" s="451"/>
      <c r="AA281" s="451"/>
      <c r="AB281" s="451"/>
      <c r="AC281" s="451"/>
      <c r="AD281" s="451"/>
    </row>
    <row r="282">
      <c r="A282" s="501" t="s">
        <v>4946</v>
      </c>
      <c r="B282" s="466" t="s">
        <v>5656</v>
      </c>
      <c r="C282" s="467" t="s">
        <v>5664</v>
      </c>
      <c r="D282" s="467" t="s">
        <v>5716</v>
      </c>
      <c r="E282" s="467" t="s">
        <v>5659</v>
      </c>
      <c r="F282" s="271" t="s">
        <v>5973</v>
      </c>
      <c r="G282" s="451"/>
      <c r="H282" s="451"/>
      <c r="I282" s="451"/>
      <c r="J282" s="451"/>
      <c r="K282" s="451"/>
      <c r="L282" s="451"/>
      <c r="M282" s="451"/>
      <c r="N282" s="451"/>
      <c r="O282" s="451"/>
      <c r="P282" s="451"/>
      <c r="Q282" s="451"/>
      <c r="R282" s="451"/>
      <c r="S282" s="451"/>
      <c r="T282" s="451"/>
      <c r="U282" s="451"/>
      <c r="V282" s="451"/>
      <c r="W282" s="451"/>
      <c r="X282" s="451"/>
      <c r="Y282" s="451"/>
      <c r="Z282" s="451"/>
      <c r="AA282" s="451"/>
      <c r="AB282" s="451"/>
      <c r="AC282" s="451"/>
      <c r="AD282" s="451"/>
    </row>
    <row r="283">
      <c r="A283" s="461" t="s">
        <v>5978</v>
      </c>
      <c r="B283" s="466" t="s">
        <v>5656</v>
      </c>
      <c r="C283" s="467" t="s">
        <v>5682</v>
      </c>
      <c r="D283" s="467" t="s">
        <v>5683</v>
      </c>
      <c r="E283" s="467" t="s">
        <v>5727</v>
      </c>
      <c r="F283" s="497" t="s">
        <v>550</v>
      </c>
      <c r="G283" s="498">
        <v>2.0</v>
      </c>
      <c r="H283" s="497" t="s">
        <v>5728</v>
      </c>
      <c r="I283" s="497" t="s">
        <v>2692</v>
      </c>
      <c r="J283" s="497" t="s">
        <v>1498</v>
      </c>
      <c r="K283" s="497" t="s">
        <v>5721</v>
      </c>
      <c r="L283" s="498">
        <v>4.0</v>
      </c>
      <c r="M283" s="497" t="s">
        <v>5854</v>
      </c>
      <c r="N283" s="497" t="s">
        <v>5979</v>
      </c>
      <c r="O283" s="498">
        <v>552.0</v>
      </c>
      <c r="P283" s="497" t="s">
        <v>5980</v>
      </c>
      <c r="Q283" s="499"/>
      <c r="R283" s="500"/>
      <c r="S283" s="500"/>
      <c r="T283" s="500"/>
      <c r="U283" s="500"/>
      <c r="V283" s="500"/>
      <c r="W283" s="500"/>
      <c r="X283" s="500"/>
      <c r="Y283" s="500"/>
      <c r="Z283" s="500"/>
      <c r="AA283" s="500"/>
      <c r="AB283" s="500"/>
      <c r="AC283" s="500"/>
      <c r="AD283" s="500"/>
      <c r="AE283" s="497"/>
    </row>
    <row r="284">
      <c r="A284" s="461" t="s">
        <v>5981</v>
      </c>
      <c r="B284" s="466" t="s">
        <v>5749</v>
      </c>
      <c r="C284" s="467" t="s">
        <v>5664</v>
      </c>
      <c r="D284" s="467" t="s">
        <v>5683</v>
      </c>
      <c r="E284" s="467" t="s">
        <v>5727</v>
      </c>
      <c r="F284" s="497" t="s">
        <v>552</v>
      </c>
      <c r="G284" s="498">
        <v>2.0</v>
      </c>
      <c r="H284" s="497" t="s">
        <v>5728</v>
      </c>
      <c r="I284" s="497" t="s">
        <v>2715</v>
      </c>
      <c r="J284" s="497" t="s">
        <v>5982</v>
      </c>
      <c r="K284" s="516" t="s">
        <v>5754</v>
      </c>
      <c r="L284" s="498">
        <v>4.0</v>
      </c>
      <c r="M284" s="497" t="s">
        <v>5983</v>
      </c>
      <c r="N284" s="497" t="s">
        <v>5984</v>
      </c>
      <c r="O284" s="498">
        <v>202.0</v>
      </c>
      <c r="P284" s="497" t="s">
        <v>5985</v>
      </c>
      <c r="Q284" s="499"/>
      <c r="R284" s="500"/>
      <c r="S284" s="500"/>
      <c r="T284" s="500"/>
      <c r="U284" s="500"/>
      <c r="V284" s="500"/>
      <c r="W284" s="500"/>
      <c r="X284" s="500"/>
      <c r="Y284" s="500"/>
      <c r="Z284" s="500"/>
      <c r="AA284" s="500"/>
      <c r="AB284" s="500"/>
      <c r="AC284" s="500"/>
      <c r="AD284" s="500"/>
      <c r="AE284" s="497"/>
    </row>
    <row r="285">
      <c r="A285" s="461" t="s">
        <v>560</v>
      </c>
      <c r="B285" s="466" t="s">
        <v>5656</v>
      </c>
      <c r="C285" s="467" t="s">
        <v>5671</v>
      </c>
      <c r="D285" s="467" t="s">
        <v>5683</v>
      </c>
      <c r="E285" s="467" t="s">
        <v>5727</v>
      </c>
      <c r="F285" s="271" t="s">
        <v>5665</v>
      </c>
      <c r="G285" s="451"/>
      <c r="H285" s="451"/>
      <c r="I285" s="451"/>
      <c r="J285" s="451"/>
      <c r="K285" s="451"/>
      <c r="L285" s="451"/>
      <c r="M285" s="451"/>
      <c r="N285" s="451"/>
      <c r="O285" s="451"/>
      <c r="P285" s="451"/>
      <c r="Q285" s="451"/>
      <c r="R285" s="451"/>
      <c r="S285" s="451"/>
      <c r="T285" s="451"/>
      <c r="U285" s="451"/>
      <c r="V285" s="451"/>
      <c r="W285" s="451"/>
      <c r="X285" s="451"/>
      <c r="Y285" s="451"/>
      <c r="Z285" s="451"/>
      <c r="AA285" s="451"/>
      <c r="AB285" s="451"/>
      <c r="AC285" s="451"/>
      <c r="AD285" s="451"/>
    </row>
    <row r="286">
      <c r="A286" s="461" t="s">
        <v>562</v>
      </c>
      <c r="B286" s="466" t="s">
        <v>5666</v>
      </c>
      <c r="C286" s="467" t="s">
        <v>5671</v>
      </c>
      <c r="D286" s="467" t="s">
        <v>5683</v>
      </c>
      <c r="E286" s="467" t="s">
        <v>5727</v>
      </c>
      <c r="F286" s="271" t="s">
        <v>5665</v>
      </c>
      <c r="G286" s="451"/>
      <c r="H286" s="451"/>
      <c r="I286" s="451"/>
      <c r="J286" s="451"/>
      <c r="K286" s="451"/>
      <c r="L286" s="451"/>
      <c r="M286" s="451"/>
      <c r="N286" s="451"/>
      <c r="O286" s="451"/>
      <c r="P286" s="451"/>
      <c r="Q286" s="451"/>
      <c r="R286" s="451"/>
      <c r="S286" s="451"/>
      <c r="T286" s="451"/>
      <c r="U286" s="451"/>
      <c r="V286" s="451"/>
      <c r="W286" s="451"/>
      <c r="X286" s="451"/>
      <c r="Y286" s="451"/>
      <c r="Z286" s="451"/>
      <c r="AA286" s="451"/>
      <c r="AB286" s="451"/>
      <c r="AC286" s="451"/>
      <c r="AD286" s="451"/>
    </row>
    <row r="287">
      <c r="A287" s="461" t="s">
        <v>5986</v>
      </c>
      <c r="B287" s="466" t="s">
        <v>5931</v>
      </c>
      <c r="C287" s="467" t="s">
        <v>5682</v>
      </c>
      <c r="D287" s="467" t="s">
        <v>5683</v>
      </c>
      <c r="E287" s="467" t="s">
        <v>5727</v>
      </c>
      <c r="F287" s="404" t="s">
        <v>563</v>
      </c>
      <c r="G287" s="468">
        <v>2.0</v>
      </c>
      <c r="H287" s="404" t="s">
        <v>5728</v>
      </c>
      <c r="I287" s="404" t="s">
        <v>2709</v>
      </c>
      <c r="J287" s="469">
        <v>43577.0</v>
      </c>
      <c r="K287" s="404" t="s">
        <v>5721</v>
      </c>
      <c r="L287" s="468">
        <v>4.0</v>
      </c>
      <c r="M287" s="404" t="s">
        <v>5987</v>
      </c>
      <c r="N287" s="404" t="s">
        <v>5988</v>
      </c>
      <c r="O287" s="468">
        <v>299.0</v>
      </c>
      <c r="P287" s="470" t="s">
        <v>5989</v>
      </c>
      <c r="Q287" s="404"/>
      <c r="R287" s="451"/>
      <c r="S287" s="451"/>
      <c r="T287" s="451"/>
      <c r="U287" s="451"/>
      <c r="V287" s="451"/>
      <c r="W287" s="451"/>
      <c r="X287" s="451"/>
      <c r="Y287" s="451"/>
      <c r="Z287" s="451"/>
      <c r="AA287" s="451"/>
      <c r="AB287" s="451"/>
      <c r="AC287" s="451"/>
      <c r="AD287" s="451"/>
    </row>
    <row r="288">
      <c r="A288" s="495" t="s">
        <v>1254</v>
      </c>
      <c r="B288" s="466" t="s">
        <v>5672</v>
      </c>
      <c r="C288" s="467" t="s">
        <v>5682</v>
      </c>
      <c r="D288" s="467" t="s">
        <v>5668</v>
      </c>
      <c r="E288" s="467" t="s">
        <v>5727</v>
      </c>
      <c r="F288" s="271" t="s">
        <v>5665</v>
      </c>
      <c r="G288" s="451"/>
      <c r="H288" s="451"/>
      <c r="I288" s="451"/>
      <c r="J288" s="451"/>
      <c r="K288" s="451"/>
      <c r="L288" s="451"/>
      <c r="M288" s="451"/>
      <c r="N288" s="451"/>
      <c r="O288" s="451"/>
      <c r="P288" s="451"/>
      <c r="Q288" s="451"/>
      <c r="R288" s="451"/>
      <c r="S288" s="451"/>
      <c r="T288" s="451"/>
      <c r="U288" s="451"/>
      <c r="V288" s="451"/>
      <c r="W288" s="451"/>
      <c r="X288" s="451"/>
      <c r="Y288" s="451"/>
      <c r="Z288" s="451"/>
      <c r="AA288" s="451"/>
      <c r="AB288" s="451"/>
      <c r="AC288" s="451"/>
      <c r="AD288" s="451"/>
    </row>
    <row r="289">
      <c r="A289" s="495" t="s">
        <v>1255</v>
      </c>
      <c r="B289" s="466" t="s">
        <v>5749</v>
      </c>
      <c r="C289" s="467" t="s">
        <v>5681</v>
      </c>
      <c r="D289" s="467" t="s">
        <v>5668</v>
      </c>
      <c r="E289" s="467" t="s">
        <v>5727</v>
      </c>
      <c r="F289" s="271" t="s">
        <v>5665</v>
      </c>
      <c r="G289" s="451"/>
      <c r="H289" s="451"/>
      <c r="I289" s="451"/>
      <c r="J289" s="451"/>
      <c r="K289" s="451"/>
      <c r="L289" s="451"/>
      <c r="M289" s="451"/>
      <c r="N289" s="451"/>
      <c r="O289" s="451"/>
      <c r="P289" s="451"/>
      <c r="Q289" s="451"/>
      <c r="R289" s="451"/>
      <c r="S289" s="451"/>
      <c r="T289" s="451"/>
      <c r="U289" s="451"/>
      <c r="V289" s="451"/>
      <c r="W289" s="451"/>
      <c r="X289" s="451"/>
      <c r="Y289" s="451"/>
      <c r="Z289" s="451"/>
      <c r="AA289" s="451"/>
      <c r="AB289" s="451"/>
      <c r="AC289" s="451"/>
      <c r="AD289" s="451"/>
    </row>
    <row r="290">
      <c r="A290" s="495" t="s">
        <v>513</v>
      </c>
      <c r="B290" s="466" t="s">
        <v>5946</v>
      </c>
      <c r="C290" s="467" t="s">
        <v>5664</v>
      </c>
      <c r="D290" s="467" t="s">
        <v>5675</v>
      </c>
      <c r="E290" s="467" t="s">
        <v>5727</v>
      </c>
      <c r="F290" s="502" t="s">
        <v>1261</v>
      </c>
      <c r="G290" s="503">
        <v>2.0</v>
      </c>
      <c r="H290" s="502" t="s">
        <v>5728</v>
      </c>
      <c r="I290" s="502" t="s">
        <v>2724</v>
      </c>
      <c r="J290" s="502" t="s">
        <v>1262</v>
      </c>
      <c r="K290" s="502" t="s">
        <v>5754</v>
      </c>
      <c r="L290" s="503">
        <v>3.0</v>
      </c>
      <c r="M290" s="502" t="s">
        <v>5722</v>
      </c>
      <c r="N290" s="502" t="s">
        <v>5990</v>
      </c>
      <c r="O290" s="503">
        <v>343.0</v>
      </c>
      <c r="P290" s="502" t="s">
        <v>5991</v>
      </c>
      <c r="Q290" s="504"/>
      <c r="R290" s="505"/>
      <c r="S290" s="505"/>
      <c r="T290" s="505"/>
      <c r="U290" s="505"/>
      <c r="V290" s="505"/>
      <c r="W290" s="505"/>
      <c r="X290" s="505"/>
      <c r="Y290" s="505"/>
      <c r="Z290" s="505"/>
      <c r="AA290" s="505"/>
      <c r="AB290" s="505"/>
      <c r="AC290" s="505"/>
      <c r="AD290" s="505"/>
      <c r="AE290" s="502"/>
    </row>
    <row r="291">
      <c r="A291" s="495" t="s">
        <v>5992</v>
      </c>
      <c r="B291" s="466" t="s">
        <v>5673</v>
      </c>
      <c r="C291" s="467" t="s">
        <v>5657</v>
      </c>
      <c r="D291" s="467" t="s">
        <v>5675</v>
      </c>
      <c r="E291" s="467" t="s">
        <v>5727</v>
      </c>
      <c r="F291" s="497" t="s">
        <v>1271</v>
      </c>
      <c r="G291" s="498">
        <v>2.0</v>
      </c>
      <c r="H291" s="497" t="s">
        <v>5728</v>
      </c>
      <c r="I291" s="497" t="s">
        <v>2704</v>
      </c>
      <c r="J291" s="497" t="s">
        <v>1272</v>
      </c>
      <c r="K291" s="497" t="s">
        <v>5711</v>
      </c>
      <c r="L291" s="498">
        <v>3.0</v>
      </c>
      <c r="M291" s="497" t="s">
        <v>5993</v>
      </c>
      <c r="N291" s="497" t="s">
        <v>5994</v>
      </c>
      <c r="O291" s="498">
        <v>700.0</v>
      </c>
      <c r="P291" s="497" t="s">
        <v>5995</v>
      </c>
      <c r="Q291" s="499"/>
      <c r="R291" s="500"/>
      <c r="S291" s="500"/>
      <c r="T291" s="500"/>
      <c r="U291" s="500"/>
      <c r="V291" s="500"/>
      <c r="W291" s="500"/>
      <c r="X291" s="500"/>
      <c r="Y291" s="500"/>
      <c r="Z291" s="500"/>
      <c r="AA291" s="500"/>
      <c r="AB291" s="500"/>
      <c r="AC291" s="500"/>
      <c r="AD291" s="500"/>
      <c r="AE291" s="497"/>
    </row>
    <row r="292">
      <c r="A292" s="495" t="s">
        <v>5996</v>
      </c>
      <c r="B292" s="466" t="s">
        <v>5701</v>
      </c>
      <c r="C292" s="467" t="s">
        <v>5657</v>
      </c>
      <c r="D292" s="467" t="s">
        <v>5683</v>
      </c>
      <c r="E292" s="467" t="s">
        <v>5727</v>
      </c>
      <c r="F292" s="497" t="s">
        <v>1282</v>
      </c>
      <c r="G292" s="498">
        <v>2.0</v>
      </c>
      <c r="H292" s="497" t="s">
        <v>5728</v>
      </c>
      <c r="I292" s="497" t="s">
        <v>2740</v>
      </c>
      <c r="J292" s="497" t="s">
        <v>1283</v>
      </c>
      <c r="K292" s="497" t="s">
        <v>5711</v>
      </c>
      <c r="L292" s="498">
        <v>4.0</v>
      </c>
      <c r="M292" s="497" t="s">
        <v>5997</v>
      </c>
      <c r="N292" s="497" t="s">
        <v>5998</v>
      </c>
      <c r="O292" s="498">
        <v>197.0</v>
      </c>
      <c r="P292" s="497" t="s">
        <v>5999</v>
      </c>
      <c r="Q292" s="500"/>
      <c r="R292" s="500"/>
      <c r="S292" s="500"/>
      <c r="T292" s="500"/>
      <c r="U292" s="500"/>
      <c r="V292" s="500"/>
      <c r="W292" s="500"/>
      <c r="X292" s="500"/>
      <c r="Y292" s="500"/>
      <c r="Z292" s="500"/>
      <c r="AA292" s="500"/>
      <c r="AB292" s="500"/>
      <c r="AC292" s="500"/>
      <c r="AD292" s="500"/>
      <c r="AE292" s="497"/>
    </row>
    <row r="293">
      <c r="A293" s="495" t="s">
        <v>6000</v>
      </c>
      <c r="B293" s="466" t="s">
        <v>5715</v>
      </c>
      <c r="C293" s="467" t="s">
        <v>5682</v>
      </c>
      <c r="D293" s="467" t="s">
        <v>5683</v>
      </c>
      <c r="E293" s="467" t="s">
        <v>5727</v>
      </c>
      <c r="F293" s="502" t="s">
        <v>1289</v>
      </c>
      <c r="G293" s="503">
        <v>2.0</v>
      </c>
      <c r="H293" s="502" t="s">
        <v>5728</v>
      </c>
      <c r="I293" s="502" t="s">
        <v>2707</v>
      </c>
      <c r="J293" s="502" t="s">
        <v>6001</v>
      </c>
      <c r="K293" s="502" t="s">
        <v>5721</v>
      </c>
      <c r="L293" s="503">
        <v>4.0</v>
      </c>
      <c r="M293" s="502" t="s">
        <v>6002</v>
      </c>
      <c r="N293" s="502" t="s">
        <v>6003</v>
      </c>
      <c r="O293" s="503">
        <v>466.0</v>
      </c>
      <c r="P293" s="502" t="s">
        <v>6004</v>
      </c>
      <c r="Q293" s="504"/>
      <c r="R293" s="505"/>
      <c r="S293" s="505"/>
      <c r="T293" s="505"/>
      <c r="U293" s="505"/>
      <c r="V293" s="505"/>
      <c r="W293" s="505"/>
      <c r="X293" s="505"/>
      <c r="Y293" s="505"/>
      <c r="Z293" s="505"/>
      <c r="AA293" s="505"/>
      <c r="AB293" s="505"/>
      <c r="AC293" s="505"/>
      <c r="AD293" s="505"/>
      <c r="AE293" s="502"/>
    </row>
    <row r="294">
      <c r="A294" s="495" t="s">
        <v>5863</v>
      </c>
      <c r="B294" s="466" t="s">
        <v>5672</v>
      </c>
      <c r="C294" s="467" t="s">
        <v>5682</v>
      </c>
      <c r="D294" s="467" t="s">
        <v>5683</v>
      </c>
      <c r="E294" s="467" t="s">
        <v>5727</v>
      </c>
      <c r="F294" s="271" t="s">
        <v>5665</v>
      </c>
      <c r="G294" s="451"/>
      <c r="H294" s="451"/>
      <c r="I294" s="451"/>
      <c r="J294" s="451"/>
      <c r="K294" s="451"/>
      <c r="L294" s="451"/>
      <c r="M294" s="451"/>
      <c r="N294" s="451"/>
      <c r="O294" s="451"/>
      <c r="P294" s="451"/>
      <c r="Q294" s="451"/>
      <c r="R294" s="451"/>
      <c r="S294" s="451"/>
      <c r="T294" s="451"/>
      <c r="U294" s="451"/>
      <c r="V294" s="451"/>
      <c r="W294" s="451"/>
      <c r="X294" s="451"/>
      <c r="Y294" s="451"/>
      <c r="Z294" s="451"/>
      <c r="AA294" s="451"/>
      <c r="AB294" s="451"/>
      <c r="AC294" s="451"/>
      <c r="AD294" s="451"/>
    </row>
    <row r="295">
      <c r="A295" s="495" t="s">
        <v>1301</v>
      </c>
      <c r="B295" s="466" t="s">
        <v>5946</v>
      </c>
      <c r="C295" s="467" t="s">
        <v>5664</v>
      </c>
      <c r="D295" s="467" t="s">
        <v>5683</v>
      </c>
      <c r="E295" s="467" t="s">
        <v>5727</v>
      </c>
      <c r="F295" s="271" t="s">
        <v>5665</v>
      </c>
      <c r="G295" s="451"/>
      <c r="H295" s="451"/>
      <c r="I295" s="451"/>
      <c r="J295" s="451"/>
      <c r="K295" s="451"/>
      <c r="L295" s="451"/>
      <c r="M295" s="451"/>
      <c r="N295" s="451"/>
      <c r="O295" s="451"/>
      <c r="P295" s="451"/>
      <c r="Q295" s="451"/>
      <c r="R295" s="451"/>
      <c r="S295" s="451"/>
      <c r="T295" s="451"/>
      <c r="U295" s="451"/>
      <c r="V295" s="451"/>
      <c r="W295" s="451"/>
      <c r="X295" s="451"/>
      <c r="Y295" s="451"/>
      <c r="Z295" s="451"/>
      <c r="AA295" s="451"/>
      <c r="AB295" s="451"/>
      <c r="AC295" s="451"/>
      <c r="AD295" s="451"/>
    </row>
    <row r="296">
      <c r="A296" s="495" t="s">
        <v>6005</v>
      </c>
      <c r="B296" s="466" t="s">
        <v>5673</v>
      </c>
      <c r="C296" s="467" t="s">
        <v>5670</v>
      </c>
      <c r="D296" s="467" t="s">
        <v>5683</v>
      </c>
      <c r="E296" s="467" t="s">
        <v>5727</v>
      </c>
      <c r="F296" s="497" t="s">
        <v>1302</v>
      </c>
      <c r="G296" s="498">
        <v>2.0</v>
      </c>
      <c r="H296" s="497" t="s">
        <v>5728</v>
      </c>
      <c r="I296" s="497" t="s">
        <v>2704</v>
      </c>
      <c r="J296" s="497" t="s">
        <v>1303</v>
      </c>
      <c r="K296" s="497" t="s">
        <v>5786</v>
      </c>
      <c r="L296" s="498">
        <v>4.0</v>
      </c>
      <c r="M296" s="497" t="s">
        <v>5839</v>
      </c>
      <c r="N296" s="497" t="s">
        <v>6006</v>
      </c>
      <c r="O296" s="498">
        <v>784.0</v>
      </c>
      <c r="P296" s="497" t="s">
        <v>6007</v>
      </c>
      <c r="Q296" s="499"/>
      <c r="R296" s="500"/>
      <c r="S296" s="500"/>
      <c r="T296" s="500"/>
      <c r="U296" s="500"/>
      <c r="V296" s="500"/>
      <c r="W296" s="500"/>
      <c r="X296" s="500"/>
      <c r="Y296" s="500"/>
      <c r="Z296" s="500"/>
      <c r="AA296" s="500"/>
      <c r="AB296" s="500"/>
      <c r="AC296" s="500"/>
      <c r="AD296" s="500"/>
      <c r="AE296" s="497"/>
    </row>
    <row r="297">
      <c r="A297" s="517" t="s">
        <v>3089</v>
      </c>
      <c r="B297" s="518" t="str">
        <f>HYPERLINK("https://www.suara.com/news/2019/02/20/144637/bela-slamet-maarif-zulkifli-hasan-kalau-ada-ulama-disakiti-kami-sakit","Suara.com")</f>
        <v>Suara.com</v>
      </c>
      <c r="C297" s="467" t="s">
        <v>5657</v>
      </c>
      <c r="D297" s="467" t="s">
        <v>5668</v>
      </c>
      <c r="E297" s="467" t="s">
        <v>5727</v>
      </c>
      <c r="F297" s="502" t="s">
        <v>2141</v>
      </c>
      <c r="G297" s="503">
        <v>2.0</v>
      </c>
      <c r="H297" s="502" t="s">
        <v>5728</v>
      </c>
      <c r="I297" s="502" t="s">
        <v>2698</v>
      </c>
      <c r="J297" s="502" t="s">
        <v>6008</v>
      </c>
      <c r="K297" s="502" t="s">
        <v>5711</v>
      </c>
      <c r="L297" s="503">
        <v>2.0</v>
      </c>
      <c r="M297" s="502" t="s">
        <v>5824</v>
      </c>
      <c r="N297" s="502" t="s">
        <v>6009</v>
      </c>
      <c r="O297" s="503">
        <v>259.0</v>
      </c>
      <c r="P297" s="502" t="s">
        <v>6010</v>
      </c>
      <c r="Q297" s="504"/>
      <c r="R297" s="505"/>
      <c r="S297" s="505"/>
      <c r="T297" s="505"/>
      <c r="U297" s="505"/>
      <c r="V297" s="505"/>
      <c r="W297" s="505"/>
      <c r="X297" s="505"/>
      <c r="Y297" s="505"/>
      <c r="Z297" s="505"/>
      <c r="AA297" s="505"/>
      <c r="AB297" s="505"/>
      <c r="AC297" s="505"/>
      <c r="AD297" s="505"/>
      <c r="AE297" s="502"/>
    </row>
    <row r="298">
      <c r="A298" s="517" t="s">
        <v>1249</v>
      </c>
      <c r="B298" s="518" t="str">
        <f>HYPERLINK("https://www.tribunnews.com/superskor/2019/02/20/liverpool-vs-bayern-muenchen-leg-pertama-berakhir-0-0","tribun ")</f>
        <v>tribun </v>
      </c>
      <c r="C298" s="467" t="s">
        <v>5657</v>
      </c>
      <c r="D298" s="467" t="s">
        <v>5668</v>
      </c>
      <c r="E298" s="467" t="s">
        <v>5727</v>
      </c>
      <c r="F298" s="271" t="s">
        <v>5665</v>
      </c>
      <c r="G298" s="451"/>
      <c r="H298" s="451"/>
      <c r="I298" s="451"/>
      <c r="J298" s="451"/>
      <c r="K298" s="451"/>
      <c r="L298" s="451"/>
      <c r="M298" s="451"/>
      <c r="N298" s="451"/>
      <c r="O298" s="451"/>
      <c r="P298" s="451"/>
      <c r="Q298" s="451"/>
      <c r="R298" s="451"/>
      <c r="S298" s="451"/>
      <c r="T298" s="451"/>
      <c r="U298" s="451"/>
      <c r="V298" s="451"/>
      <c r="W298" s="451"/>
      <c r="X298" s="451"/>
      <c r="Y298" s="451"/>
      <c r="Z298" s="451"/>
      <c r="AA298" s="451"/>
      <c r="AB298" s="451"/>
      <c r="AC298" s="451"/>
      <c r="AD298" s="451"/>
    </row>
    <row r="299">
      <c r="A299" s="501" t="s">
        <v>6011</v>
      </c>
      <c r="B299" s="518" t="str">
        <f>HYPERLINK("https://metro.tempo.co/read/1178857/ini-kata-pengacara-ratna-sarumpaet-menjelang-sidang-perdana/full&amp;view=ok","Tempo.co")</f>
        <v>Tempo.co</v>
      </c>
      <c r="C299" s="467" t="s">
        <v>5670</v>
      </c>
      <c r="D299" s="467" t="s">
        <v>5668</v>
      </c>
      <c r="E299" s="467" t="s">
        <v>5727</v>
      </c>
      <c r="F299" s="502" t="s">
        <v>2149</v>
      </c>
      <c r="G299" s="503">
        <v>2.0</v>
      </c>
      <c r="H299" s="502" t="s">
        <v>5728</v>
      </c>
      <c r="I299" s="502" t="s">
        <v>2702</v>
      </c>
      <c r="J299" s="502" t="s">
        <v>6012</v>
      </c>
      <c r="K299" s="502" t="s">
        <v>5786</v>
      </c>
      <c r="L299" s="503">
        <v>2.0</v>
      </c>
      <c r="M299" s="502" t="s">
        <v>6013</v>
      </c>
      <c r="N299" s="502" t="s">
        <v>6014</v>
      </c>
      <c r="O299" s="503">
        <v>325.0</v>
      </c>
      <c r="P299" s="502" t="s">
        <v>6015</v>
      </c>
      <c r="Q299" s="504"/>
      <c r="R299" s="505"/>
      <c r="S299" s="505"/>
      <c r="T299" s="505"/>
      <c r="U299" s="505"/>
      <c r="V299" s="505"/>
      <c r="W299" s="505"/>
      <c r="X299" s="505"/>
      <c r="Y299" s="505"/>
      <c r="Z299" s="505"/>
      <c r="AA299" s="505"/>
      <c r="AB299" s="505"/>
      <c r="AC299" s="505"/>
      <c r="AD299" s="505"/>
      <c r="AE299" s="502"/>
    </row>
    <row r="300">
      <c r="A300" s="501" t="s">
        <v>6016</v>
      </c>
      <c r="B300" s="518" t="str">
        <f>HYPERLINK("https://bola.kompas.com/read/2019/02/24/16445938/betapa-kocaknya-thomas-mueller-saat-wawancara-eksklusif?page=2","Kompas.com")</f>
        <v>Kompas.com</v>
      </c>
      <c r="C300" s="467" t="s">
        <v>5671</v>
      </c>
      <c r="D300" s="467" t="s">
        <v>5668</v>
      </c>
      <c r="E300" s="467" t="s">
        <v>5727</v>
      </c>
      <c r="F300" s="497" t="s">
        <v>2154</v>
      </c>
      <c r="G300" s="498">
        <v>2.0</v>
      </c>
      <c r="H300" s="497" t="s">
        <v>5728</v>
      </c>
      <c r="I300" s="497" t="s">
        <v>2724</v>
      </c>
      <c r="J300" s="497" t="s">
        <v>6017</v>
      </c>
      <c r="K300" s="497" t="s">
        <v>5729</v>
      </c>
      <c r="L300" s="498">
        <v>2.0</v>
      </c>
      <c r="M300" s="497" t="s">
        <v>5828</v>
      </c>
      <c r="N300" s="497" t="s">
        <v>6018</v>
      </c>
      <c r="O300" s="498">
        <v>259.0</v>
      </c>
      <c r="P300" s="497" t="s">
        <v>6019</v>
      </c>
      <c r="Q300" s="499"/>
      <c r="R300" s="500"/>
      <c r="S300" s="500"/>
      <c r="T300" s="500"/>
      <c r="U300" s="500"/>
      <c r="V300" s="500"/>
      <c r="W300" s="500"/>
      <c r="X300" s="500"/>
      <c r="Y300" s="500"/>
      <c r="Z300" s="500"/>
      <c r="AA300" s="500"/>
      <c r="AB300" s="500"/>
      <c r="AC300" s="500"/>
      <c r="AD300" s="500"/>
      <c r="AE300" s="497"/>
    </row>
    <row r="301">
      <c r="A301" s="501" t="s">
        <v>2160</v>
      </c>
      <c r="B301" s="518" t="str">
        <f>HYPERLINK("https://www.liputan6.com/health/read/3910831/pemeran-utama-captain-marvel-alergi-kucing-ini-yang-terjadi-selama-syuting","liputan6.com")</f>
        <v>liputan6.com</v>
      </c>
      <c r="C301" s="467" t="s">
        <v>5657</v>
      </c>
      <c r="D301" s="467" t="s">
        <v>5675</v>
      </c>
      <c r="E301" s="467" t="s">
        <v>5727</v>
      </c>
      <c r="F301" s="271" t="s">
        <v>5665</v>
      </c>
      <c r="G301" s="451"/>
      <c r="H301" s="451"/>
      <c r="I301" s="451"/>
      <c r="J301" s="451"/>
      <c r="K301" s="451"/>
      <c r="L301" s="451"/>
      <c r="M301" s="451"/>
      <c r="N301" s="451"/>
      <c r="O301" s="451"/>
      <c r="P301" s="451"/>
      <c r="Q301" s="451"/>
      <c r="R301" s="451"/>
      <c r="S301" s="451"/>
      <c r="T301" s="451"/>
      <c r="U301" s="451"/>
      <c r="V301" s="451"/>
      <c r="W301" s="451"/>
      <c r="X301" s="451"/>
      <c r="Y301" s="451"/>
      <c r="Z301" s="451"/>
      <c r="AA301" s="451"/>
      <c r="AB301" s="451"/>
      <c r="AC301" s="451"/>
      <c r="AD301" s="451"/>
    </row>
    <row r="302">
      <c r="A302" s="501" t="s">
        <v>6020</v>
      </c>
      <c r="B302" s="518" t="str">
        <f>HYPERLINK("https://www.suara.com/health/2019/03/09/151135/tak-disangka-ini-5-alasan-olahraga-tanpa-busana-lebih-bermanfaat","suara.com")</f>
        <v>suara.com</v>
      </c>
      <c r="C302" s="467" t="s">
        <v>5670</v>
      </c>
      <c r="D302" s="467" t="s">
        <v>6021</v>
      </c>
      <c r="E302" s="467" t="s">
        <v>5727</v>
      </c>
      <c r="F302" s="497" t="s">
        <v>2163</v>
      </c>
      <c r="G302" s="498">
        <v>2.0</v>
      </c>
      <c r="H302" s="497" t="s">
        <v>5728</v>
      </c>
      <c r="I302" s="497" t="s">
        <v>2698</v>
      </c>
      <c r="J302" s="497" t="s">
        <v>6022</v>
      </c>
      <c r="K302" s="497" t="s">
        <v>5786</v>
      </c>
      <c r="L302" s="498">
        <v>3.0</v>
      </c>
      <c r="M302" s="497" t="s">
        <v>6023</v>
      </c>
      <c r="N302" s="497" t="s">
        <v>6024</v>
      </c>
      <c r="O302" s="498">
        <v>359.0</v>
      </c>
      <c r="P302" s="497" t="s">
        <v>6025</v>
      </c>
      <c r="Q302" s="499"/>
      <c r="R302" s="500"/>
      <c r="S302" s="500"/>
      <c r="T302" s="500"/>
      <c r="U302" s="500"/>
      <c r="V302" s="500"/>
      <c r="W302" s="500"/>
      <c r="X302" s="500"/>
      <c r="Y302" s="500"/>
      <c r="Z302" s="500"/>
      <c r="AA302" s="500"/>
      <c r="AB302" s="500"/>
      <c r="AC302" s="500"/>
      <c r="AD302" s="500"/>
      <c r="AE302" s="497"/>
    </row>
    <row r="303">
      <c r="A303" s="501" t="s">
        <v>6026</v>
      </c>
      <c r="B303" s="518" t="str">
        <f>HYPERLINK("https://seleb.tempo.co/read/1183999/ari-lasso-dari-awal-saya-tidak-terlibat-dalam-konser-ahmad-dhani/full&amp;view=ok","Tempo.co")</f>
        <v>Tempo.co</v>
      </c>
      <c r="C303" s="467" t="s">
        <v>6027</v>
      </c>
      <c r="D303" s="467" t="s">
        <v>5675</v>
      </c>
      <c r="E303" s="467" t="s">
        <v>5727</v>
      </c>
      <c r="F303" s="497" t="s">
        <v>2167</v>
      </c>
      <c r="G303" s="498">
        <v>2.0</v>
      </c>
      <c r="H303" s="497" t="s">
        <v>5728</v>
      </c>
      <c r="I303" s="497" t="s">
        <v>2702</v>
      </c>
      <c r="J303" s="497" t="s">
        <v>6028</v>
      </c>
      <c r="K303" s="497" t="s">
        <v>5721</v>
      </c>
      <c r="L303" s="498">
        <v>3.0</v>
      </c>
      <c r="M303" s="497" t="s">
        <v>6029</v>
      </c>
      <c r="N303" s="497" t="s">
        <v>6030</v>
      </c>
      <c r="O303" s="498">
        <v>6.0</v>
      </c>
      <c r="P303" s="497" t="s">
        <v>6031</v>
      </c>
      <c r="Q303" s="499" t="s">
        <v>6032</v>
      </c>
      <c r="R303" s="500"/>
      <c r="S303" s="500"/>
      <c r="T303" s="497"/>
      <c r="U303" s="497"/>
      <c r="V303" s="497"/>
      <c r="W303" s="497"/>
      <c r="X303" s="497"/>
      <c r="Y303" s="497"/>
      <c r="Z303" s="497"/>
      <c r="AA303" s="497"/>
      <c r="AB303" s="497"/>
      <c r="AC303" s="497"/>
      <c r="AD303" s="497"/>
      <c r="AE303" s="497"/>
    </row>
    <row r="304">
      <c r="A304" s="501" t="s">
        <v>6033</v>
      </c>
      <c r="B304" s="518" t="str">
        <f>HYPERLINK("https://senggang.republika.co.id/berita/senggang/blitz/po8uy2414/aktris-brie-larson-ternyata-alergi-kucing","Republika.co.id")</f>
        <v>Republika.co.id</v>
      </c>
      <c r="C304" s="467" t="s">
        <v>5681</v>
      </c>
      <c r="D304" s="467" t="s">
        <v>5675</v>
      </c>
      <c r="E304" s="467" t="s">
        <v>5727</v>
      </c>
      <c r="F304" s="321" t="s">
        <v>5700</v>
      </c>
      <c r="G304" s="506"/>
      <c r="H304" s="507"/>
      <c r="I304" s="507"/>
      <c r="J304" s="507"/>
      <c r="K304" s="507"/>
      <c r="L304" s="506"/>
      <c r="M304" s="507"/>
      <c r="N304" s="507"/>
      <c r="O304" s="506"/>
      <c r="P304" s="507"/>
      <c r="Q304" s="508"/>
      <c r="R304" s="509"/>
      <c r="S304" s="509"/>
      <c r="T304" s="507"/>
      <c r="U304" s="507"/>
      <c r="V304" s="507"/>
      <c r="W304" s="507"/>
      <c r="X304" s="507"/>
      <c r="Y304" s="507"/>
      <c r="Z304" s="507"/>
      <c r="AA304" s="507"/>
      <c r="AB304" s="507"/>
      <c r="AC304" s="507"/>
      <c r="AD304" s="507"/>
      <c r="AE304" s="507"/>
    </row>
    <row r="305">
      <c r="A305" s="501" t="s">
        <v>2172</v>
      </c>
      <c r="B305" s="518" t="str">
        <f>HYPERLINK("https://lifestyle.okezone.com/read/2019/03/23/196/2034108/curhatan-perempuan-yang-pacarnya-lebih-sayang-game-online-kamu-senasib","okezone.com")</f>
        <v>okezone.com</v>
      </c>
      <c r="C305" s="467" t="s">
        <v>5671</v>
      </c>
      <c r="D305" s="467" t="s">
        <v>5675</v>
      </c>
      <c r="E305" s="467" t="s">
        <v>5727</v>
      </c>
      <c r="F305" s="271" t="s">
        <v>5951</v>
      </c>
      <c r="G305" s="451"/>
      <c r="H305" s="451"/>
      <c r="I305" s="451"/>
      <c r="J305" s="451"/>
      <c r="K305" s="451"/>
      <c r="L305" s="451"/>
      <c r="M305" s="451"/>
      <c r="N305" s="451"/>
      <c r="O305" s="451"/>
      <c r="P305" s="451"/>
      <c r="Q305" s="451"/>
      <c r="R305" s="451"/>
      <c r="S305" s="451"/>
      <c r="T305" s="451"/>
      <c r="U305" s="451"/>
      <c r="V305" s="451"/>
      <c r="W305" s="451"/>
      <c r="X305" s="451"/>
      <c r="Y305" s="451"/>
      <c r="Z305" s="451"/>
      <c r="AA305" s="451"/>
      <c r="AB305" s="451"/>
      <c r="AC305" s="451"/>
      <c r="AD305" s="451"/>
    </row>
    <row r="306">
      <c r="A306" s="501" t="s">
        <v>6034</v>
      </c>
      <c r="B306" s="466" t="s">
        <v>5701</v>
      </c>
      <c r="C306" s="467" t="s">
        <v>5681</v>
      </c>
      <c r="D306" s="467" t="s">
        <v>5716</v>
      </c>
      <c r="E306" s="467" t="s">
        <v>5659</v>
      </c>
      <c r="F306" s="497" t="s">
        <v>3047</v>
      </c>
      <c r="G306" s="498">
        <v>2.0</v>
      </c>
      <c r="H306" s="497" t="s">
        <v>5660</v>
      </c>
      <c r="I306" s="497" t="s">
        <v>2740</v>
      </c>
      <c r="J306" s="497" t="s">
        <v>6035</v>
      </c>
      <c r="K306" s="497" t="s">
        <v>5750</v>
      </c>
      <c r="L306" s="498">
        <v>7.0</v>
      </c>
      <c r="M306" s="497" t="s">
        <v>5712</v>
      </c>
      <c r="N306" s="497" t="s">
        <v>6036</v>
      </c>
      <c r="O306" s="498">
        <v>669.0</v>
      </c>
      <c r="P306" s="497" t="s">
        <v>6037</v>
      </c>
      <c r="Q306" s="500"/>
      <c r="R306" s="500"/>
      <c r="S306" s="500"/>
      <c r="T306" s="500"/>
      <c r="U306" s="500"/>
      <c r="V306" s="500"/>
      <c r="W306" s="500"/>
      <c r="X306" s="500"/>
      <c r="Y306" s="500"/>
      <c r="Z306" s="500"/>
      <c r="AA306" s="500"/>
      <c r="AB306" s="500"/>
      <c r="AC306" s="500"/>
      <c r="AD306" s="500"/>
      <c r="AE306" s="497"/>
    </row>
    <row r="307">
      <c r="A307" s="501" t="s">
        <v>3056</v>
      </c>
      <c r="B307" s="466" t="s">
        <v>5701</v>
      </c>
      <c r="C307" s="467" t="s">
        <v>5670</v>
      </c>
      <c r="D307" s="467" t="s">
        <v>5719</v>
      </c>
      <c r="E307" s="467" t="s">
        <v>5659</v>
      </c>
      <c r="F307" s="271" t="s">
        <v>5951</v>
      </c>
      <c r="G307" s="451"/>
      <c r="H307" s="451"/>
      <c r="I307" s="451"/>
      <c r="J307" s="451"/>
      <c r="K307" s="451"/>
      <c r="L307" s="451"/>
      <c r="M307" s="451"/>
      <c r="N307" s="451"/>
      <c r="O307" s="451"/>
      <c r="P307" s="451"/>
      <c r="Q307" s="451"/>
      <c r="R307" s="451"/>
      <c r="S307" s="451"/>
      <c r="T307" s="451"/>
      <c r="U307" s="451"/>
      <c r="V307" s="451"/>
      <c r="W307" s="451"/>
      <c r="X307" s="451"/>
      <c r="Y307" s="451"/>
      <c r="Z307" s="451"/>
      <c r="AA307" s="451"/>
      <c r="AB307" s="451"/>
      <c r="AC307" s="451"/>
      <c r="AD307" s="451"/>
    </row>
    <row r="308">
      <c r="A308" s="501" t="s">
        <v>3058</v>
      </c>
      <c r="B308" s="466" t="s">
        <v>5699</v>
      </c>
      <c r="C308" s="467" t="s">
        <v>5682</v>
      </c>
      <c r="D308" s="467" t="s">
        <v>5725</v>
      </c>
      <c r="E308" s="467" t="s">
        <v>5659</v>
      </c>
      <c r="F308" s="271" t="s">
        <v>5951</v>
      </c>
      <c r="G308" s="451"/>
      <c r="H308" s="451"/>
      <c r="I308" s="451"/>
      <c r="J308" s="451"/>
      <c r="K308" s="451"/>
      <c r="L308" s="451"/>
      <c r="M308" s="451"/>
      <c r="N308" s="451"/>
      <c r="O308" s="451"/>
      <c r="P308" s="451"/>
      <c r="Q308" s="451"/>
      <c r="R308" s="451"/>
      <c r="S308" s="451"/>
      <c r="T308" s="451"/>
      <c r="U308" s="451"/>
      <c r="V308" s="451"/>
      <c r="W308" s="451"/>
      <c r="X308" s="451"/>
      <c r="Y308" s="451"/>
      <c r="Z308" s="451"/>
      <c r="AA308" s="451"/>
      <c r="AB308" s="451"/>
      <c r="AC308" s="451"/>
      <c r="AD308" s="451"/>
    </row>
    <row r="309">
      <c r="A309" s="501" t="s">
        <v>3060</v>
      </c>
      <c r="B309" s="466" t="s">
        <v>5673</v>
      </c>
      <c r="C309" s="467" t="s">
        <v>5681</v>
      </c>
      <c r="D309" s="467" t="s">
        <v>5725</v>
      </c>
      <c r="E309" s="467" t="s">
        <v>5659</v>
      </c>
      <c r="F309" s="271" t="s">
        <v>5951</v>
      </c>
      <c r="G309" s="451"/>
      <c r="H309" s="451"/>
      <c r="I309" s="451"/>
      <c r="J309" s="451"/>
      <c r="K309" s="451"/>
      <c r="L309" s="451"/>
      <c r="M309" s="451"/>
      <c r="N309" s="451"/>
      <c r="O309" s="451"/>
      <c r="P309" s="451"/>
      <c r="Q309" s="451"/>
      <c r="R309" s="451"/>
      <c r="S309" s="451"/>
      <c r="T309" s="451"/>
      <c r="U309" s="451"/>
      <c r="V309" s="451"/>
      <c r="W309" s="451"/>
      <c r="X309" s="451"/>
      <c r="Y309" s="451"/>
      <c r="Z309" s="451"/>
      <c r="AA309" s="451"/>
      <c r="AB309" s="451"/>
      <c r="AC309" s="451"/>
      <c r="AD309" s="451"/>
    </row>
    <row r="310">
      <c r="A310" s="501" t="s">
        <v>3062</v>
      </c>
      <c r="B310" s="466" t="s">
        <v>6038</v>
      </c>
      <c r="C310" s="467" t="s">
        <v>5681</v>
      </c>
      <c r="D310" s="467" t="s">
        <v>5658</v>
      </c>
      <c r="E310" s="467" t="s">
        <v>5727</v>
      </c>
      <c r="F310" s="271" t="s">
        <v>5951</v>
      </c>
      <c r="G310" s="451"/>
      <c r="H310" s="451"/>
      <c r="I310" s="451"/>
      <c r="J310" s="451"/>
      <c r="K310" s="451"/>
      <c r="L310" s="451"/>
      <c r="M310" s="451"/>
      <c r="N310" s="451"/>
      <c r="O310" s="451"/>
      <c r="P310" s="451"/>
      <c r="Q310" s="451"/>
      <c r="R310" s="451"/>
      <c r="S310" s="451"/>
      <c r="T310" s="451"/>
      <c r="U310" s="451"/>
      <c r="V310" s="451"/>
      <c r="W310" s="451"/>
      <c r="X310" s="451"/>
      <c r="Y310" s="451"/>
      <c r="Z310" s="451"/>
      <c r="AA310" s="451"/>
      <c r="AB310" s="451"/>
      <c r="AC310" s="451"/>
      <c r="AD310" s="451"/>
    </row>
    <row r="311">
      <c r="A311" s="501" t="s">
        <v>3063</v>
      </c>
      <c r="B311" s="466" t="s">
        <v>5931</v>
      </c>
      <c r="C311" s="467" t="s">
        <v>5681</v>
      </c>
      <c r="D311" s="467" t="s">
        <v>5658</v>
      </c>
      <c r="E311" s="467" t="s">
        <v>5727</v>
      </c>
      <c r="F311" s="271" t="s">
        <v>5951</v>
      </c>
      <c r="G311" s="451"/>
      <c r="H311" s="451"/>
      <c r="I311" s="451"/>
      <c r="J311" s="451"/>
      <c r="K311" s="451"/>
      <c r="L311" s="451"/>
      <c r="M311" s="451"/>
      <c r="N311" s="451"/>
      <c r="O311" s="451"/>
      <c r="P311" s="451"/>
      <c r="Q311" s="451"/>
      <c r="R311" s="451"/>
      <c r="S311" s="451"/>
      <c r="T311" s="451"/>
      <c r="U311" s="451"/>
      <c r="V311" s="451"/>
      <c r="W311" s="451"/>
      <c r="X311" s="451"/>
      <c r="Y311" s="451"/>
      <c r="Z311" s="451"/>
      <c r="AA311" s="451"/>
      <c r="AB311" s="451"/>
      <c r="AC311" s="451"/>
      <c r="AD311" s="451"/>
    </row>
    <row r="312">
      <c r="A312" s="501" t="s">
        <v>3067</v>
      </c>
      <c r="B312" s="466" t="s">
        <v>6039</v>
      </c>
      <c r="C312" s="467" t="s">
        <v>5670</v>
      </c>
      <c r="D312" s="467" t="s">
        <v>5658</v>
      </c>
      <c r="E312" s="467" t="s">
        <v>5727</v>
      </c>
      <c r="F312" s="271" t="s">
        <v>5951</v>
      </c>
      <c r="G312" s="451"/>
      <c r="H312" s="451"/>
      <c r="I312" s="451"/>
      <c r="J312" s="451"/>
      <c r="K312" s="451"/>
      <c r="L312" s="451"/>
      <c r="M312" s="451"/>
      <c r="N312" s="451"/>
      <c r="O312" s="451"/>
      <c r="P312" s="451"/>
      <c r="Q312" s="451"/>
      <c r="R312" s="451"/>
      <c r="S312" s="451"/>
      <c r="T312" s="451"/>
      <c r="U312" s="451"/>
      <c r="V312" s="451"/>
      <c r="W312" s="451"/>
      <c r="X312" s="451"/>
      <c r="Y312" s="451"/>
      <c r="Z312" s="451"/>
      <c r="AA312" s="451"/>
      <c r="AB312" s="451"/>
      <c r="AC312" s="451"/>
      <c r="AD312" s="451"/>
    </row>
    <row r="313">
      <c r="A313" s="501" t="s">
        <v>6040</v>
      </c>
      <c r="B313" s="466" t="s">
        <v>5717</v>
      </c>
      <c r="C313" s="467" t="s">
        <v>5682</v>
      </c>
      <c r="D313" s="467" t="s">
        <v>5658</v>
      </c>
      <c r="E313" s="467" t="s">
        <v>5727</v>
      </c>
      <c r="F313" s="497" t="s">
        <v>3069</v>
      </c>
      <c r="G313" s="498">
        <v>2.0</v>
      </c>
      <c r="H313" s="497" t="s">
        <v>5728</v>
      </c>
      <c r="I313" s="497" t="s">
        <v>2724</v>
      </c>
      <c r="J313" s="497" t="s">
        <v>6041</v>
      </c>
      <c r="K313" s="497" t="s">
        <v>5721</v>
      </c>
      <c r="L313" s="498">
        <v>1.0</v>
      </c>
      <c r="M313" s="497" t="s">
        <v>5722</v>
      </c>
      <c r="N313" s="497" t="s">
        <v>6042</v>
      </c>
      <c r="O313" s="498">
        <v>394.0</v>
      </c>
      <c r="P313" s="497" t="s">
        <v>6043</v>
      </c>
      <c r="Q313" s="499"/>
      <c r="R313" s="500"/>
      <c r="S313" s="500"/>
      <c r="T313" s="500"/>
      <c r="U313" s="500"/>
      <c r="V313" s="500"/>
      <c r="W313" s="500"/>
      <c r="X313" s="500"/>
      <c r="Y313" s="500"/>
      <c r="Z313" s="500"/>
      <c r="AA313" s="500"/>
      <c r="AB313" s="500"/>
      <c r="AC313" s="500"/>
      <c r="AD313" s="500"/>
      <c r="AE313" s="497"/>
    </row>
    <row r="314">
      <c r="A314" s="501" t="s">
        <v>4114</v>
      </c>
      <c r="B314" s="466" t="s">
        <v>6038</v>
      </c>
      <c r="C314" s="467" t="s">
        <v>5667</v>
      </c>
      <c r="D314" s="467" t="s">
        <v>5705</v>
      </c>
      <c r="E314" s="467" t="s">
        <v>5659</v>
      </c>
      <c r="F314" s="271" t="s">
        <v>5951</v>
      </c>
      <c r="G314" s="451"/>
      <c r="H314" s="451"/>
      <c r="I314" s="451"/>
      <c r="J314" s="451"/>
      <c r="K314" s="451"/>
      <c r="L314" s="451"/>
      <c r="M314" s="451"/>
      <c r="N314" s="451"/>
      <c r="O314" s="451"/>
      <c r="P314" s="451"/>
      <c r="Q314" s="451"/>
      <c r="R314" s="451"/>
      <c r="S314" s="451"/>
      <c r="T314" s="451"/>
      <c r="U314" s="451"/>
      <c r="V314" s="451"/>
      <c r="W314" s="451"/>
      <c r="X314" s="451"/>
      <c r="Y314" s="451"/>
      <c r="Z314" s="451"/>
      <c r="AA314" s="451"/>
      <c r="AB314" s="451"/>
      <c r="AC314" s="451"/>
      <c r="AD314" s="451"/>
    </row>
    <row r="315">
      <c r="A315" s="501" t="s">
        <v>2173</v>
      </c>
      <c r="B315" s="518" t="str">
        <f>HYPERLINK("https://news.detik.com/berita/d-4487074/wiranto-cerita-98-sby-tanya-kita-ambil-alih-saya-jawab-tidak","Detik.com")</f>
        <v>Detik.com</v>
      </c>
      <c r="C315" s="467" t="s">
        <v>5664</v>
      </c>
      <c r="D315" s="467" t="s">
        <v>6044</v>
      </c>
      <c r="E315" s="467" t="s">
        <v>5727</v>
      </c>
      <c r="F315" s="271" t="s">
        <v>5951</v>
      </c>
      <c r="G315" s="451"/>
      <c r="H315" s="451"/>
      <c r="I315" s="451"/>
      <c r="J315" s="451"/>
      <c r="K315" s="451"/>
      <c r="L315" s="451"/>
      <c r="M315" s="451"/>
      <c r="N315" s="451"/>
      <c r="O315" s="451"/>
      <c r="P315" s="451"/>
      <c r="Q315" s="451"/>
      <c r="R315" s="451"/>
      <c r="S315" s="451"/>
      <c r="T315" s="451"/>
      <c r="U315" s="451"/>
      <c r="V315" s="451"/>
      <c r="W315" s="451"/>
      <c r="X315" s="451"/>
      <c r="Y315" s="451"/>
      <c r="Z315" s="451"/>
      <c r="AA315" s="451"/>
      <c r="AB315" s="451"/>
      <c r="AC315" s="451"/>
      <c r="AD315" s="451"/>
    </row>
    <row r="316">
      <c r="A316" s="501" t="s">
        <v>2178</v>
      </c>
      <c r="B316" s="518" t="str">
        <f>HYPERLINK("https://www.cnnindonesia.com/teknologi/20190329170610-185-381836/facebook-larang-pengguna-dukung-separatis-kulit-putih","CNN")</f>
        <v>CNN</v>
      </c>
      <c r="C316" s="467" t="s">
        <v>5671</v>
      </c>
      <c r="D316" s="467" t="s">
        <v>5675</v>
      </c>
      <c r="E316" s="467" t="s">
        <v>5727</v>
      </c>
      <c r="F316" s="271" t="s">
        <v>5951</v>
      </c>
      <c r="G316" s="451"/>
      <c r="H316" s="451"/>
      <c r="I316" s="451"/>
      <c r="J316" s="451"/>
      <c r="K316" s="451"/>
      <c r="L316" s="451"/>
      <c r="M316" s="451"/>
      <c r="N316" s="451"/>
      <c r="O316" s="451"/>
      <c r="P316" s="451"/>
      <c r="Q316" s="451"/>
      <c r="R316" s="451"/>
      <c r="S316" s="451"/>
      <c r="T316" s="451"/>
      <c r="U316" s="451"/>
      <c r="V316" s="451"/>
      <c r="W316" s="451"/>
      <c r="X316" s="451"/>
      <c r="Y316" s="451"/>
      <c r="Z316" s="451"/>
      <c r="AA316" s="451"/>
      <c r="AB316" s="451"/>
      <c r="AC316" s="451"/>
      <c r="AD316" s="451"/>
    </row>
    <row r="317">
      <c r="A317" s="501" t="s">
        <v>4116</v>
      </c>
      <c r="B317" s="466" t="s">
        <v>5931</v>
      </c>
      <c r="C317" s="467" t="s">
        <v>5670</v>
      </c>
      <c r="D317" s="467" t="s">
        <v>5705</v>
      </c>
      <c r="E317" s="467" t="s">
        <v>5659</v>
      </c>
      <c r="F317" s="271" t="s">
        <v>5951</v>
      </c>
      <c r="G317" s="451"/>
      <c r="H317" s="451"/>
      <c r="I317" s="451"/>
      <c r="J317" s="451"/>
      <c r="K317" s="451"/>
      <c r="L317" s="451"/>
      <c r="M317" s="451"/>
      <c r="N317" s="451"/>
      <c r="O317" s="451"/>
      <c r="P317" s="451"/>
      <c r="Q317" s="451"/>
      <c r="R317" s="451"/>
      <c r="S317" s="451"/>
      <c r="T317" s="451"/>
      <c r="U317" s="451"/>
      <c r="V317" s="451"/>
      <c r="W317" s="451"/>
      <c r="X317" s="451"/>
      <c r="Y317" s="451"/>
      <c r="Z317" s="451"/>
      <c r="AA317" s="451"/>
      <c r="AB317" s="451"/>
      <c r="AC317" s="451"/>
      <c r="AD317" s="451"/>
    </row>
    <row r="318">
      <c r="A318" s="501" t="s">
        <v>4949</v>
      </c>
      <c r="B318" s="518" t="str">
        <f>HYPERLINK("https://www.cnnindonesia.com/nasional/20190729222044-12-416593/polri-gandeng-polisi-negara-lain-untuk-tangkap-teroris","CNN")</f>
        <v>CNN</v>
      </c>
      <c r="C318" s="467" t="s">
        <v>5682</v>
      </c>
      <c r="D318" s="467" t="s">
        <v>5716</v>
      </c>
      <c r="E318" s="467" t="s">
        <v>5659</v>
      </c>
      <c r="F318" s="271" t="s">
        <v>5951</v>
      </c>
      <c r="G318" s="451"/>
      <c r="H318" s="451"/>
      <c r="I318" s="451"/>
      <c r="J318" s="451"/>
      <c r="K318" s="451"/>
      <c r="L318" s="451"/>
      <c r="M318" s="451"/>
      <c r="N318" s="451"/>
      <c r="O318" s="451"/>
      <c r="P318" s="451"/>
      <c r="Q318" s="451"/>
      <c r="R318" s="451"/>
      <c r="S318" s="451"/>
      <c r="T318" s="451"/>
      <c r="U318" s="451"/>
      <c r="V318" s="451"/>
      <c r="W318" s="451"/>
      <c r="X318" s="451"/>
      <c r="Y318" s="451"/>
      <c r="Z318" s="451"/>
      <c r="AA318" s="451"/>
      <c r="AB318" s="451"/>
      <c r="AC318" s="451"/>
      <c r="AD318" s="451"/>
    </row>
    <row r="319">
      <c r="A319" s="501" t="s">
        <v>4950</v>
      </c>
      <c r="B319" s="518" t="str">
        <f>HYPERLINK("https://republika.co.id/berita/pvlmfx291/uns-peringkat-7-nasional-versi-webometrics","Republika")</f>
        <v>Republika</v>
      </c>
      <c r="C319" s="467" t="s">
        <v>5667</v>
      </c>
      <c r="D319" s="467" t="s">
        <v>5719</v>
      </c>
      <c r="E319" s="467" t="s">
        <v>5659</v>
      </c>
      <c r="F319" s="271" t="s">
        <v>5951</v>
      </c>
      <c r="G319" s="451"/>
      <c r="H319" s="451"/>
      <c r="I319" s="451"/>
      <c r="J319" s="451"/>
      <c r="K319" s="451"/>
      <c r="L319" s="451"/>
      <c r="M319" s="451"/>
      <c r="N319" s="451"/>
      <c r="O319" s="451"/>
      <c r="P319" s="451"/>
      <c r="Q319" s="451"/>
      <c r="R319" s="451"/>
      <c r="S319" s="451"/>
      <c r="T319" s="451"/>
      <c r="U319" s="451"/>
      <c r="V319" s="451"/>
      <c r="W319" s="451"/>
      <c r="X319" s="451"/>
      <c r="Y319" s="451"/>
      <c r="Z319" s="451"/>
      <c r="AA319" s="451"/>
      <c r="AB319" s="451"/>
      <c r="AC319" s="451"/>
      <c r="AD319" s="451"/>
    </row>
    <row r="320">
      <c r="A320" s="501" t="s">
        <v>4117</v>
      </c>
      <c r="B320" s="466" t="s">
        <v>5669</v>
      </c>
      <c r="C320" s="467" t="s">
        <v>5667</v>
      </c>
      <c r="D320" s="467" t="s">
        <v>5705</v>
      </c>
      <c r="E320" s="467" t="s">
        <v>5659</v>
      </c>
      <c r="F320" s="271" t="s">
        <v>5951</v>
      </c>
      <c r="G320" s="451"/>
      <c r="H320" s="451"/>
      <c r="I320" s="451"/>
      <c r="J320" s="451"/>
      <c r="K320" s="451"/>
      <c r="L320" s="451"/>
      <c r="M320" s="451"/>
      <c r="N320" s="451"/>
      <c r="O320" s="451"/>
      <c r="P320" s="451"/>
      <c r="Q320" s="451"/>
      <c r="R320" s="451"/>
      <c r="S320" s="451"/>
      <c r="T320" s="451"/>
      <c r="U320" s="451"/>
      <c r="V320" s="451"/>
      <c r="W320" s="451"/>
      <c r="X320" s="451"/>
      <c r="Y320" s="451"/>
      <c r="Z320" s="451"/>
      <c r="AA320" s="451"/>
      <c r="AB320" s="451"/>
      <c r="AC320" s="451"/>
      <c r="AD320" s="451"/>
    </row>
    <row r="321">
      <c r="A321" s="501" t="s">
        <v>4120</v>
      </c>
      <c r="B321" s="466" t="s">
        <v>5669</v>
      </c>
      <c r="C321" s="467" t="s">
        <v>5667</v>
      </c>
      <c r="D321" s="467" t="s">
        <v>5716</v>
      </c>
      <c r="E321" s="467" t="s">
        <v>5659</v>
      </c>
      <c r="F321" s="271" t="s">
        <v>5951</v>
      </c>
      <c r="G321" s="451"/>
      <c r="H321" s="451"/>
      <c r="I321" s="451"/>
      <c r="J321" s="451"/>
      <c r="K321" s="451"/>
      <c r="L321" s="451"/>
      <c r="M321" s="451"/>
      <c r="N321" s="451"/>
      <c r="O321" s="451"/>
      <c r="P321" s="451"/>
      <c r="Q321" s="451"/>
      <c r="R321" s="451"/>
      <c r="S321" s="451"/>
      <c r="T321" s="451"/>
      <c r="U321" s="451"/>
      <c r="V321" s="451"/>
      <c r="W321" s="451"/>
      <c r="X321" s="451"/>
      <c r="Y321" s="451"/>
      <c r="Z321" s="451"/>
      <c r="AA321" s="451"/>
      <c r="AB321" s="451"/>
      <c r="AC321" s="451"/>
      <c r="AD321" s="451"/>
    </row>
    <row r="322">
      <c r="A322" s="501" t="s">
        <v>4124</v>
      </c>
      <c r="B322" s="466" t="s">
        <v>5699</v>
      </c>
      <c r="C322" s="467" t="s">
        <v>5670</v>
      </c>
      <c r="D322" s="467" t="s">
        <v>5716</v>
      </c>
      <c r="E322" s="467" t="s">
        <v>5659</v>
      </c>
      <c r="F322" s="271" t="s">
        <v>5951</v>
      </c>
      <c r="G322" s="451"/>
      <c r="H322" s="451"/>
      <c r="I322" s="451"/>
      <c r="J322" s="451"/>
      <c r="K322" s="451"/>
      <c r="L322" s="451"/>
      <c r="M322" s="451"/>
      <c r="N322" s="451"/>
      <c r="O322" s="451"/>
      <c r="P322" s="451"/>
      <c r="Q322" s="451"/>
      <c r="R322" s="451"/>
      <c r="S322" s="451"/>
      <c r="T322" s="451"/>
      <c r="U322" s="451"/>
      <c r="V322" s="451"/>
      <c r="W322" s="451"/>
      <c r="X322" s="451"/>
      <c r="Y322" s="451"/>
      <c r="Z322" s="451"/>
      <c r="AA322" s="451"/>
      <c r="AB322" s="451"/>
      <c r="AC322" s="451"/>
      <c r="AD322" s="451"/>
    </row>
    <row r="323">
      <c r="A323" s="501" t="s">
        <v>4951</v>
      </c>
      <c r="B323" s="518" t="str">
        <f>HYPERLINK("https://edukasi.kompas.com/read/2019/08/08/10554661/ini-dia-para-pemenang-mtq-mahasiswa-nasional-2019","Kompas")</f>
        <v>Kompas</v>
      </c>
      <c r="C323" s="467" t="s">
        <v>5664</v>
      </c>
      <c r="D323" s="467" t="s">
        <v>5719</v>
      </c>
      <c r="E323" s="467" t="s">
        <v>5659</v>
      </c>
      <c r="F323" s="271" t="s">
        <v>5951</v>
      </c>
      <c r="G323" s="451"/>
      <c r="H323" s="451"/>
      <c r="I323" s="451"/>
      <c r="J323" s="451"/>
      <c r="K323" s="451"/>
      <c r="L323" s="451"/>
      <c r="M323" s="451"/>
      <c r="N323" s="451"/>
      <c r="O323" s="451"/>
      <c r="P323" s="451"/>
      <c r="Q323" s="451"/>
      <c r="R323" s="451"/>
      <c r="S323" s="451"/>
      <c r="T323" s="451"/>
      <c r="U323" s="451"/>
      <c r="V323" s="451"/>
      <c r="W323" s="451"/>
      <c r="X323" s="451"/>
      <c r="Y323" s="451"/>
      <c r="Z323" s="451"/>
      <c r="AA323" s="451"/>
      <c r="AB323" s="451"/>
      <c r="AC323" s="451"/>
      <c r="AD323" s="451"/>
    </row>
    <row r="324">
      <c r="A324" s="501" t="s">
        <v>3050</v>
      </c>
      <c r="B324" s="466" t="s">
        <v>5699</v>
      </c>
      <c r="C324" s="467" t="s">
        <v>5657</v>
      </c>
      <c r="D324" s="467" t="s">
        <v>5719</v>
      </c>
      <c r="E324" s="467" t="s">
        <v>5659</v>
      </c>
      <c r="F324" s="271" t="s">
        <v>5951</v>
      </c>
      <c r="G324" s="451"/>
      <c r="H324" s="451"/>
      <c r="I324" s="451"/>
      <c r="J324" s="451"/>
      <c r="K324" s="451"/>
      <c r="L324" s="451"/>
      <c r="M324" s="451"/>
      <c r="N324" s="451"/>
      <c r="O324" s="451"/>
      <c r="P324" s="451"/>
      <c r="Q324" s="451"/>
      <c r="R324" s="451"/>
      <c r="S324" s="451"/>
      <c r="T324" s="451"/>
      <c r="U324" s="451"/>
      <c r="V324" s="451"/>
      <c r="W324" s="451"/>
      <c r="X324" s="451"/>
      <c r="Y324" s="451"/>
      <c r="Z324" s="451"/>
      <c r="AA324" s="451"/>
      <c r="AB324" s="451"/>
      <c r="AC324" s="451"/>
      <c r="AD324" s="451"/>
    </row>
    <row r="325">
      <c r="A325" s="501" t="s">
        <v>4125</v>
      </c>
      <c r="B325" s="466" t="s">
        <v>6038</v>
      </c>
      <c r="C325" s="467" t="s">
        <v>5671</v>
      </c>
      <c r="D325" s="467" t="s">
        <v>5719</v>
      </c>
      <c r="E325" s="467" t="s">
        <v>5659</v>
      </c>
      <c r="F325" s="271" t="s">
        <v>5951</v>
      </c>
      <c r="G325" s="451"/>
      <c r="H325" s="451"/>
      <c r="I325" s="451"/>
      <c r="J325" s="451"/>
      <c r="K325" s="451"/>
      <c r="L325" s="451"/>
      <c r="M325" s="451"/>
      <c r="N325" s="451"/>
      <c r="O325" s="451"/>
      <c r="P325" s="451"/>
      <c r="Q325" s="451"/>
      <c r="R325" s="451"/>
      <c r="S325" s="451"/>
      <c r="T325" s="451"/>
      <c r="U325" s="451"/>
      <c r="V325" s="451"/>
      <c r="W325" s="451"/>
      <c r="X325" s="451"/>
      <c r="Y325" s="451"/>
      <c r="Z325" s="451"/>
      <c r="AA325" s="451"/>
      <c r="AB325" s="451"/>
      <c r="AC325" s="451"/>
      <c r="AD325" s="451"/>
    </row>
    <row r="326">
      <c r="A326" s="501" t="s">
        <v>4126</v>
      </c>
      <c r="B326" s="466" t="s">
        <v>6045</v>
      </c>
      <c r="C326" s="467" t="s">
        <v>5671</v>
      </c>
      <c r="D326" s="467" t="s">
        <v>5719</v>
      </c>
      <c r="E326" s="467" t="s">
        <v>5659</v>
      </c>
      <c r="F326" s="271" t="s">
        <v>5951</v>
      </c>
      <c r="G326" s="451"/>
      <c r="H326" s="451"/>
      <c r="I326" s="451"/>
      <c r="J326" s="451"/>
      <c r="K326" s="451"/>
      <c r="L326" s="451"/>
      <c r="M326" s="451"/>
      <c r="N326" s="451"/>
      <c r="O326" s="451"/>
      <c r="P326" s="451"/>
      <c r="Q326" s="451"/>
      <c r="R326" s="451"/>
      <c r="S326" s="451"/>
      <c r="T326" s="451"/>
      <c r="U326" s="451"/>
      <c r="V326" s="451"/>
      <c r="W326" s="451"/>
      <c r="X326" s="451"/>
      <c r="Y326" s="451"/>
      <c r="Z326" s="451"/>
      <c r="AA326" s="451"/>
      <c r="AB326" s="451"/>
      <c r="AC326" s="451"/>
      <c r="AD326" s="451"/>
    </row>
    <row r="327">
      <c r="A327" s="501" t="s">
        <v>4129</v>
      </c>
      <c r="B327" s="466" t="s">
        <v>5946</v>
      </c>
      <c r="C327" s="467" t="s">
        <v>5681</v>
      </c>
      <c r="D327" s="467" t="s">
        <v>5719</v>
      </c>
      <c r="E327" s="467" t="s">
        <v>5659</v>
      </c>
      <c r="F327" s="271" t="s">
        <v>5951</v>
      </c>
      <c r="G327" s="451"/>
      <c r="H327" s="451"/>
      <c r="I327" s="451"/>
      <c r="J327" s="451"/>
      <c r="K327" s="451"/>
      <c r="L327" s="451"/>
      <c r="M327" s="451"/>
      <c r="N327" s="451"/>
      <c r="O327" s="451"/>
      <c r="P327" s="451"/>
      <c r="Q327" s="451"/>
      <c r="R327" s="451"/>
      <c r="S327" s="451"/>
      <c r="T327" s="451"/>
      <c r="U327" s="451"/>
      <c r="V327" s="451"/>
      <c r="W327" s="451"/>
      <c r="X327" s="451"/>
      <c r="Y327" s="451"/>
      <c r="Z327" s="451"/>
      <c r="AA327" s="451"/>
      <c r="AB327" s="451"/>
      <c r="AC327" s="451"/>
      <c r="AD327" s="451"/>
    </row>
    <row r="328">
      <c r="A328" s="501" t="s">
        <v>4130</v>
      </c>
      <c r="B328" s="466" t="s">
        <v>5749</v>
      </c>
      <c r="C328" s="467" t="s">
        <v>5664</v>
      </c>
      <c r="D328" s="467" t="s">
        <v>5719</v>
      </c>
      <c r="E328" s="467" t="s">
        <v>5659</v>
      </c>
      <c r="F328" s="271" t="s">
        <v>5951</v>
      </c>
      <c r="G328" s="451"/>
      <c r="H328" s="451"/>
      <c r="I328" s="451"/>
      <c r="J328" s="451"/>
      <c r="K328" s="451"/>
      <c r="L328" s="451"/>
      <c r="M328" s="451"/>
      <c r="N328" s="451"/>
      <c r="O328" s="451"/>
      <c r="P328" s="451"/>
      <c r="Q328" s="451"/>
      <c r="R328" s="451"/>
      <c r="S328" s="451"/>
      <c r="T328" s="451"/>
      <c r="U328" s="451"/>
      <c r="V328" s="451"/>
      <c r="W328" s="451"/>
      <c r="X328" s="451"/>
      <c r="Y328" s="451"/>
      <c r="Z328" s="451"/>
      <c r="AA328" s="451"/>
      <c r="AB328" s="451"/>
      <c r="AC328" s="451"/>
      <c r="AD328" s="451"/>
    </row>
    <row r="329">
      <c r="A329" s="501" t="s">
        <v>4131</v>
      </c>
      <c r="B329" s="466" t="s">
        <v>5946</v>
      </c>
      <c r="C329" s="467" t="s">
        <v>5667</v>
      </c>
      <c r="D329" s="467" t="s">
        <v>5719</v>
      </c>
      <c r="E329" s="467" t="s">
        <v>5659</v>
      </c>
      <c r="F329" s="271" t="s">
        <v>5951</v>
      </c>
      <c r="G329" s="451"/>
      <c r="H329" s="451"/>
      <c r="I329" s="451"/>
      <c r="J329" s="451"/>
      <c r="K329" s="451"/>
      <c r="L329" s="451"/>
      <c r="M329" s="451"/>
      <c r="N329" s="451"/>
      <c r="O329" s="451"/>
      <c r="P329" s="451"/>
      <c r="Q329" s="451"/>
      <c r="R329" s="451"/>
      <c r="S329" s="451"/>
      <c r="T329" s="451"/>
      <c r="U329" s="451"/>
      <c r="V329" s="451"/>
      <c r="W329" s="451"/>
      <c r="X329" s="451"/>
      <c r="Y329" s="451"/>
      <c r="Z329" s="451"/>
      <c r="AA329" s="451"/>
      <c r="AB329" s="451"/>
      <c r="AC329" s="451"/>
      <c r="AD329" s="451"/>
    </row>
    <row r="330">
      <c r="A330" s="501" t="s">
        <v>4132</v>
      </c>
      <c r="B330" s="466" t="s">
        <v>5931</v>
      </c>
      <c r="C330" s="467" t="s">
        <v>5671</v>
      </c>
      <c r="D330" s="467" t="s">
        <v>5725</v>
      </c>
      <c r="E330" s="467" t="s">
        <v>5659</v>
      </c>
      <c r="F330" s="271" t="s">
        <v>5951</v>
      </c>
      <c r="G330" s="451"/>
      <c r="H330" s="451"/>
      <c r="I330" s="451"/>
      <c r="J330" s="451"/>
      <c r="K330" s="451"/>
      <c r="L330" s="451"/>
      <c r="M330" s="451"/>
      <c r="N330" s="451"/>
      <c r="O330" s="451"/>
      <c r="P330" s="451"/>
      <c r="Q330" s="451"/>
      <c r="R330" s="451"/>
      <c r="S330" s="451"/>
      <c r="T330" s="451"/>
      <c r="U330" s="451"/>
      <c r="V330" s="451"/>
      <c r="W330" s="451"/>
      <c r="X330" s="451"/>
      <c r="Y330" s="451"/>
      <c r="Z330" s="451"/>
      <c r="AA330" s="451"/>
      <c r="AB330" s="451"/>
      <c r="AC330" s="451"/>
      <c r="AD330" s="451"/>
    </row>
    <row r="331">
      <c r="A331" s="501" t="s">
        <v>4134</v>
      </c>
      <c r="B331" s="466" t="s">
        <v>6038</v>
      </c>
      <c r="C331" s="467" t="s">
        <v>5682</v>
      </c>
      <c r="D331" s="467" t="s">
        <v>5725</v>
      </c>
      <c r="E331" s="467" t="s">
        <v>5659</v>
      </c>
      <c r="F331" s="271" t="s">
        <v>5951</v>
      </c>
      <c r="G331" s="451"/>
      <c r="H331" s="451"/>
      <c r="I331" s="451"/>
      <c r="J331" s="451"/>
      <c r="K331" s="451"/>
      <c r="L331" s="451"/>
      <c r="M331" s="451"/>
      <c r="N331" s="451"/>
      <c r="O331" s="451"/>
      <c r="P331" s="451"/>
      <c r="Q331" s="451"/>
      <c r="R331" s="451"/>
      <c r="S331" s="451"/>
      <c r="T331" s="451"/>
      <c r="U331" s="451"/>
      <c r="V331" s="451"/>
      <c r="W331" s="451"/>
      <c r="X331" s="451"/>
      <c r="Y331" s="451"/>
      <c r="Z331" s="451"/>
      <c r="AA331" s="451"/>
      <c r="AB331" s="451"/>
      <c r="AC331" s="451"/>
      <c r="AD331" s="451"/>
    </row>
    <row r="332">
      <c r="A332" s="501" t="s">
        <v>4135</v>
      </c>
      <c r="B332" s="466" t="s">
        <v>5931</v>
      </c>
      <c r="C332" s="467" t="s">
        <v>5682</v>
      </c>
      <c r="D332" s="467" t="s">
        <v>5725</v>
      </c>
      <c r="E332" s="467" t="s">
        <v>5659</v>
      </c>
      <c r="F332" s="271" t="s">
        <v>5951</v>
      </c>
      <c r="G332" s="451"/>
      <c r="H332" s="451"/>
      <c r="I332" s="451"/>
      <c r="J332" s="451"/>
      <c r="K332" s="451"/>
      <c r="L332" s="451"/>
      <c r="M332" s="451"/>
      <c r="N332" s="451"/>
      <c r="O332" s="451"/>
      <c r="P332" s="451"/>
      <c r="Q332" s="451"/>
      <c r="R332" s="451"/>
      <c r="S332" s="451"/>
      <c r="T332" s="451"/>
      <c r="U332" s="451"/>
      <c r="V332" s="451"/>
      <c r="W332" s="451"/>
      <c r="X332" s="451"/>
      <c r="Y332" s="451"/>
      <c r="Z332" s="451"/>
      <c r="AA332" s="451"/>
      <c r="AB332" s="451"/>
      <c r="AC332" s="451"/>
      <c r="AD332" s="451"/>
    </row>
    <row r="333">
      <c r="A333" s="501" t="s">
        <v>6046</v>
      </c>
      <c r="B333" s="466" t="s">
        <v>5699</v>
      </c>
      <c r="C333" s="467" t="s">
        <v>5682</v>
      </c>
      <c r="D333" s="467" t="s">
        <v>5658</v>
      </c>
      <c r="E333" s="467" t="s">
        <v>5727</v>
      </c>
      <c r="F333" s="497" t="s">
        <v>4140</v>
      </c>
      <c r="G333" s="498">
        <v>2.0</v>
      </c>
      <c r="H333" s="497" t="s">
        <v>5728</v>
      </c>
      <c r="I333" s="497" t="s">
        <v>2702</v>
      </c>
      <c r="J333" s="497" t="s">
        <v>6041</v>
      </c>
      <c r="K333" s="497" t="s">
        <v>5721</v>
      </c>
      <c r="L333" s="498">
        <v>1.0</v>
      </c>
      <c r="M333" s="497" t="s">
        <v>6047</v>
      </c>
      <c r="N333" s="497" t="s">
        <v>6048</v>
      </c>
      <c r="O333" s="498">
        <v>311.0</v>
      </c>
      <c r="P333" s="497" t="s">
        <v>6049</v>
      </c>
      <c r="Q333" s="499"/>
      <c r="R333" s="500"/>
      <c r="S333" s="500"/>
      <c r="T333" s="500"/>
      <c r="U333" s="500"/>
      <c r="V333" s="500"/>
      <c r="W333" s="500"/>
      <c r="X333" s="500"/>
      <c r="Y333" s="500"/>
      <c r="Z333" s="500"/>
      <c r="AA333" s="500"/>
      <c r="AB333" s="500"/>
      <c r="AC333" s="500"/>
      <c r="AD333" s="500"/>
      <c r="AE333" s="497"/>
    </row>
    <row r="334">
      <c r="A334" s="501" t="s">
        <v>4954</v>
      </c>
      <c r="B334" s="518" t="str">
        <f>HYPERLINK("https://www.cnnindonesia.com/internasional/20190813083301-120-420764/gudang-peluru-di-irak-meledak-13-orang-luka-luka","CNN")</f>
        <v>CNN</v>
      </c>
      <c r="C334" s="467" t="s">
        <v>5681</v>
      </c>
      <c r="D334" s="467" t="s">
        <v>5719</v>
      </c>
      <c r="E334" s="467" t="s">
        <v>5659</v>
      </c>
      <c r="F334" s="271" t="s">
        <v>5951</v>
      </c>
      <c r="G334" s="451"/>
      <c r="H334" s="451"/>
      <c r="I334" s="451"/>
      <c r="J334" s="451"/>
      <c r="K334" s="451"/>
      <c r="L334" s="451"/>
      <c r="M334" s="451"/>
      <c r="N334" s="451"/>
      <c r="O334" s="451"/>
      <c r="P334" s="451"/>
      <c r="Q334" s="451"/>
      <c r="R334" s="451"/>
      <c r="S334" s="451"/>
      <c r="T334" s="451"/>
      <c r="U334" s="451"/>
      <c r="V334" s="451"/>
      <c r="W334" s="451"/>
      <c r="X334" s="451"/>
      <c r="Y334" s="451"/>
      <c r="Z334" s="451"/>
      <c r="AA334" s="451"/>
      <c r="AB334" s="451"/>
      <c r="AC334" s="451"/>
      <c r="AD334" s="451"/>
    </row>
    <row r="335">
      <c r="A335" s="501" t="s">
        <v>4959</v>
      </c>
      <c r="B335" s="518" t="str">
        <f>HYPERLINK("https://dunia.tempo.co/read/1237746/isis-klaim-dalang-serangan-resepsi-pernikahan-di-afganistan/full&amp;view=ok","Tempo.co")</f>
        <v>Tempo.co</v>
      </c>
      <c r="C335" s="467" t="s">
        <v>5682</v>
      </c>
      <c r="D335" s="467" t="s">
        <v>5719</v>
      </c>
      <c r="E335" s="467" t="s">
        <v>5659</v>
      </c>
      <c r="F335" s="271" t="s">
        <v>5951</v>
      </c>
      <c r="G335" s="451"/>
      <c r="H335" s="451"/>
      <c r="I335" s="451"/>
      <c r="J335" s="451"/>
      <c r="K335" s="451"/>
      <c r="L335" s="451"/>
      <c r="M335" s="451"/>
      <c r="N335" s="451"/>
      <c r="O335" s="451"/>
      <c r="P335" s="451"/>
      <c r="Q335" s="451"/>
      <c r="R335" s="451"/>
      <c r="S335" s="451"/>
      <c r="T335" s="451"/>
      <c r="U335" s="451"/>
      <c r="V335" s="451"/>
      <c r="W335" s="451"/>
      <c r="X335" s="451"/>
      <c r="Y335" s="451"/>
      <c r="Z335" s="451"/>
      <c r="AA335" s="451"/>
      <c r="AB335" s="451"/>
      <c r="AC335" s="451"/>
      <c r="AD335" s="451"/>
    </row>
    <row r="336">
      <c r="A336" s="501" t="s">
        <v>4142</v>
      </c>
      <c r="B336" s="466" t="s">
        <v>5946</v>
      </c>
      <c r="C336" s="467" t="s">
        <v>5681</v>
      </c>
      <c r="D336" s="467" t="s">
        <v>5658</v>
      </c>
      <c r="E336" s="467" t="s">
        <v>5727</v>
      </c>
      <c r="F336" s="271" t="s">
        <v>5951</v>
      </c>
      <c r="G336" s="451"/>
      <c r="H336" s="451"/>
      <c r="I336" s="451"/>
      <c r="J336" s="451"/>
      <c r="K336" s="451"/>
      <c r="L336" s="451"/>
      <c r="M336" s="451"/>
      <c r="N336" s="451"/>
      <c r="O336" s="451"/>
      <c r="P336" s="451"/>
      <c r="Q336" s="451"/>
      <c r="R336" s="451"/>
      <c r="S336" s="451"/>
      <c r="T336" s="451"/>
      <c r="U336" s="451"/>
      <c r="V336" s="451"/>
      <c r="W336" s="451"/>
      <c r="X336" s="451"/>
      <c r="Y336" s="451"/>
      <c r="Z336" s="451"/>
      <c r="AA336" s="451"/>
      <c r="AB336" s="451"/>
      <c r="AC336" s="451"/>
      <c r="AD336" s="451"/>
    </row>
    <row r="337">
      <c r="A337" s="501" t="s">
        <v>4146</v>
      </c>
      <c r="B337" s="466" t="s">
        <v>6038</v>
      </c>
      <c r="C337" s="467" t="s">
        <v>5682</v>
      </c>
      <c r="D337" s="467" t="s">
        <v>5658</v>
      </c>
      <c r="E337" s="467" t="s">
        <v>5727</v>
      </c>
      <c r="F337" s="271" t="s">
        <v>5951</v>
      </c>
      <c r="G337" s="451"/>
      <c r="H337" s="451"/>
      <c r="I337" s="451"/>
      <c r="J337" s="451"/>
      <c r="K337" s="451"/>
      <c r="L337" s="451"/>
      <c r="M337" s="451"/>
      <c r="N337" s="451"/>
      <c r="O337" s="451"/>
      <c r="P337" s="451"/>
      <c r="Q337" s="451"/>
      <c r="R337" s="451"/>
      <c r="S337" s="451"/>
      <c r="T337" s="451"/>
      <c r="U337" s="451"/>
      <c r="V337" s="451"/>
      <c r="W337" s="451"/>
      <c r="X337" s="451"/>
      <c r="Y337" s="451"/>
      <c r="Z337" s="451"/>
      <c r="AA337" s="451"/>
      <c r="AB337" s="451"/>
      <c r="AC337" s="451"/>
      <c r="AD337" s="451"/>
    </row>
    <row r="338">
      <c r="A338" s="501" t="s">
        <v>4105</v>
      </c>
      <c r="B338" s="466" t="s">
        <v>6039</v>
      </c>
      <c r="C338" s="467" t="s">
        <v>5681</v>
      </c>
      <c r="D338" s="467" t="s">
        <v>5683</v>
      </c>
      <c r="E338" s="467" t="s">
        <v>5659</v>
      </c>
      <c r="F338" s="271" t="s">
        <v>5951</v>
      </c>
      <c r="G338" s="451"/>
      <c r="H338" s="451"/>
      <c r="I338" s="451"/>
      <c r="J338" s="451"/>
      <c r="K338" s="451"/>
      <c r="L338" s="451"/>
      <c r="M338" s="451"/>
      <c r="N338" s="451"/>
      <c r="O338" s="451"/>
      <c r="P338" s="451"/>
      <c r="Q338" s="451"/>
      <c r="R338" s="451"/>
      <c r="S338" s="451"/>
      <c r="T338" s="451"/>
      <c r="U338" s="451"/>
      <c r="V338" s="451"/>
      <c r="W338" s="451"/>
      <c r="X338" s="451"/>
      <c r="Y338" s="451"/>
      <c r="Z338" s="451"/>
      <c r="AA338" s="451"/>
      <c r="AB338" s="451"/>
      <c r="AC338" s="451"/>
      <c r="AD338" s="451"/>
    </row>
    <row r="339">
      <c r="A339" s="501" t="s">
        <v>4960</v>
      </c>
      <c r="B339" s="518" t="str">
        <f>HYPERLINK("https://www.liputan6.com/global/read/4048210/israel-mengebom-faksi-palestina-di-perbatasan-lebanon-suriahhttps://www.liputan6.com/global/read/4048210/israel-mengebom-faksi-palestina-di-perbatasan-lebanon-suriah","Liputan6")</f>
        <v>Liputan6</v>
      </c>
      <c r="C339" s="467" t="s">
        <v>5681</v>
      </c>
      <c r="D339" s="467" t="s">
        <v>5719</v>
      </c>
      <c r="E339" s="467" t="s">
        <v>5659</v>
      </c>
      <c r="F339" s="271" t="s">
        <v>5951</v>
      </c>
      <c r="G339" s="451"/>
      <c r="H339" s="451"/>
      <c r="I339" s="451"/>
      <c r="J339" s="451"/>
      <c r="K339" s="451"/>
      <c r="L339" s="451"/>
      <c r="M339" s="451"/>
      <c r="N339" s="451"/>
      <c r="O339" s="451"/>
      <c r="P339" s="451"/>
      <c r="Q339" s="451"/>
      <c r="R339" s="451"/>
      <c r="S339" s="451"/>
      <c r="T339" s="451"/>
      <c r="U339" s="451"/>
      <c r="V339" s="451"/>
      <c r="W339" s="451"/>
      <c r="X339" s="451"/>
      <c r="Y339" s="451"/>
      <c r="Z339" s="451"/>
      <c r="AA339" s="451"/>
      <c r="AB339" s="451"/>
      <c r="AC339" s="451"/>
      <c r="AD339" s="451"/>
    </row>
    <row r="340">
      <c r="A340" s="501" t="s">
        <v>4963</v>
      </c>
      <c r="B340" s="518" t="str">
        <f>HYPERLINK("https://www.suara.com/news/2019/09/02/102017/jk-akan-berikan-orasi-ilmiah-di-milad-ke-58-unsyiah","Suara")</f>
        <v>Suara</v>
      </c>
      <c r="C340" s="467" t="s">
        <v>5682</v>
      </c>
      <c r="D340" s="467" t="s">
        <v>5725</v>
      </c>
      <c r="E340" s="467" t="s">
        <v>5659</v>
      </c>
      <c r="F340" s="271" t="s">
        <v>5951</v>
      </c>
      <c r="G340" s="451"/>
      <c r="H340" s="451"/>
      <c r="I340" s="451"/>
      <c r="J340" s="451"/>
      <c r="K340" s="451"/>
      <c r="L340" s="451"/>
      <c r="M340" s="451"/>
      <c r="N340" s="451"/>
      <c r="O340" s="451"/>
      <c r="P340" s="451"/>
      <c r="Q340" s="451"/>
      <c r="R340" s="451"/>
      <c r="S340" s="451"/>
      <c r="T340" s="451"/>
      <c r="U340" s="451"/>
      <c r="V340" s="451"/>
      <c r="W340" s="451"/>
      <c r="X340" s="451"/>
      <c r="Y340" s="451"/>
      <c r="Z340" s="451"/>
      <c r="AA340" s="451"/>
      <c r="AB340" s="451"/>
      <c r="AC340" s="451"/>
      <c r="AD340" s="451"/>
    </row>
    <row r="341">
      <c r="A341" s="501" t="s">
        <v>4964</v>
      </c>
      <c r="B341" s="518" t="str">
        <f>HYPERLINK("https://www.cnnindonesia.com/nasional/20190903160823-20-427169/panja-uu-perkawinan-sepakati-usia-minimal-nikah-18-tahun","CNN")</f>
        <v>CNN</v>
      </c>
      <c r="C341" s="467" t="s">
        <v>5681</v>
      </c>
      <c r="D341" s="467" t="s">
        <v>5725</v>
      </c>
      <c r="E341" s="467" t="s">
        <v>5659</v>
      </c>
      <c r="F341" s="271" t="s">
        <v>5951</v>
      </c>
      <c r="G341" s="451"/>
      <c r="H341" s="451"/>
      <c r="I341" s="451"/>
      <c r="J341" s="451"/>
      <c r="K341" s="451"/>
      <c r="L341" s="451"/>
      <c r="M341" s="451"/>
      <c r="N341" s="451"/>
      <c r="O341" s="451"/>
      <c r="P341" s="451"/>
      <c r="Q341" s="451"/>
      <c r="R341" s="451"/>
      <c r="S341" s="451"/>
      <c r="T341" s="451"/>
      <c r="U341" s="451"/>
      <c r="V341" s="451"/>
      <c r="W341" s="451"/>
      <c r="X341" s="451"/>
      <c r="Y341" s="451"/>
      <c r="Z341" s="451"/>
      <c r="AA341" s="451"/>
      <c r="AB341" s="451"/>
      <c r="AC341" s="451"/>
      <c r="AD341" s="451"/>
    </row>
    <row r="342">
      <c r="A342" s="501" t="s">
        <v>4965</v>
      </c>
      <c r="B342" s="518" t="str">
        <f>HYPERLINK("https://www.cnnindonesia.com/nasional/20190101165845-32-357793/prabowo-2019-tahun-penentuan-dan-kebangkitan-kembali","CNN")</f>
        <v>CNN</v>
      </c>
      <c r="C342" s="467" t="s">
        <v>5657</v>
      </c>
      <c r="D342" s="467" t="s">
        <v>5658</v>
      </c>
      <c r="E342" s="467" t="s">
        <v>5727</v>
      </c>
      <c r="F342" s="271" t="s">
        <v>5951</v>
      </c>
      <c r="G342" s="451"/>
      <c r="H342" s="451"/>
      <c r="I342" s="451"/>
      <c r="J342" s="451"/>
      <c r="K342" s="451"/>
      <c r="L342" s="451"/>
      <c r="M342" s="451"/>
      <c r="N342" s="451"/>
      <c r="O342" s="451"/>
      <c r="P342" s="451"/>
      <c r="Q342" s="451"/>
      <c r="R342" s="451"/>
      <c r="S342" s="451"/>
      <c r="T342" s="451"/>
      <c r="U342" s="451"/>
      <c r="V342" s="451"/>
      <c r="W342" s="451"/>
      <c r="X342" s="451"/>
      <c r="Y342" s="451"/>
      <c r="Z342" s="451"/>
      <c r="AA342" s="451"/>
      <c r="AB342" s="451"/>
      <c r="AC342" s="451"/>
      <c r="AD342" s="451"/>
    </row>
    <row r="343">
      <c r="A343" s="501" t="s">
        <v>4966</v>
      </c>
      <c r="B343" s="518" t="str">
        <f>HYPERLINK("https://www.cnnindonesia.com/hiburan/20190103134402-220-358202/rima-melati-adams-dibutakan-hantu-kebaya-merah","CNN")</f>
        <v>CNN</v>
      </c>
      <c r="C343" s="467" t="s">
        <v>5664</v>
      </c>
      <c r="D343" s="467" t="s">
        <v>5658</v>
      </c>
      <c r="E343" s="467" t="s">
        <v>5727</v>
      </c>
      <c r="F343" s="271" t="s">
        <v>5951</v>
      </c>
      <c r="G343" s="451"/>
      <c r="H343" s="451"/>
      <c r="I343" s="451"/>
      <c r="J343" s="451"/>
      <c r="K343" s="451"/>
      <c r="L343" s="451"/>
      <c r="M343" s="451"/>
      <c r="N343" s="451"/>
      <c r="O343" s="451"/>
      <c r="P343" s="451"/>
      <c r="Q343" s="451"/>
      <c r="R343" s="451"/>
      <c r="S343" s="451"/>
      <c r="T343" s="451"/>
      <c r="U343" s="451"/>
      <c r="V343" s="451"/>
      <c r="W343" s="451"/>
      <c r="X343" s="451"/>
      <c r="Y343" s="451"/>
      <c r="Z343" s="451"/>
      <c r="AA343" s="451"/>
      <c r="AB343" s="451"/>
      <c r="AC343" s="451"/>
      <c r="AD343" s="451"/>
    </row>
    <row r="344">
      <c r="A344" s="501" t="s">
        <v>4967</v>
      </c>
      <c r="B344" s="518" t="str">
        <f>HYPERLINK("https://tekno.tempo.co/read/1161485/rilis-di-indonesia-harga-oppo-r17-pro-rp-9999-juta/full&amp;view=ok","Tempo.co")</f>
        <v>Tempo.co</v>
      </c>
      <c r="C344" s="467" t="s">
        <v>5667</v>
      </c>
      <c r="D344" s="467" t="s">
        <v>5658</v>
      </c>
      <c r="E344" s="467" t="s">
        <v>5727</v>
      </c>
      <c r="F344" s="271" t="s">
        <v>5951</v>
      </c>
      <c r="G344" s="451"/>
      <c r="H344" s="451"/>
      <c r="I344" s="451"/>
      <c r="J344" s="451"/>
      <c r="K344" s="451"/>
      <c r="L344" s="451"/>
      <c r="M344" s="451"/>
      <c r="N344" s="451"/>
      <c r="O344" s="451"/>
      <c r="P344" s="451"/>
      <c r="Q344" s="451"/>
      <c r="R344" s="451"/>
      <c r="S344" s="451"/>
      <c r="T344" s="451"/>
      <c r="U344" s="451"/>
      <c r="V344" s="451"/>
      <c r="W344" s="451"/>
      <c r="X344" s="451"/>
      <c r="Y344" s="451"/>
      <c r="Z344" s="451"/>
      <c r="AA344" s="451"/>
      <c r="AB344" s="451"/>
      <c r="AC344" s="451"/>
      <c r="AD344" s="451"/>
    </row>
    <row r="345">
      <c r="A345" s="501" t="s">
        <v>4968</v>
      </c>
      <c r="B345" s="518" t="str">
        <f>HYPERLINK("https://tirto.id/indikator-debat-pilpres-berdampak-kuat-bagi-swing-voters-ddMC","Tirto.od")</f>
        <v>Tirto.od</v>
      </c>
      <c r="C345" s="467" t="s">
        <v>5681</v>
      </c>
      <c r="D345" s="467" t="s">
        <v>5658</v>
      </c>
      <c r="E345" s="467" t="s">
        <v>5727</v>
      </c>
      <c r="F345" s="271" t="s">
        <v>5951</v>
      </c>
      <c r="G345" s="451"/>
      <c r="H345" s="451"/>
      <c r="I345" s="451"/>
      <c r="J345" s="451"/>
      <c r="K345" s="451"/>
      <c r="L345" s="451"/>
      <c r="M345" s="451"/>
      <c r="N345" s="451"/>
      <c r="O345" s="451"/>
      <c r="P345" s="451"/>
      <c r="Q345" s="451"/>
      <c r="R345" s="451"/>
      <c r="S345" s="451"/>
      <c r="T345" s="451"/>
      <c r="U345" s="451"/>
      <c r="V345" s="451"/>
      <c r="W345" s="451"/>
      <c r="X345" s="451"/>
      <c r="Y345" s="451"/>
      <c r="Z345" s="451"/>
      <c r="AA345" s="451"/>
      <c r="AB345" s="451"/>
      <c r="AC345" s="451"/>
      <c r="AD345" s="451"/>
    </row>
    <row r="346">
      <c r="A346" s="501" t="s">
        <v>2116</v>
      </c>
      <c r="B346" s="518" t="str">
        <f>HYPERLINK("https://www.suara.com/news/2019/01/14/184627/prabowo-ancam-mundur-dari-pilpres-2019-kpu-itu-pernyataan-politik","Suara")</f>
        <v>Suara</v>
      </c>
      <c r="C346" s="467" t="s">
        <v>5682</v>
      </c>
      <c r="D346" s="467" t="s">
        <v>5658</v>
      </c>
      <c r="E346" s="467" t="s">
        <v>5727</v>
      </c>
      <c r="F346" s="497" t="s">
        <v>6050</v>
      </c>
      <c r="G346" s="498">
        <v>2.0</v>
      </c>
      <c r="H346" s="497" t="s">
        <v>5728</v>
      </c>
      <c r="I346" s="497" t="s">
        <v>2698</v>
      </c>
      <c r="J346" s="497" t="s">
        <v>6051</v>
      </c>
      <c r="K346" s="497" t="s">
        <v>5721</v>
      </c>
      <c r="L346" s="498">
        <v>1.0</v>
      </c>
      <c r="M346" s="497" t="s">
        <v>6052</v>
      </c>
      <c r="N346" s="497" t="s">
        <v>6053</v>
      </c>
      <c r="O346" s="498">
        <v>1025.0</v>
      </c>
      <c r="P346" s="497" t="s">
        <v>6054</v>
      </c>
      <c r="Q346" s="499"/>
      <c r="R346" s="500"/>
      <c r="S346" s="500"/>
      <c r="T346" s="500"/>
      <c r="U346" s="500"/>
      <c r="V346" s="500"/>
      <c r="W346" s="500"/>
      <c r="X346" s="500"/>
      <c r="Y346" s="500"/>
      <c r="Z346" s="500"/>
      <c r="AA346" s="500"/>
      <c r="AB346" s="500"/>
      <c r="AC346" s="500"/>
      <c r="AD346" s="500"/>
      <c r="AE346" s="497"/>
    </row>
    <row r="347">
      <c r="A347" s="501" t="s">
        <v>4971</v>
      </c>
      <c r="B347" s="518" t="str">
        <f>HYPERLINK("https://www.tribunnews.com/nasional/2019/01/14/kolaborasi-agustina-dan-agustanto-semangati-relawan-demi-jokowi","Tribun")</f>
        <v>Tribun</v>
      </c>
      <c r="C347" s="467" t="s">
        <v>5682</v>
      </c>
      <c r="D347" s="467" t="s">
        <v>5658</v>
      </c>
      <c r="E347" s="467" t="s">
        <v>5727</v>
      </c>
      <c r="F347" s="271" t="s">
        <v>5951</v>
      </c>
      <c r="G347" s="451"/>
      <c r="H347" s="451"/>
      <c r="I347" s="451"/>
      <c r="J347" s="451"/>
      <c r="K347" s="451"/>
      <c r="L347" s="451"/>
      <c r="M347" s="451"/>
      <c r="N347" s="451"/>
      <c r="O347" s="451"/>
      <c r="P347" s="451"/>
      <c r="Q347" s="451"/>
      <c r="R347" s="451"/>
      <c r="S347" s="451"/>
      <c r="T347" s="451"/>
      <c r="U347" s="451"/>
      <c r="V347" s="451"/>
      <c r="W347" s="451"/>
      <c r="X347" s="451"/>
      <c r="Y347" s="451"/>
      <c r="Z347" s="451"/>
      <c r="AA347" s="451"/>
      <c r="AB347" s="451"/>
      <c r="AC347" s="451"/>
      <c r="AD347" s="451"/>
    </row>
    <row r="348">
      <c r="A348" s="501" t="s">
        <v>4972</v>
      </c>
      <c r="B348" s="518" t="str">
        <f>HYPERLINK("https://www.tribunnews.com/kesehatan/2019/01/16/ajaib-dokter-temukan-janin-bayi-di-perut-bayi-berusia-3-bulan","Tribun")</f>
        <v>Tribun</v>
      </c>
      <c r="C348" s="467" t="s">
        <v>5657</v>
      </c>
      <c r="D348" s="467" t="s">
        <v>5658</v>
      </c>
      <c r="E348" s="467" t="s">
        <v>5727</v>
      </c>
      <c r="F348" s="271" t="s">
        <v>5951</v>
      </c>
      <c r="G348" s="451"/>
      <c r="H348" s="451"/>
      <c r="I348" s="451"/>
      <c r="J348" s="451"/>
      <c r="K348" s="451"/>
      <c r="L348" s="451"/>
      <c r="M348" s="451"/>
      <c r="N348" s="451"/>
      <c r="O348" s="451"/>
      <c r="P348" s="451"/>
      <c r="Q348" s="451"/>
      <c r="R348" s="451"/>
      <c r="S348" s="451"/>
      <c r="T348" s="451"/>
      <c r="U348" s="451"/>
      <c r="V348" s="451"/>
      <c r="W348" s="451"/>
      <c r="X348" s="451"/>
      <c r="Y348" s="451"/>
      <c r="Z348" s="451"/>
      <c r="AA348" s="451"/>
      <c r="AB348" s="451"/>
      <c r="AC348" s="451"/>
      <c r="AD348" s="451"/>
    </row>
    <row r="349">
      <c r="A349" s="501" t="s">
        <v>4973</v>
      </c>
      <c r="B349" s="518" t="str">
        <f>HYPERLINK("https://www.liputan6.com/pilpres/read/3873637/prabowo-sebut-presiden-chief-law-officer-tim-jokowi-itu-kesalahan-fatal","Liputan6")</f>
        <v>Liputan6</v>
      </c>
      <c r="C349" s="467" t="s">
        <v>5667</v>
      </c>
      <c r="D349" s="467" t="s">
        <v>5658</v>
      </c>
      <c r="E349" s="467" t="s">
        <v>5727</v>
      </c>
      <c r="F349" s="271" t="s">
        <v>5951</v>
      </c>
      <c r="G349" s="451"/>
      <c r="H349" s="451"/>
      <c r="I349" s="451"/>
      <c r="J349" s="451"/>
      <c r="K349" s="451"/>
      <c r="L349" s="451"/>
      <c r="M349" s="451"/>
      <c r="N349" s="451"/>
      <c r="O349" s="451"/>
      <c r="P349" s="451"/>
      <c r="Q349" s="451"/>
      <c r="R349" s="451"/>
      <c r="S349" s="451"/>
      <c r="T349" s="451"/>
      <c r="U349" s="451"/>
      <c r="V349" s="451"/>
      <c r="W349" s="451"/>
      <c r="X349" s="451"/>
      <c r="Y349" s="451"/>
      <c r="Z349" s="451"/>
      <c r="AA349" s="451"/>
      <c r="AB349" s="451"/>
      <c r="AC349" s="451"/>
      <c r="AD349" s="451"/>
    </row>
    <row r="350">
      <c r="A350" s="501" t="s">
        <v>4978</v>
      </c>
      <c r="B350" s="518" t="str">
        <f>HYPERLINK("https://tirto.id/hasil-liverpool-vs-palace-4-3-the-reds-jauhi-city-7-poin-deLd","Tribun")</f>
        <v>Tribun</v>
      </c>
      <c r="C350" s="467" t="s">
        <v>5682</v>
      </c>
      <c r="D350" s="467" t="s">
        <v>5658</v>
      </c>
      <c r="E350" s="467" t="s">
        <v>5727</v>
      </c>
      <c r="F350" s="271" t="s">
        <v>5951</v>
      </c>
      <c r="G350" s="451"/>
      <c r="H350" s="451"/>
      <c r="I350" s="451"/>
      <c r="J350" s="451"/>
      <c r="K350" s="451"/>
      <c r="L350" s="451"/>
      <c r="M350" s="451"/>
      <c r="N350" s="451"/>
      <c r="O350" s="451"/>
      <c r="P350" s="451"/>
      <c r="Q350" s="451"/>
      <c r="R350" s="451"/>
      <c r="S350" s="451"/>
      <c r="T350" s="451"/>
      <c r="U350" s="451"/>
      <c r="V350" s="451"/>
      <c r="W350" s="451"/>
      <c r="X350" s="451"/>
      <c r="Y350" s="451"/>
      <c r="Z350" s="451"/>
      <c r="AA350" s="451"/>
      <c r="AB350" s="451"/>
      <c r="AC350" s="451"/>
      <c r="AD350" s="451"/>
    </row>
    <row r="351">
      <c r="A351" s="501" t="s">
        <v>4979</v>
      </c>
      <c r="B351" s="518" t="str">
        <f>HYPERLINK("https://travel.tempo.co/read/1169892/ini-alasan-perayaan-cap-go-meh-singkawang-jadi-agenda-wajib/full&amp;view=ok","Tempo.co")</f>
        <v>Tempo.co</v>
      </c>
      <c r="C351" s="467" t="s">
        <v>5681</v>
      </c>
      <c r="D351" s="467" t="s">
        <v>5658</v>
      </c>
      <c r="E351" s="467" t="s">
        <v>5727</v>
      </c>
      <c r="F351" s="519" t="s">
        <v>6055</v>
      </c>
      <c r="G351" s="520">
        <v>2.0</v>
      </c>
      <c r="H351" s="519" t="s">
        <v>5728</v>
      </c>
      <c r="I351" s="519" t="s">
        <v>2702</v>
      </c>
      <c r="J351" s="519" t="s">
        <v>6056</v>
      </c>
      <c r="K351" s="519" t="s">
        <v>5750</v>
      </c>
      <c r="L351" s="520">
        <v>1.0</v>
      </c>
      <c r="M351" s="519" t="s">
        <v>6057</v>
      </c>
      <c r="N351" s="519" t="s">
        <v>6058</v>
      </c>
      <c r="O351" s="520">
        <v>413.0</v>
      </c>
      <c r="P351" s="519" t="s">
        <v>6059</v>
      </c>
      <c r="Q351" s="521"/>
      <c r="R351" s="522"/>
      <c r="S351" s="522"/>
      <c r="T351" s="522"/>
      <c r="U351" s="522"/>
      <c r="V351" s="522"/>
      <c r="W351" s="522"/>
      <c r="X351" s="522"/>
      <c r="Y351" s="522"/>
      <c r="Z351" s="522"/>
      <c r="AA351" s="522"/>
      <c r="AB351" s="522"/>
      <c r="AC351" s="522"/>
      <c r="AD351" s="522"/>
      <c r="AE351" s="519"/>
    </row>
    <row r="352">
      <c r="A352" s="501" t="s">
        <v>4986</v>
      </c>
      <c r="B352" s="518" t="str">
        <f>HYPERLINK("https://www.suara.com/lifestyle/2019/02/09/070500/air-sisa-mandi-idol-jepang-ini-dijual-seharga-rp-12-juta-per-botol","Suara")</f>
        <v>Suara</v>
      </c>
      <c r="C352" s="467" t="s">
        <v>5670</v>
      </c>
      <c r="D352" s="467" t="s">
        <v>5668</v>
      </c>
      <c r="E352" s="467" t="s">
        <v>5727</v>
      </c>
      <c r="F352" s="497" t="s">
        <v>6060</v>
      </c>
      <c r="G352" s="498">
        <v>2.0</v>
      </c>
      <c r="H352" s="497" t="s">
        <v>5728</v>
      </c>
      <c r="I352" s="497" t="s">
        <v>2698</v>
      </c>
      <c r="J352" s="497" t="s">
        <v>6061</v>
      </c>
      <c r="K352" s="497" t="s">
        <v>5786</v>
      </c>
      <c r="L352" s="498">
        <v>2.0</v>
      </c>
      <c r="M352" s="497" t="s">
        <v>5790</v>
      </c>
      <c r="N352" s="497" t="s">
        <v>6062</v>
      </c>
      <c r="O352" s="498">
        <v>215.0</v>
      </c>
      <c r="P352" s="497" t="s">
        <v>6063</v>
      </c>
      <c r="Q352" s="499"/>
      <c r="R352" s="500"/>
      <c r="S352" s="500"/>
      <c r="T352" s="500"/>
      <c r="U352" s="500"/>
      <c r="V352" s="500"/>
      <c r="W352" s="500"/>
      <c r="X352" s="500"/>
      <c r="Y352" s="500"/>
      <c r="Z352" s="500"/>
      <c r="AA352" s="500"/>
      <c r="AB352" s="500"/>
      <c r="AC352" s="500"/>
      <c r="AD352" s="500"/>
      <c r="AE352" s="497"/>
    </row>
    <row r="353">
      <c r="A353" s="501" t="s">
        <v>4987</v>
      </c>
      <c r="B353" s="518" t="str">
        <f>HYPERLINK("https://regional.kompas.com/read/2019/02/11/10000061/caleg-bobot-maksimum-juga-punya-adik-bernama-unik-lulus-ujian-dari-dan-bibit","Kompas")</f>
        <v>Kompas</v>
      </c>
      <c r="C353" s="467" t="s">
        <v>5682</v>
      </c>
      <c r="D353" s="467" t="s">
        <v>5668</v>
      </c>
      <c r="E353" s="467" t="s">
        <v>5727</v>
      </c>
      <c r="F353" s="516" t="s">
        <v>6064</v>
      </c>
      <c r="G353" s="498">
        <v>2.0</v>
      </c>
      <c r="H353" s="497" t="s">
        <v>5728</v>
      </c>
      <c r="I353" s="497" t="s">
        <v>2724</v>
      </c>
      <c r="J353" s="497" t="s">
        <v>6065</v>
      </c>
      <c r="K353" s="497" t="s">
        <v>5721</v>
      </c>
      <c r="L353" s="498">
        <v>2.0</v>
      </c>
      <c r="M353" s="497" t="s">
        <v>5722</v>
      </c>
      <c r="N353" s="497" t="s">
        <v>6066</v>
      </c>
      <c r="O353" s="498">
        <v>392.0</v>
      </c>
      <c r="P353" s="497" t="s">
        <v>6067</v>
      </c>
      <c r="Q353" s="499"/>
      <c r="R353" s="500"/>
      <c r="S353" s="500"/>
      <c r="T353" s="500"/>
      <c r="U353" s="500"/>
      <c r="V353" s="500"/>
      <c r="W353" s="500"/>
      <c r="X353" s="500"/>
      <c r="Y353" s="500"/>
      <c r="Z353" s="500"/>
      <c r="AA353" s="500"/>
      <c r="AB353" s="500"/>
      <c r="AC353" s="500"/>
      <c r="AD353" s="500"/>
      <c r="AE353" s="497"/>
    </row>
    <row r="354">
      <c r="A354" s="501" t="s">
        <v>4989</v>
      </c>
      <c r="B354" s="518" t="str">
        <f>HYPERLINK("https://oto.detik.com/mobil/d-4428756/nissan-kenalkan-2-mobil-baru-19-februari-2019-besok","Detik")</f>
        <v>Detik</v>
      </c>
      <c r="C354" s="467" t="s">
        <v>5664</v>
      </c>
      <c r="D354" s="467" t="s">
        <v>5668</v>
      </c>
      <c r="E354" s="467" t="s">
        <v>5727</v>
      </c>
      <c r="F354" s="497" t="s">
        <v>6068</v>
      </c>
      <c r="G354" s="498">
        <v>2.0</v>
      </c>
      <c r="H354" s="497" t="s">
        <v>5728</v>
      </c>
      <c r="I354" s="497" t="s">
        <v>2740</v>
      </c>
      <c r="J354" s="497" t="s">
        <v>6069</v>
      </c>
      <c r="K354" s="497" t="s">
        <v>5754</v>
      </c>
      <c r="L354" s="498">
        <v>2.0</v>
      </c>
      <c r="M354" s="497" t="s">
        <v>6070</v>
      </c>
      <c r="N354" s="497" t="s">
        <v>6071</v>
      </c>
      <c r="O354" s="498">
        <v>256.0</v>
      </c>
      <c r="P354" s="497" t="s">
        <v>6072</v>
      </c>
      <c r="Q354" s="500"/>
      <c r="R354" s="500"/>
      <c r="S354" s="500"/>
      <c r="T354" s="500"/>
      <c r="U354" s="500"/>
      <c r="V354" s="500"/>
      <c r="W354" s="500"/>
      <c r="X354" s="500"/>
      <c r="Y354" s="500"/>
      <c r="Z354" s="500"/>
      <c r="AA354" s="500"/>
      <c r="AB354" s="500"/>
      <c r="AC354" s="500"/>
      <c r="AD354" s="500"/>
      <c r="AE354" s="497"/>
    </row>
    <row r="355">
      <c r="A355" s="501" t="s">
        <v>4991</v>
      </c>
      <c r="B355" s="518" t="str">
        <f>HYPERLINK("https://tirto.id/bajak-laut-tiga-ratu-kartel-dan-bandit-penumpas-pemerkosa-dhbv","Tirto")</f>
        <v>Tirto</v>
      </c>
      <c r="C355" s="467" t="s">
        <v>5671</v>
      </c>
      <c r="D355" s="467" t="s">
        <v>5668</v>
      </c>
      <c r="E355" s="467" t="s">
        <v>5727</v>
      </c>
      <c r="F355" s="497" t="s">
        <v>3085</v>
      </c>
      <c r="G355" s="498">
        <v>2.0</v>
      </c>
      <c r="H355" s="497" t="s">
        <v>5728</v>
      </c>
      <c r="I355" s="497" t="s">
        <v>2704</v>
      </c>
      <c r="J355" s="497" t="s">
        <v>6073</v>
      </c>
      <c r="K355" s="497" t="s">
        <v>5729</v>
      </c>
      <c r="L355" s="498">
        <v>2.0</v>
      </c>
      <c r="M355" s="497" t="s">
        <v>5839</v>
      </c>
      <c r="N355" s="497" t="s">
        <v>6074</v>
      </c>
      <c r="O355" s="498">
        <v>254.0</v>
      </c>
      <c r="P355" s="497" t="s">
        <v>6075</v>
      </c>
      <c r="Q355" s="499"/>
      <c r="R355" s="500"/>
      <c r="S355" s="500"/>
      <c r="T355" s="500"/>
      <c r="U355" s="500"/>
      <c r="V355" s="500"/>
      <c r="W355" s="500"/>
      <c r="X355" s="500"/>
      <c r="Y355" s="500"/>
      <c r="Z355" s="500"/>
      <c r="AA355" s="500"/>
      <c r="AB355" s="500"/>
      <c r="AC355" s="500"/>
      <c r="AD355" s="500"/>
      <c r="AE355" s="497"/>
    </row>
    <row r="356">
      <c r="A356" s="501" t="s">
        <v>4993</v>
      </c>
      <c r="B356" s="518" t="str">
        <f>HYPERLINK("https://economy.okezone.com/read/2019/02/19/320/2019963/dinilai-tangguh-qualcomm-naikkan-gaji-ceo-steve-mollenkop","Okezone")</f>
        <v>Okezone</v>
      </c>
      <c r="C356" s="467" t="s">
        <v>5681</v>
      </c>
      <c r="D356" s="467" t="s">
        <v>5668</v>
      </c>
      <c r="E356" s="467" t="s">
        <v>5727</v>
      </c>
      <c r="F356" s="271" t="s">
        <v>5951</v>
      </c>
      <c r="G356" s="451"/>
      <c r="H356" s="451"/>
      <c r="I356" s="451"/>
      <c r="J356" s="451"/>
      <c r="K356" s="451"/>
      <c r="L356" s="451"/>
      <c r="M356" s="451"/>
      <c r="N356" s="451"/>
      <c r="O356" s="451"/>
      <c r="P356" s="451"/>
      <c r="Q356" s="451"/>
      <c r="R356" s="451"/>
      <c r="S356" s="451"/>
      <c r="T356" s="451"/>
      <c r="U356" s="451"/>
      <c r="V356" s="451"/>
      <c r="W356" s="451"/>
      <c r="X356" s="451"/>
      <c r="Y356" s="451"/>
      <c r="Z356" s="451"/>
      <c r="AA356" s="451"/>
      <c r="AB356" s="451"/>
      <c r="AC356" s="451"/>
      <c r="AD356" s="451"/>
    </row>
    <row r="357">
      <c r="A357" s="501" t="s">
        <v>4996</v>
      </c>
      <c r="B357" s="518" t="str">
        <f>HYPERLINK("https://news.detik.com/berita/d-4440781/12-tahun-kenal-jokowi-luhut-dulu-dia-tunggu-saya-rapat","Detik")</f>
        <v>Detik</v>
      </c>
      <c r="C357" s="467" t="s">
        <v>5670</v>
      </c>
      <c r="D357" s="467" t="s">
        <v>5668</v>
      </c>
      <c r="E357" s="467" t="s">
        <v>5727</v>
      </c>
      <c r="F357" s="497" t="s">
        <v>6076</v>
      </c>
      <c r="G357" s="498">
        <v>2.0</v>
      </c>
      <c r="H357" s="497" t="s">
        <v>5728</v>
      </c>
      <c r="I357" s="497" t="s">
        <v>2740</v>
      </c>
      <c r="J357" s="497" t="s">
        <v>6061</v>
      </c>
      <c r="K357" s="497" t="s">
        <v>5786</v>
      </c>
      <c r="L357" s="498">
        <v>2.0</v>
      </c>
      <c r="M357" s="497" t="s">
        <v>6070</v>
      </c>
      <c r="N357" s="497" t="s">
        <v>6077</v>
      </c>
      <c r="O357" s="498">
        <v>247.0</v>
      </c>
      <c r="P357" s="497" t="s">
        <v>6078</v>
      </c>
      <c r="Q357" s="500"/>
      <c r="R357" s="500"/>
      <c r="S357" s="500"/>
      <c r="T357" s="500"/>
      <c r="U357" s="500"/>
      <c r="V357" s="500"/>
      <c r="W357" s="500"/>
      <c r="X357" s="500"/>
      <c r="Y357" s="500"/>
      <c r="Z357" s="500"/>
      <c r="AA357" s="500"/>
      <c r="AB357" s="500"/>
      <c r="AC357" s="500"/>
      <c r="AD357" s="500"/>
      <c r="AE357" s="497"/>
    </row>
    <row r="358">
      <c r="A358" s="501" t="s">
        <v>2151</v>
      </c>
      <c r="B358" s="518" t="str">
        <f>HYPERLINK("https://www.tribunnews.com/section/2019/02/23/jimin-bts-jadi-perbincangan-saat-fotonya-muncul-dalam-sebuah-acara-beri-dukungan-pada-tem","Tribun")</f>
        <v>Tribun</v>
      </c>
      <c r="C358" s="467" t="s">
        <v>5670</v>
      </c>
      <c r="D358" s="467" t="s">
        <v>5668</v>
      </c>
      <c r="E358" s="467" t="s">
        <v>5727</v>
      </c>
      <c r="F358" s="271" t="s">
        <v>5951</v>
      </c>
      <c r="G358" s="451"/>
      <c r="H358" s="451"/>
      <c r="I358" s="451"/>
      <c r="J358" s="451"/>
      <c r="K358" s="451"/>
      <c r="L358" s="451"/>
      <c r="M358" s="451"/>
      <c r="N358" s="451"/>
      <c r="O358" s="451"/>
      <c r="P358" s="451"/>
      <c r="Q358" s="451"/>
      <c r="R358" s="451"/>
      <c r="S358" s="451"/>
      <c r="T358" s="451"/>
      <c r="U358" s="451"/>
      <c r="V358" s="451"/>
      <c r="W358" s="451"/>
      <c r="X358" s="451"/>
      <c r="Y358" s="451"/>
      <c r="Z358" s="451"/>
      <c r="AA358" s="451"/>
      <c r="AB358" s="451"/>
      <c r="AC358" s="451"/>
      <c r="AD358" s="451"/>
    </row>
    <row r="359">
      <c r="A359" s="501" t="s">
        <v>4999</v>
      </c>
      <c r="B359" s="518" t="str">
        <f>HYPERLINK("https://www.tribunnews.com/tribunners/2019/03/04/pssi-bukan-event-organizer","Tribun")</f>
        <v>Tribun</v>
      </c>
      <c r="C359" s="467" t="s">
        <v>5682</v>
      </c>
      <c r="D359" s="467" t="s">
        <v>5675</v>
      </c>
      <c r="E359" s="467" t="s">
        <v>5727</v>
      </c>
      <c r="F359" s="516" t="s">
        <v>6079</v>
      </c>
      <c r="G359" s="498">
        <v>2.0</v>
      </c>
      <c r="H359" s="497" t="s">
        <v>5728</v>
      </c>
      <c r="I359" s="497" t="s">
        <v>2715</v>
      </c>
      <c r="J359" s="497" t="s">
        <v>6028</v>
      </c>
      <c r="K359" s="497" t="s">
        <v>5721</v>
      </c>
      <c r="L359" s="498">
        <v>3.0</v>
      </c>
      <c r="M359" s="497" t="s">
        <v>6080</v>
      </c>
      <c r="N359" s="497" t="s">
        <v>6081</v>
      </c>
      <c r="O359" s="498">
        <v>159.0</v>
      </c>
      <c r="P359" s="497" t="s">
        <v>6082</v>
      </c>
      <c r="Q359" s="499"/>
      <c r="R359" s="500"/>
      <c r="S359" s="500"/>
      <c r="T359" s="500"/>
      <c r="U359" s="500"/>
      <c r="V359" s="500"/>
      <c r="W359" s="500"/>
      <c r="X359" s="500"/>
      <c r="Y359" s="500"/>
      <c r="Z359" s="500"/>
      <c r="AA359" s="500"/>
      <c r="AB359" s="500"/>
      <c r="AC359" s="500"/>
      <c r="AD359" s="500"/>
      <c r="AE359" s="497"/>
    </row>
    <row r="360">
      <c r="A360" s="501" t="s">
        <v>5001</v>
      </c>
      <c r="B360" s="518" t="str">
        <f>HYPERLINK("https://www.suara.com/bola/2019/03/05/123136/timnas-indonesia-u-23-kerap-latihan-pagi-buta-andy-setyo-tak-ambil-pusing","Suara")</f>
        <v>Suara</v>
      </c>
      <c r="C360" s="467" t="s">
        <v>5681</v>
      </c>
      <c r="D360" s="467" t="s">
        <v>5675</v>
      </c>
      <c r="E360" s="467" t="s">
        <v>5727</v>
      </c>
      <c r="F360" s="497" t="s">
        <v>6083</v>
      </c>
      <c r="G360" s="498">
        <v>2.0</v>
      </c>
      <c r="H360" s="497" t="s">
        <v>5728</v>
      </c>
      <c r="I360" s="497" t="s">
        <v>2698</v>
      </c>
      <c r="J360" s="497" t="s">
        <v>6084</v>
      </c>
      <c r="K360" s="497" t="s">
        <v>5750</v>
      </c>
      <c r="L360" s="498">
        <v>3.0</v>
      </c>
      <c r="M360" s="497" t="s">
        <v>5824</v>
      </c>
      <c r="N360" s="497" t="s">
        <v>6085</v>
      </c>
      <c r="O360" s="498">
        <v>420.0</v>
      </c>
      <c r="P360" s="497" t="s">
        <v>6086</v>
      </c>
      <c r="Q360" s="499"/>
      <c r="R360" s="500"/>
      <c r="S360" s="500"/>
      <c r="T360" s="500"/>
      <c r="U360" s="500"/>
      <c r="V360" s="500"/>
      <c r="W360" s="500"/>
      <c r="X360" s="500"/>
      <c r="Y360" s="500"/>
      <c r="Z360" s="500"/>
      <c r="AA360" s="500"/>
      <c r="AB360" s="500"/>
      <c r="AC360" s="500"/>
      <c r="AD360" s="500"/>
      <c r="AE360" s="497"/>
    </row>
    <row r="361">
      <c r="A361" s="501" t="s">
        <v>5007</v>
      </c>
      <c r="B361" s="518" t="str">
        <f>HYPERLINK("https://www.tribunnews.com/regional/2019/03/14/penjual-miras-oplosan-ke-siswa-smp-dan-sma-di-kendal-ditangkap","Tribun")</f>
        <v>Tribun</v>
      </c>
      <c r="C361" s="467" t="s">
        <v>5664</v>
      </c>
      <c r="D361" s="467" t="s">
        <v>5675</v>
      </c>
      <c r="E361" s="467" t="s">
        <v>5727</v>
      </c>
      <c r="F361" s="271" t="s">
        <v>5951</v>
      </c>
      <c r="G361" s="451"/>
      <c r="H361" s="451"/>
      <c r="I361" s="451"/>
      <c r="J361" s="451"/>
      <c r="K361" s="451"/>
      <c r="L361" s="451"/>
      <c r="M361" s="451"/>
      <c r="N361" s="451"/>
      <c r="O361" s="451"/>
      <c r="P361" s="451"/>
      <c r="Q361" s="451"/>
      <c r="R361" s="451"/>
      <c r="S361" s="451"/>
      <c r="T361" s="451"/>
      <c r="U361" s="451"/>
      <c r="V361" s="451"/>
      <c r="W361" s="451"/>
      <c r="X361" s="451"/>
      <c r="Y361" s="451"/>
      <c r="Z361" s="451"/>
      <c r="AA361" s="451"/>
      <c r="AB361" s="451"/>
      <c r="AC361" s="451"/>
      <c r="AD361" s="451"/>
    </row>
    <row r="362">
      <c r="A362" s="501" t="s">
        <v>5008</v>
      </c>
      <c r="B362" s="518" t="str">
        <f>HYPERLINK("https://www.suara.com/news/2019/03/17/142544/ulama-banten-ngamuk-helikopter-prabowo-dilarang-mendarat-gila-bupati","Suara")</f>
        <v>Suara</v>
      </c>
      <c r="C362" s="467" t="s">
        <v>5671</v>
      </c>
      <c r="D362" s="467" t="s">
        <v>5675</v>
      </c>
      <c r="E362" s="467" t="s">
        <v>5727</v>
      </c>
      <c r="F362" s="497" t="s">
        <v>6087</v>
      </c>
      <c r="G362" s="498">
        <v>2.0</v>
      </c>
      <c r="H362" s="497" t="s">
        <v>5728</v>
      </c>
      <c r="I362" s="497" t="s">
        <v>2698</v>
      </c>
      <c r="J362" s="497" t="s">
        <v>6088</v>
      </c>
      <c r="K362" s="497" t="s">
        <v>5729</v>
      </c>
      <c r="L362" s="498">
        <v>3.0</v>
      </c>
      <c r="M362" s="497" t="s">
        <v>5854</v>
      </c>
      <c r="N362" s="497" t="s">
        <v>6089</v>
      </c>
      <c r="O362" s="498">
        <v>249.0</v>
      </c>
      <c r="P362" s="497" t="s">
        <v>6090</v>
      </c>
      <c r="Q362" s="500"/>
      <c r="R362" s="500"/>
      <c r="S362" s="500"/>
      <c r="T362" s="500"/>
      <c r="U362" s="500"/>
      <c r="V362" s="500"/>
      <c r="W362" s="500"/>
      <c r="X362" s="500"/>
      <c r="Y362" s="500"/>
      <c r="Z362" s="500"/>
      <c r="AA362" s="500"/>
      <c r="AB362" s="500"/>
      <c r="AC362" s="500"/>
      <c r="AD362" s="500"/>
      <c r="AE362" s="497"/>
    </row>
    <row r="363">
      <c r="A363" s="501" t="s">
        <v>1279</v>
      </c>
      <c r="B363" s="518" t="str">
        <f>HYPERLINK("https://www.tribunnews.com/regional/2019/03/26/mayat-tak-utuh-lagi-ditemukan-di-kawasan-hutan-kali-lunyu-lamongan","Tribun")</f>
        <v>Tribun</v>
      </c>
      <c r="C363" s="467" t="s">
        <v>5681</v>
      </c>
      <c r="D363" s="467" t="s">
        <v>5675</v>
      </c>
      <c r="E363" s="467" t="s">
        <v>5727</v>
      </c>
      <c r="F363" s="271" t="s">
        <v>5951</v>
      </c>
      <c r="G363" s="451"/>
      <c r="H363" s="451"/>
      <c r="I363" s="451"/>
      <c r="J363" s="451"/>
      <c r="K363" s="451"/>
      <c r="L363" s="451"/>
      <c r="M363" s="451"/>
      <c r="N363" s="451"/>
      <c r="O363" s="451"/>
      <c r="P363" s="451"/>
      <c r="Q363" s="451"/>
      <c r="R363" s="451"/>
      <c r="S363" s="451"/>
      <c r="T363" s="451"/>
      <c r="U363" s="451"/>
      <c r="V363" s="451"/>
      <c r="W363" s="451"/>
      <c r="X363" s="451"/>
      <c r="Y363" s="451"/>
      <c r="Z363" s="451"/>
      <c r="AA363" s="451"/>
      <c r="AB363" s="451"/>
      <c r="AC363" s="451"/>
      <c r="AD363" s="451"/>
    </row>
    <row r="364">
      <c r="A364" s="501" t="s">
        <v>5013</v>
      </c>
      <c r="B364" s="518" t="str">
        <f>HYPERLINK("https://nasional.kompas.com/read/2019/03/27/20303731/kpu-produksi-surat-suara-pemilu-rampung","Kompas")</f>
        <v>Kompas</v>
      </c>
      <c r="C364" s="467" t="s">
        <v>5657</v>
      </c>
      <c r="D364" s="467" t="s">
        <v>5675</v>
      </c>
      <c r="E364" s="467" t="s">
        <v>5727</v>
      </c>
      <c r="F364" s="497" t="s">
        <v>6091</v>
      </c>
      <c r="G364" s="498">
        <v>2.0</v>
      </c>
      <c r="H364" s="497" t="s">
        <v>5728</v>
      </c>
      <c r="I364" s="497" t="s">
        <v>2724</v>
      </c>
      <c r="J364" s="497" t="s">
        <v>5923</v>
      </c>
      <c r="K364" s="497" t="s">
        <v>5711</v>
      </c>
      <c r="L364" s="498">
        <v>3.0</v>
      </c>
      <c r="M364" s="497" t="s">
        <v>6092</v>
      </c>
      <c r="N364" s="497" t="s">
        <v>6093</v>
      </c>
      <c r="O364" s="498">
        <v>347.0</v>
      </c>
      <c r="P364" s="497" t="s">
        <v>6094</v>
      </c>
      <c r="Q364" s="499"/>
      <c r="R364" s="500"/>
      <c r="S364" s="500"/>
      <c r="T364" s="500"/>
      <c r="U364" s="500"/>
      <c r="V364" s="500"/>
      <c r="W364" s="500"/>
      <c r="X364" s="500"/>
      <c r="Y364" s="500"/>
      <c r="Z364" s="500"/>
      <c r="AA364" s="500"/>
      <c r="AB364" s="500"/>
      <c r="AC364" s="500"/>
      <c r="AD364" s="500"/>
      <c r="AE364" s="497"/>
    </row>
    <row r="365">
      <c r="A365" s="501" t="s">
        <v>5015</v>
      </c>
      <c r="B365" s="518" t="str">
        <f>HYPERLINK("https://news.okezone.com/read/2019/03/29/606/2036774/buta-huruf-jadi-persoalan-suku-anak-dalam-untuk-mencoblos-di-pemilu","Okezone")</f>
        <v>Okezone</v>
      </c>
      <c r="C365" s="467" t="s">
        <v>5667</v>
      </c>
      <c r="D365" s="467" t="s">
        <v>5675</v>
      </c>
      <c r="E365" s="467" t="s">
        <v>5727</v>
      </c>
      <c r="F365" s="271" t="s">
        <v>5665</v>
      </c>
      <c r="G365" s="451"/>
      <c r="H365" s="451"/>
      <c r="I365" s="451"/>
      <c r="J365" s="451"/>
      <c r="K365" s="451"/>
      <c r="L365" s="451"/>
      <c r="M365" s="451"/>
      <c r="N365" s="451"/>
      <c r="O365" s="451"/>
      <c r="P365" s="451"/>
      <c r="Q365" s="451"/>
      <c r="R365" s="451"/>
      <c r="S365" s="451"/>
      <c r="T365" s="451"/>
      <c r="U365" s="451"/>
      <c r="V365" s="451"/>
      <c r="W365" s="451"/>
      <c r="X365" s="451"/>
      <c r="Y365" s="451"/>
      <c r="Z365" s="451"/>
      <c r="AA365" s="451"/>
      <c r="AB365" s="451"/>
      <c r="AC365" s="451"/>
      <c r="AD365" s="451"/>
    </row>
    <row r="366">
      <c r="A366" s="495" t="s">
        <v>6095</v>
      </c>
      <c r="B366" s="467" t="s">
        <v>6096</v>
      </c>
      <c r="C366" s="467" t="s">
        <v>5664</v>
      </c>
      <c r="D366" s="467" t="s">
        <v>5692</v>
      </c>
      <c r="E366" s="467" t="s">
        <v>5727</v>
      </c>
      <c r="F366" s="497" t="s">
        <v>1312</v>
      </c>
      <c r="G366" s="498">
        <v>2.0</v>
      </c>
      <c r="H366" s="497" t="s">
        <v>5728</v>
      </c>
      <c r="I366" s="497" t="s">
        <v>2709</v>
      </c>
      <c r="J366" s="497" t="s">
        <v>1313</v>
      </c>
      <c r="K366" s="497" t="s">
        <v>5754</v>
      </c>
      <c r="L366" s="498">
        <v>5.0</v>
      </c>
      <c r="M366" s="497" t="s">
        <v>6097</v>
      </c>
      <c r="N366" s="497" t="s">
        <v>6098</v>
      </c>
      <c r="O366" s="498">
        <v>401.0</v>
      </c>
      <c r="P366" s="497" t="s">
        <v>6099</v>
      </c>
      <c r="Q366" s="499"/>
      <c r="R366" s="500"/>
      <c r="S366" s="500"/>
      <c r="T366" s="500"/>
      <c r="U366" s="500"/>
      <c r="V366" s="500"/>
      <c r="W366" s="500"/>
      <c r="X366" s="500"/>
      <c r="Y366" s="500"/>
      <c r="Z366" s="500"/>
      <c r="AA366" s="500"/>
      <c r="AB366" s="500"/>
      <c r="AC366" s="500"/>
      <c r="AD366" s="500"/>
      <c r="AE366" s="497"/>
    </row>
    <row r="367">
      <c r="A367" s="495" t="s">
        <v>6100</v>
      </c>
      <c r="B367" s="467" t="s">
        <v>6101</v>
      </c>
      <c r="C367" s="467" t="s">
        <v>5682</v>
      </c>
      <c r="D367" s="467" t="s">
        <v>5692</v>
      </c>
      <c r="E367" s="467" t="s">
        <v>5727</v>
      </c>
      <c r="F367" s="497" t="s">
        <v>1316</v>
      </c>
      <c r="G367" s="498">
        <v>2.0</v>
      </c>
      <c r="H367" s="497" t="s">
        <v>5728</v>
      </c>
      <c r="I367" s="497" t="s">
        <v>2715</v>
      </c>
      <c r="J367" s="497" t="s">
        <v>1317</v>
      </c>
      <c r="K367" s="497" t="s">
        <v>5721</v>
      </c>
      <c r="L367" s="498">
        <v>5.0</v>
      </c>
      <c r="M367" s="497" t="s">
        <v>5794</v>
      </c>
      <c r="N367" s="497" t="s">
        <v>6102</v>
      </c>
      <c r="O367" s="498">
        <v>269.0</v>
      </c>
      <c r="P367" s="497" t="s">
        <v>6103</v>
      </c>
      <c r="Q367" s="499"/>
      <c r="R367" s="500"/>
      <c r="S367" s="500"/>
      <c r="T367" s="500"/>
      <c r="U367" s="500"/>
      <c r="V367" s="500"/>
      <c r="W367" s="500"/>
      <c r="X367" s="500"/>
      <c r="Y367" s="500"/>
      <c r="Z367" s="500"/>
      <c r="AA367" s="500"/>
      <c r="AB367" s="500"/>
      <c r="AC367" s="500"/>
      <c r="AD367" s="500"/>
      <c r="AE367" s="497"/>
    </row>
    <row r="368">
      <c r="A368" s="495" t="s">
        <v>6104</v>
      </c>
      <c r="B368" s="467" t="s">
        <v>6105</v>
      </c>
      <c r="C368" s="467" t="s">
        <v>5682</v>
      </c>
      <c r="D368" s="467" t="s">
        <v>5692</v>
      </c>
      <c r="E368" s="467" t="s">
        <v>5727</v>
      </c>
      <c r="F368" s="497" t="s">
        <v>1319</v>
      </c>
      <c r="G368" s="498">
        <v>2.0</v>
      </c>
      <c r="H368" s="497" t="s">
        <v>5728</v>
      </c>
      <c r="I368" s="497" t="s">
        <v>2740</v>
      </c>
      <c r="J368" s="497" t="s">
        <v>1320</v>
      </c>
      <c r="K368" s="497" t="s">
        <v>5721</v>
      </c>
      <c r="L368" s="498">
        <v>5.0</v>
      </c>
      <c r="M368" s="497" t="s">
        <v>6106</v>
      </c>
      <c r="N368" s="497" t="s">
        <v>6107</v>
      </c>
      <c r="O368" s="498">
        <v>222.0</v>
      </c>
      <c r="P368" s="497" t="s">
        <v>6108</v>
      </c>
      <c r="Q368" s="500"/>
      <c r="R368" s="500"/>
      <c r="S368" s="500"/>
      <c r="T368" s="500"/>
      <c r="U368" s="500"/>
      <c r="V368" s="500"/>
      <c r="W368" s="500"/>
      <c r="X368" s="500"/>
      <c r="Y368" s="500"/>
      <c r="Z368" s="500"/>
      <c r="AA368" s="500"/>
      <c r="AB368" s="500"/>
      <c r="AC368" s="500"/>
      <c r="AD368" s="500"/>
      <c r="AE368" s="497"/>
    </row>
    <row r="369">
      <c r="A369" s="495" t="s">
        <v>1322</v>
      </c>
      <c r="B369" s="467" t="s">
        <v>6109</v>
      </c>
      <c r="C369" s="467" t="s">
        <v>5671</v>
      </c>
      <c r="D369" s="467" t="s">
        <v>5692</v>
      </c>
      <c r="E369" s="467" t="s">
        <v>5727</v>
      </c>
      <c r="F369" s="271" t="s">
        <v>5665</v>
      </c>
      <c r="G369" s="451"/>
      <c r="H369" s="451"/>
      <c r="I369" s="451"/>
      <c r="J369" s="451"/>
      <c r="K369" s="451"/>
      <c r="L369" s="451"/>
      <c r="M369" s="451"/>
      <c r="N369" s="451"/>
      <c r="O369" s="451"/>
      <c r="P369" s="451"/>
      <c r="Q369" s="451"/>
      <c r="R369" s="451"/>
      <c r="S369" s="451"/>
      <c r="T369" s="451"/>
      <c r="U369" s="451"/>
      <c r="V369" s="451"/>
      <c r="W369" s="451"/>
      <c r="X369" s="451"/>
      <c r="Y369" s="451"/>
      <c r="Z369" s="451"/>
      <c r="AA369" s="451"/>
      <c r="AB369" s="451"/>
      <c r="AC369" s="451"/>
      <c r="AD369" s="451"/>
    </row>
    <row r="370">
      <c r="A370" s="495" t="s">
        <v>1323</v>
      </c>
      <c r="B370" s="467" t="s">
        <v>6110</v>
      </c>
      <c r="C370" s="467" t="s">
        <v>5671</v>
      </c>
      <c r="D370" s="467" t="s">
        <v>5692</v>
      </c>
      <c r="E370" s="467" t="s">
        <v>5727</v>
      </c>
      <c r="F370" s="271" t="s">
        <v>5665</v>
      </c>
      <c r="G370" s="451"/>
      <c r="H370" s="451"/>
      <c r="I370" s="451"/>
      <c r="J370" s="451"/>
      <c r="K370" s="451"/>
      <c r="L370" s="451"/>
      <c r="M370" s="451"/>
      <c r="N370" s="451"/>
      <c r="O370" s="451"/>
      <c r="P370" s="451"/>
      <c r="Q370" s="451"/>
      <c r="R370" s="451"/>
      <c r="S370" s="451"/>
      <c r="T370" s="451"/>
      <c r="U370" s="451"/>
      <c r="V370" s="451"/>
      <c r="W370" s="451"/>
      <c r="X370" s="451"/>
      <c r="Y370" s="451"/>
      <c r="Z370" s="451"/>
      <c r="AA370" s="451"/>
      <c r="AB370" s="451"/>
      <c r="AC370" s="451"/>
      <c r="AD370" s="451"/>
    </row>
    <row r="371">
      <c r="A371" s="495" t="s">
        <v>1325</v>
      </c>
      <c r="B371" s="467" t="s">
        <v>6109</v>
      </c>
      <c r="C371" s="467" t="s">
        <v>5657</v>
      </c>
      <c r="D371" s="467" t="s">
        <v>5692</v>
      </c>
      <c r="E371" s="467" t="s">
        <v>5727</v>
      </c>
      <c r="F371" s="271" t="s">
        <v>5665</v>
      </c>
      <c r="G371" s="451"/>
      <c r="H371" s="451"/>
      <c r="I371" s="451"/>
      <c r="J371" s="451"/>
      <c r="K371" s="451"/>
      <c r="L371" s="451"/>
      <c r="M371" s="451"/>
      <c r="N371" s="451"/>
      <c r="O371" s="451"/>
      <c r="P371" s="451"/>
      <c r="Q371" s="451"/>
      <c r="R371" s="451"/>
      <c r="S371" s="451"/>
      <c r="T371" s="451"/>
      <c r="U371" s="451"/>
      <c r="V371" s="451"/>
      <c r="W371" s="451"/>
      <c r="X371" s="451"/>
      <c r="Y371" s="451"/>
      <c r="Z371" s="451"/>
      <c r="AA371" s="451"/>
      <c r="AB371" s="451"/>
      <c r="AC371" s="451"/>
      <c r="AD371" s="451"/>
    </row>
    <row r="372">
      <c r="A372" s="495" t="s">
        <v>1326</v>
      </c>
      <c r="B372" s="467" t="s">
        <v>6096</v>
      </c>
      <c r="C372" s="467" t="s">
        <v>5667</v>
      </c>
      <c r="D372" s="467" t="s">
        <v>5692</v>
      </c>
      <c r="E372" s="467" t="s">
        <v>5727</v>
      </c>
      <c r="F372" s="271" t="s">
        <v>5665</v>
      </c>
      <c r="G372" s="451"/>
      <c r="H372" s="451"/>
      <c r="I372" s="451"/>
      <c r="J372" s="451"/>
      <c r="K372" s="451"/>
      <c r="L372" s="451"/>
      <c r="M372" s="451"/>
      <c r="N372" s="451"/>
      <c r="O372" s="451"/>
      <c r="P372" s="451"/>
      <c r="Q372" s="451"/>
      <c r="R372" s="451"/>
      <c r="S372" s="451"/>
      <c r="T372" s="451"/>
      <c r="U372" s="451"/>
      <c r="V372" s="451"/>
      <c r="W372" s="451"/>
      <c r="X372" s="451"/>
      <c r="Y372" s="451"/>
      <c r="Z372" s="451"/>
      <c r="AA372" s="451"/>
      <c r="AB372" s="451"/>
      <c r="AC372" s="451"/>
      <c r="AD372" s="451"/>
    </row>
    <row r="373">
      <c r="A373" s="495" t="s">
        <v>1329</v>
      </c>
      <c r="B373" s="467" t="s">
        <v>6096</v>
      </c>
      <c r="C373" s="467" t="s">
        <v>5657</v>
      </c>
      <c r="D373" s="467" t="s">
        <v>5705</v>
      </c>
      <c r="E373" s="467" t="s">
        <v>5727</v>
      </c>
      <c r="F373" s="271" t="s">
        <v>5665</v>
      </c>
      <c r="G373" s="451"/>
      <c r="H373" s="451"/>
      <c r="I373" s="451"/>
      <c r="J373" s="451"/>
      <c r="K373" s="451"/>
      <c r="L373" s="451"/>
      <c r="M373" s="451"/>
      <c r="N373" s="451"/>
      <c r="O373" s="451"/>
      <c r="P373" s="451"/>
      <c r="Q373" s="451"/>
      <c r="R373" s="451"/>
      <c r="S373" s="451"/>
      <c r="T373" s="451"/>
      <c r="U373" s="451"/>
      <c r="V373" s="451"/>
      <c r="W373" s="451"/>
      <c r="X373" s="451"/>
      <c r="Y373" s="451"/>
      <c r="Z373" s="451"/>
      <c r="AA373" s="451"/>
      <c r="AB373" s="451"/>
      <c r="AC373" s="451"/>
      <c r="AD373" s="451"/>
    </row>
    <row r="374">
      <c r="A374" s="495" t="s">
        <v>6111</v>
      </c>
      <c r="B374" s="467" t="s">
        <v>6112</v>
      </c>
      <c r="C374" s="467" t="s">
        <v>5657</v>
      </c>
      <c r="D374" s="467" t="s">
        <v>5705</v>
      </c>
      <c r="E374" s="467" t="s">
        <v>5727</v>
      </c>
      <c r="F374" s="497" t="s">
        <v>1330</v>
      </c>
      <c r="G374" s="498">
        <v>2.0</v>
      </c>
      <c r="H374" s="497" t="s">
        <v>5728</v>
      </c>
      <c r="I374" s="497" t="s">
        <v>2707</v>
      </c>
      <c r="J374" s="497" t="s">
        <v>1331</v>
      </c>
      <c r="K374" s="497" t="s">
        <v>5711</v>
      </c>
      <c r="L374" s="498">
        <v>6.0</v>
      </c>
      <c r="M374" s="497" t="s">
        <v>6113</v>
      </c>
      <c r="N374" s="497" t="s">
        <v>6114</v>
      </c>
      <c r="O374" s="498">
        <v>282.0</v>
      </c>
      <c r="P374" s="497" t="s">
        <v>6115</v>
      </c>
      <c r="Q374" s="499"/>
      <c r="R374" s="500"/>
      <c r="S374" s="500"/>
      <c r="T374" s="500"/>
      <c r="U374" s="500"/>
      <c r="V374" s="500"/>
      <c r="W374" s="500"/>
      <c r="X374" s="500"/>
      <c r="Y374" s="500"/>
      <c r="Z374" s="500"/>
      <c r="AA374" s="500"/>
      <c r="AB374" s="500"/>
      <c r="AC374" s="500"/>
      <c r="AD374" s="500"/>
      <c r="AE374" s="497"/>
    </row>
    <row r="375">
      <c r="A375" s="495" t="s">
        <v>1333</v>
      </c>
      <c r="B375" s="467" t="s">
        <v>6116</v>
      </c>
      <c r="C375" s="467" t="s">
        <v>5664</v>
      </c>
      <c r="D375" s="467" t="s">
        <v>5705</v>
      </c>
      <c r="E375" s="467" t="s">
        <v>5727</v>
      </c>
      <c r="F375" s="271" t="s">
        <v>5665</v>
      </c>
      <c r="G375" s="451"/>
      <c r="H375" s="451"/>
      <c r="I375" s="451"/>
      <c r="J375" s="451"/>
      <c r="K375" s="451"/>
      <c r="L375" s="451"/>
      <c r="M375" s="451"/>
      <c r="N375" s="451"/>
      <c r="O375" s="451"/>
      <c r="P375" s="451"/>
      <c r="Q375" s="451"/>
      <c r="R375" s="451"/>
      <c r="S375" s="451"/>
      <c r="T375" s="451"/>
      <c r="U375" s="451"/>
      <c r="V375" s="451"/>
      <c r="W375" s="451"/>
      <c r="X375" s="451"/>
      <c r="Y375" s="451"/>
      <c r="Z375" s="451"/>
      <c r="AA375" s="451"/>
      <c r="AB375" s="451"/>
      <c r="AC375" s="451"/>
      <c r="AD375" s="451"/>
    </row>
    <row r="376">
      <c r="A376" s="495" t="s">
        <v>6117</v>
      </c>
      <c r="B376" s="467" t="s">
        <v>2724</v>
      </c>
      <c r="C376" s="467" t="s">
        <v>5682</v>
      </c>
      <c r="D376" s="467" t="s">
        <v>5705</v>
      </c>
      <c r="E376" s="467" t="s">
        <v>5727</v>
      </c>
      <c r="F376" s="497" t="s">
        <v>1334</v>
      </c>
      <c r="G376" s="498">
        <v>2.0</v>
      </c>
      <c r="H376" s="497" t="s">
        <v>5728</v>
      </c>
      <c r="I376" s="497" t="s">
        <v>2724</v>
      </c>
      <c r="J376" s="497" t="s">
        <v>1335</v>
      </c>
      <c r="K376" s="497" t="s">
        <v>5721</v>
      </c>
      <c r="L376" s="498">
        <v>6.0</v>
      </c>
      <c r="M376" s="497" t="s">
        <v>6118</v>
      </c>
      <c r="N376" s="497" t="s">
        <v>6119</v>
      </c>
      <c r="O376" s="498">
        <v>196.0</v>
      </c>
      <c r="P376" s="497" t="s">
        <v>6120</v>
      </c>
      <c r="Q376" s="499"/>
      <c r="R376" s="500"/>
      <c r="S376" s="500"/>
      <c r="T376" s="500"/>
      <c r="U376" s="500"/>
      <c r="V376" s="500"/>
      <c r="W376" s="500"/>
      <c r="X376" s="500"/>
      <c r="Y376" s="500"/>
      <c r="Z376" s="500"/>
      <c r="AA376" s="500"/>
      <c r="AB376" s="500"/>
      <c r="AC376" s="500"/>
      <c r="AD376" s="500"/>
      <c r="AE376" s="497"/>
    </row>
    <row r="377">
      <c r="A377" s="495" t="s">
        <v>1340</v>
      </c>
      <c r="B377" s="467" t="s">
        <v>6109</v>
      </c>
      <c r="C377" s="467" t="s">
        <v>5657</v>
      </c>
      <c r="D377" s="467" t="s">
        <v>5705</v>
      </c>
      <c r="E377" s="467" t="s">
        <v>5727</v>
      </c>
      <c r="F377" s="271" t="s">
        <v>5665</v>
      </c>
      <c r="G377" s="451"/>
      <c r="H377" s="451"/>
      <c r="I377" s="451"/>
      <c r="J377" s="451"/>
      <c r="K377" s="451"/>
      <c r="L377" s="451"/>
      <c r="M377" s="451"/>
      <c r="N377" s="451"/>
      <c r="O377" s="451"/>
      <c r="P377" s="451"/>
      <c r="Q377" s="451"/>
      <c r="R377" s="451"/>
      <c r="S377" s="451"/>
      <c r="T377" s="451"/>
      <c r="U377" s="451"/>
      <c r="V377" s="451"/>
      <c r="W377" s="451"/>
      <c r="X377" s="451"/>
      <c r="Y377" s="451"/>
      <c r="Z377" s="451"/>
      <c r="AA377" s="451"/>
      <c r="AB377" s="451"/>
      <c r="AC377" s="451"/>
      <c r="AD377" s="451"/>
    </row>
    <row r="378">
      <c r="A378" s="495" t="s">
        <v>1346</v>
      </c>
      <c r="B378" s="467" t="s">
        <v>6109</v>
      </c>
      <c r="C378" s="467" t="s">
        <v>5671</v>
      </c>
      <c r="D378" s="467" t="s">
        <v>5705</v>
      </c>
      <c r="E378" s="467" t="s">
        <v>5727</v>
      </c>
      <c r="F378" s="271" t="s">
        <v>5665</v>
      </c>
      <c r="G378" s="451"/>
      <c r="H378" s="451"/>
      <c r="I378" s="451"/>
      <c r="J378" s="451"/>
      <c r="K378" s="451"/>
      <c r="L378" s="451"/>
      <c r="M378" s="451"/>
      <c r="N378" s="451"/>
      <c r="O378" s="451"/>
      <c r="P378" s="451"/>
      <c r="Q378" s="451"/>
      <c r="R378" s="451"/>
      <c r="S378" s="451"/>
      <c r="T378" s="451"/>
      <c r="U378" s="451"/>
      <c r="V378" s="451"/>
      <c r="W378" s="451"/>
      <c r="X378" s="451"/>
      <c r="Y378" s="451"/>
      <c r="Z378" s="451"/>
      <c r="AA378" s="451"/>
      <c r="AB378" s="451"/>
      <c r="AC378" s="451"/>
      <c r="AD378" s="451"/>
    </row>
    <row r="379">
      <c r="A379" s="495" t="s">
        <v>6121</v>
      </c>
      <c r="B379" s="467" t="s">
        <v>6105</v>
      </c>
      <c r="C379" s="467" t="s">
        <v>5682</v>
      </c>
      <c r="D379" s="467" t="s">
        <v>5705</v>
      </c>
      <c r="E379" s="467" t="s">
        <v>5727</v>
      </c>
      <c r="F379" s="497" t="s">
        <v>1347</v>
      </c>
      <c r="G379" s="498">
        <v>2.0</v>
      </c>
      <c r="H379" s="497" t="s">
        <v>5728</v>
      </c>
      <c r="I379" s="497" t="s">
        <v>2740</v>
      </c>
      <c r="J379" s="497" t="s">
        <v>1348</v>
      </c>
      <c r="K379" s="497" t="s">
        <v>5721</v>
      </c>
      <c r="L379" s="498">
        <v>6.0</v>
      </c>
      <c r="M379" s="497" t="s">
        <v>5712</v>
      </c>
      <c r="N379" s="497" t="s">
        <v>6122</v>
      </c>
      <c r="O379" s="498">
        <v>349.0</v>
      </c>
      <c r="P379" s="497" t="s">
        <v>6123</v>
      </c>
      <c r="Q379" s="500"/>
      <c r="R379" s="500"/>
      <c r="S379" s="500"/>
      <c r="T379" s="500"/>
      <c r="U379" s="500"/>
      <c r="V379" s="500"/>
      <c r="W379" s="500"/>
      <c r="X379" s="500"/>
      <c r="Y379" s="500"/>
      <c r="Z379" s="500"/>
      <c r="AA379" s="500"/>
      <c r="AB379" s="500"/>
      <c r="AC379" s="500"/>
      <c r="AD379" s="500"/>
      <c r="AE379" s="497"/>
    </row>
    <row r="380">
      <c r="A380" s="495" t="s">
        <v>1350</v>
      </c>
      <c r="B380" s="467" t="s">
        <v>6105</v>
      </c>
      <c r="C380" s="467" t="s">
        <v>5667</v>
      </c>
      <c r="D380" s="467" t="s">
        <v>5705</v>
      </c>
      <c r="E380" s="467" t="s">
        <v>5727</v>
      </c>
      <c r="F380" s="271" t="s">
        <v>5665</v>
      </c>
      <c r="G380" s="451"/>
      <c r="H380" s="451"/>
      <c r="I380" s="451"/>
      <c r="J380" s="451"/>
      <c r="K380" s="451"/>
      <c r="L380" s="451"/>
      <c r="M380" s="451"/>
      <c r="N380" s="451"/>
      <c r="O380" s="451"/>
      <c r="P380" s="451"/>
      <c r="Q380" s="451"/>
      <c r="R380" s="451"/>
      <c r="S380" s="451"/>
      <c r="T380" s="451"/>
      <c r="U380" s="451"/>
      <c r="V380" s="451"/>
      <c r="W380" s="451"/>
      <c r="X380" s="451"/>
      <c r="Y380" s="451"/>
      <c r="Z380" s="451"/>
      <c r="AA380" s="451"/>
      <c r="AB380" s="451"/>
      <c r="AC380" s="451"/>
      <c r="AD380" s="451"/>
    </row>
    <row r="381">
      <c r="A381" s="495" t="s">
        <v>6124</v>
      </c>
      <c r="B381" s="467" t="s">
        <v>6110</v>
      </c>
      <c r="C381" s="467" t="s">
        <v>5682</v>
      </c>
      <c r="D381" s="467" t="s">
        <v>5716</v>
      </c>
      <c r="E381" s="467" t="s">
        <v>5727</v>
      </c>
      <c r="F381" s="497" t="s">
        <v>1351</v>
      </c>
      <c r="G381" s="498">
        <v>2.0</v>
      </c>
      <c r="H381" s="497" t="s">
        <v>5728</v>
      </c>
      <c r="I381" s="497" t="s">
        <v>2698</v>
      </c>
      <c r="J381" s="497" t="s">
        <v>1352</v>
      </c>
      <c r="K381" s="497" t="s">
        <v>5721</v>
      </c>
      <c r="L381" s="498">
        <v>7.0</v>
      </c>
      <c r="M381" s="497" t="s">
        <v>5824</v>
      </c>
      <c r="N381" s="497" t="s">
        <v>6125</v>
      </c>
      <c r="O381" s="498">
        <v>427.0</v>
      </c>
      <c r="P381" s="497" t="s">
        <v>6126</v>
      </c>
      <c r="Q381" s="499"/>
      <c r="R381" s="500"/>
      <c r="S381" s="500"/>
      <c r="T381" s="500"/>
      <c r="U381" s="500"/>
      <c r="V381" s="500"/>
      <c r="W381" s="500"/>
      <c r="X381" s="500"/>
      <c r="Y381" s="500"/>
      <c r="Z381" s="500"/>
      <c r="AA381" s="500"/>
      <c r="AB381" s="500"/>
      <c r="AC381" s="500"/>
      <c r="AD381" s="500"/>
      <c r="AE381" s="497"/>
    </row>
    <row r="382">
      <c r="A382" s="495" t="s">
        <v>1356</v>
      </c>
      <c r="B382" s="467" t="s">
        <v>2724</v>
      </c>
      <c r="C382" s="467" t="s">
        <v>5664</v>
      </c>
      <c r="D382" s="467" t="s">
        <v>5716</v>
      </c>
      <c r="E382" s="467" t="s">
        <v>5727</v>
      </c>
      <c r="F382" s="271" t="s">
        <v>5665</v>
      </c>
      <c r="G382" s="451"/>
      <c r="H382" s="451"/>
      <c r="I382" s="451"/>
      <c r="J382" s="451"/>
      <c r="K382" s="451"/>
      <c r="L382" s="451"/>
      <c r="M382" s="451"/>
      <c r="N382" s="451"/>
      <c r="O382" s="451"/>
      <c r="P382" s="451"/>
      <c r="Q382" s="451"/>
      <c r="R382" s="451"/>
      <c r="S382" s="451"/>
      <c r="T382" s="451"/>
      <c r="U382" s="451"/>
      <c r="V382" s="451"/>
      <c r="W382" s="451"/>
      <c r="X382" s="451"/>
      <c r="Y382" s="451"/>
      <c r="Z382" s="451"/>
      <c r="AA382" s="451"/>
      <c r="AB382" s="451"/>
      <c r="AC382" s="451"/>
      <c r="AD382" s="451"/>
    </row>
    <row r="383">
      <c r="A383" s="495" t="s">
        <v>1357</v>
      </c>
      <c r="B383" s="466" t="s">
        <v>5699</v>
      </c>
      <c r="C383" s="467" t="s">
        <v>5671</v>
      </c>
      <c r="D383" s="467" t="s">
        <v>5716</v>
      </c>
      <c r="E383" s="467" t="s">
        <v>5727</v>
      </c>
      <c r="F383" s="271" t="s">
        <v>5665</v>
      </c>
      <c r="G383" s="451"/>
      <c r="H383" s="451"/>
      <c r="I383" s="451"/>
      <c r="J383" s="451"/>
      <c r="K383" s="451"/>
      <c r="L383" s="451"/>
      <c r="M383" s="451"/>
      <c r="N383" s="451"/>
      <c r="O383" s="451"/>
      <c r="P383" s="451"/>
      <c r="Q383" s="451"/>
      <c r="R383" s="451"/>
      <c r="S383" s="451"/>
      <c r="T383" s="451"/>
      <c r="U383" s="451"/>
      <c r="V383" s="451"/>
      <c r="W383" s="451"/>
      <c r="X383" s="451"/>
      <c r="Y383" s="451"/>
      <c r="Z383" s="451"/>
      <c r="AA383" s="451"/>
      <c r="AB383" s="451"/>
      <c r="AC383" s="451"/>
      <c r="AD383" s="451"/>
    </row>
    <row r="384">
      <c r="A384" s="495" t="s">
        <v>1358</v>
      </c>
      <c r="B384" s="467" t="s">
        <v>6101</v>
      </c>
      <c r="C384" s="467" t="s">
        <v>5664</v>
      </c>
      <c r="D384" s="467" t="s">
        <v>5716</v>
      </c>
      <c r="E384" s="467" t="s">
        <v>5727</v>
      </c>
      <c r="F384" s="271" t="s">
        <v>5665</v>
      </c>
      <c r="G384" s="451"/>
      <c r="H384" s="451"/>
      <c r="I384" s="451"/>
      <c r="J384" s="451"/>
      <c r="K384" s="451"/>
      <c r="L384" s="451"/>
      <c r="M384" s="451"/>
      <c r="N384" s="451"/>
      <c r="O384" s="451"/>
      <c r="P384" s="451"/>
      <c r="Q384" s="451"/>
      <c r="R384" s="451"/>
      <c r="S384" s="451"/>
      <c r="T384" s="451"/>
      <c r="U384" s="451"/>
      <c r="V384" s="451"/>
      <c r="W384" s="451"/>
      <c r="X384" s="451"/>
      <c r="Y384" s="451"/>
      <c r="Z384" s="451"/>
      <c r="AA384" s="451"/>
      <c r="AB384" s="451"/>
      <c r="AC384" s="451"/>
      <c r="AD384" s="451"/>
    </row>
    <row r="385">
      <c r="A385" s="495" t="s">
        <v>1359</v>
      </c>
      <c r="B385" s="467" t="s">
        <v>6109</v>
      </c>
      <c r="C385" s="467" t="s">
        <v>5657</v>
      </c>
      <c r="D385" s="467" t="s">
        <v>5716</v>
      </c>
      <c r="E385" s="467" t="s">
        <v>5727</v>
      </c>
      <c r="F385" s="271" t="s">
        <v>5665</v>
      </c>
      <c r="G385" s="451"/>
      <c r="H385" s="451"/>
      <c r="I385" s="451"/>
      <c r="J385" s="451"/>
      <c r="K385" s="451"/>
      <c r="L385" s="451"/>
      <c r="M385" s="451"/>
      <c r="N385" s="451"/>
      <c r="O385" s="451"/>
      <c r="P385" s="451"/>
      <c r="Q385" s="451"/>
      <c r="R385" s="451"/>
      <c r="S385" s="451"/>
      <c r="T385" s="451"/>
      <c r="U385" s="451"/>
      <c r="V385" s="451"/>
      <c r="W385" s="451"/>
      <c r="X385" s="451"/>
      <c r="Y385" s="451"/>
      <c r="Z385" s="451"/>
      <c r="AA385" s="451"/>
      <c r="AB385" s="451"/>
      <c r="AC385" s="451"/>
      <c r="AD385" s="451"/>
    </row>
    <row r="386">
      <c r="A386" s="523" t="s">
        <v>6127</v>
      </c>
      <c r="B386" s="467" t="s">
        <v>2707</v>
      </c>
      <c r="C386" s="467" t="s">
        <v>5667</v>
      </c>
      <c r="D386" s="467" t="s">
        <v>5716</v>
      </c>
      <c r="E386" s="467" t="s">
        <v>5727</v>
      </c>
      <c r="F386" s="497" t="s">
        <v>1360</v>
      </c>
      <c r="G386" s="498">
        <v>2.0</v>
      </c>
      <c r="H386" s="497" t="s">
        <v>5728</v>
      </c>
      <c r="I386" s="497" t="s">
        <v>2707</v>
      </c>
      <c r="J386" s="497" t="s">
        <v>1361</v>
      </c>
      <c r="K386" s="497" t="s">
        <v>5734</v>
      </c>
      <c r="L386" s="498">
        <v>7.0</v>
      </c>
      <c r="M386" s="497" t="s">
        <v>6128</v>
      </c>
      <c r="N386" s="497" t="s">
        <v>6129</v>
      </c>
      <c r="O386" s="498">
        <v>37.0</v>
      </c>
      <c r="P386" s="497" t="s">
        <v>6130</v>
      </c>
      <c r="Q386" s="499"/>
      <c r="R386" s="500"/>
      <c r="S386" s="500"/>
      <c r="T386" s="500"/>
      <c r="U386" s="500"/>
      <c r="V386" s="500"/>
      <c r="W386" s="500"/>
      <c r="X386" s="500"/>
      <c r="Y386" s="500"/>
      <c r="Z386" s="500"/>
      <c r="AA386" s="500"/>
      <c r="AB386" s="500"/>
      <c r="AC386" s="500"/>
      <c r="AD386" s="500"/>
      <c r="AE386" s="497"/>
    </row>
    <row r="387">
      <c r="A387" s="495" t="s">
        <v>6131</v>
      </c>
      <c r="B387" s="467" t="s">
        <v>6110</v>
      </c>
      <c r="C387" s="467" t="s">
        <v>5670</v>
      </c>
      <c r="D387" s="467" t="s">
        <v>5716</v>
      </c>
      <c r="E387" s="467" t="s">
        <v>5727</v>
      </c>
      <c r="F387" s="497" t="s">
        <v>1363</v>
      </c>
      <c r="G387" s="498">
        <v>2.0</v>
      </c>
      <c r="H387" s="497" t="s">
        <v>5728</v>
      </c>
      <c r="I387" s="497" t="s">
        <v>2698</v>
      </c>
      <c r="J387" s="497" t="s">
        <v>1364</v>
      </c>
      <c r="K387" s="497" t="s">
        <v>5786</v>
      </c>
      <c r="L387" s="498">
        <v>7.0</v>
      </c>
      <c r="M387" s="497" t="s">
        <v>5854</v>
      </c>
      <c r="N387" s="497" t="s">
        <v>6132</v>
      </c>
      <c r="O387" s="498">
        <v>282.0</v>
      </c>
      <c r="P387" s="497" t="s">
        <v>6133</v>
      </c>
      <c r="Q387" s="500"/>
      <c r="R387" s="500"/>
      <c r="S387" s="500"/>
      <c r="T387" s="500"/>
      <c r="U387" s="500"/>
      <c r="V387" s="500"/>
      <c r="W387" s="500"/>
      <c r="X387" s="500"/>
      <c r="Y387" s="500"/>
      <c r="Z387" s="500"/>
      <c r="AA387" s="500"/>
      <c r="AB387" s="500"/>
      <c r="AC387" s="500"/>
      <c r="AD387" s="500"/>
      <c r="AE387" s="497"/>
    </row>
    <row r="388">
      <c r="A388" s="495" t="s">
        <v>6134</v>
      </c>
      <c r="B388" s="467" t="s">
        <v>6109</v>
      </c>
      <c r="C388" s="467" t="s">
        <v>5671</v>
      </c>
      <c r="D388" s="467" t="s">
        <v>5716</v>
      </c>
      <c r="E388" s="467" t="s">
        <v>5727</v>
      </c>
      <c r="F388" s="497" t="s">
        <v>1367</v>
      </c>
      <c r="G388" s="498">
        <v>2.0</v>
      </c>
      <c r="H388" s="497" t="s">
        <v>5728</v>
      </c>
      <c r="I388" s="497" t="s">
        <v>2695</v>
      </c>
      <c r="J388" s="497" t="s">
        <v>6135</v>
      </c>
      <c r="K388" s="497" t="s">
        <v>5729</v>
      </c>
      <c r="L388" s="498">
        <v>7.0</v>
      </c>
      <c r="M388" s="497" t="s">
        <v>5722</v>
      </c>
      <c r="N388" s="497" t="s">
        <v>6136</v>
      </c>
      <c r="O388" s="498">
        <v>244.0</v>
      </c>
      <c r="P388" s="497" t="s">
        <v>6137</v>
      </c>
      <c r="Q388" s="500"/>
      <c r="R388" s="500"/>
      <c r="S388" s="500"/>
      <c r="T388" s="500"/>
      <c r="U388" s="500"/>
      <c r="V388" s="500"/>
      <c r="W388" s="500"/>
      <c r="X388" s="500"/>
      <c r="Y388" s="500"/>
      <c r="Z388" s="500"/>
      <c r="AA388" s="500"/>
      <c r="AB388" s="500"/>
      <c r="AC388" s="500"/>
      <c r="AD388" s="500"/>
      <c r="AE388" s="497"/>
    </row>
    <row r="389">
      <c r="A389" s="495" t="s">
        <v>1369</v>
      </c>
      <c r="B389" s="467" t="s">
        <v>2724</v>
      </c>
      <c r="C389" s="467" t="s">
        <v>5671</v>
      </c>
      <c r="D389" s="467" t="s">
        <v>5716</v>
      </c>
      <c r="E389" s="467" t="s">
        <v>5727</v>
      </c>
      <c r="F389" s="271" t="s">
        <v>5665</v>
      </c>
      <c r="G389" s="451"/>
      <c r="H389" s="451"/>
      <c r="I389" s="451"/>
      <c r="J389" s="451"/>
      <c r="K389" s="451"/>
      <c r="L389" s="451"/>
      <c r="M389" s="451"/>
      <c r="N389" s="451"/>
      <c r="O389" s="451"/>
      <c r="P389" s="451"/>
      <c r="Q389" s="451"/>
      <c r="R389" s="451"/>
      <c r="S389" s="451"/>
      <c r="T389" s="451"/>
      <c r="U389" s="451"/>
      <c r="V389" s="451"/>
      <c r="W389" s="451"/>
      <c r="X389" s="451"/>
      <c r="Y389" s="451"/>
      <c r="Z389" s="451"/>
      <c r="AA389" s="451"/>
      <c r="AB389" s="451"/>
      <c r="AC389" s="451"/>
      <c r="AD389" s="451"/>
    </row>
    <row r="390">
      <c r="A390" s="495" t="s">
        <v>6138</v>
      </c>
      <c r="B390" s="467" t="s">
        <v>2724</v>
      </c>
      <c r="C390" s="467" t="s">
        <v>5681</v>
      </c>
      <c r="D390" s="467" t="s">
        <v>5719</v>
      </c>
      <c r="E390" s="467" t="s">
        <v>5727</v>
      </c>
      <c r="F390" s="497" t="s">
        <v>1373</v>
      </c>
      <c r="G390" s="498">
        <v>2.0</v>
      </c>
      <c r="H390" s="497" t="s">
        <v>5728</v>
      </c>
      <c r="I390" s="497" t="s">
        <v>2724</v>
      </c>
      <c r="J390" s="497" t="s">
        <v>6139</v>
      </c>
      <c r="K390" s="497" t="s">
        <v>5750</v>
      </c>
      <c r="L390" s="498">
        <v>8.0</v>
      </c>
      <c r="M390" s="497" t="s">
        <v>5828</v>
      </c>
      <c r="N390" s="497" t="s">
        <v>6140</v>
      </c>
      <c r="O390" s="498">
        <v>218.0</v>
      </c>
      <c r="P390" s="497" t="s">
        <v>6141</v>
      </c>
      <c r="Q390" s="500"/>
      <c r="R390" s="500"/>
      <c r="S390" s="500"/>
      <c r="T390" s="500"/>
      <c r="U390" s="500"/>
      <c r="V390" s="500"/>
      <c r="W390" s="500"/>
      <c r="X390" s="500"/>
      <c r="Y390" s="500"/>
      <c r="Z390" s="500"/>
      <c r="AA390" s="500"/>
      <c r="AB390" s="500"/>
      <c r="AC390" s="500"/>
      <c r="AD390" s="500"/>
      <c r="AE390" s="497"/>
    </row>
    <row r="391">
      <c r="A391" s="495" t="s">
        <v>1375</v>
      </c>
      <c r="B391" s="466" t="s">
        <v>5699</v>
      </c>
      <c r="C391" s="467" t="s">
        <v>5667</v>
      </c>
      <c r="D391" s="467" t="s">
        <v>5719</v>
      </c>
      <c r="E391" s="467" t="s">
        <v>5727</v>
      </c>
      <c r="F391" s="271" t="s">
        <v>5665</v>
      </c>
      <c r="G391" s="451"/>
      <c r="H391" s="451"/>
      <c r="I391" s="451"/>
      <c r="J391" s="451"/>
      <c r="K391" s="451"/>
      <c r="L391" s="451"/>
      <c r="M391" s="451"/>
      <c r="N391" s="451"/>
      <c r="O391" s="451"/>
      <c r="P391" s="451"/>
      <c r="Q391" s="451"/>
      <c r="R391" s="451"/>
      <c r="S391" s="451"/>
      <c r="T391" s="451"/>
      <c r="U391" s="451"/>
      <c r="V391" s="451"/>
      <c r="W391" s="451"/>
      <c r="X391" s="451"/>
      <c r="Y391" s="451"/>
      <c r="Z391" s="451"/>
      <c r="AA391" s="451"/>
      <c r="AB391" s="451"/>
      <c r="AC391" s="451"/>
      <c r="AD391" s="451"/>
    </row>
    <row r="392">
      <c r="A392" s="495" t="s">
        <v>1376</v>
      </c>
      <c r="B392" s="466" t="s">
        <v>6039</v>
      </c>
      <c r="C392" s="467" t="s">
        <v>5667</v>
      </c>
      <c r="D392" s="467" t="s">
        <v>5719</v>
      </c>
      <c r="E392" s="467" t="s">
        <v>5727</v>
      </c>
      <c r="F392" s="271" t="s">
        <v>5665</v>
      </c>
      <c r="G392" s="451"/>
      <c r="H392" s="451"/>
      <c r="I392" s="451"/>
      <c r="J392" s="451"/>
      <c r="K392" s="451"/>
      <c r="L392" s="451"/>
      <c r="M392" s="451"/>
      <c r="N392" s="451"/>
      <c r="O392" s="451"/>
      <c r="P392" s="451"/>
      <c r="Q392" s="451"/>
      <c r="R392" s="451"/>
      <c r="S392" s="451"/>
      <c r="T392" s="451"/>
      <c r="U392" s="451"/>
      <c r="V392" s="451"/>
      <c r="W392" s="451"/>
      <c r="X392" s="451"/>
      <c r="Y392" s="451"/>
      <c r="Z392" s="451"/>
      <c r="AA392" s="451"/>
      <c r="AB392" s="451"/>
      <c r="AC392" s="451"/>
      <c r="AD392" s="451"/>
    </row>
    <row r="393">
      <c r="A393" s="495" t="s">
        <v>6142</v>
      </c>
      <c r="B393" s="467" t="s">
        <v>6101</v>
      </c>
      <c r="C393" s="467" t="s">
        <v>5681</v>
      </c>
      <c r="D393" s="467" t="s">
        <v>5719</v>
      </c>
      <c r="E393" s="467" t="s">
        <v>5727</v>
      </c>
      <c r="F393" s="497" t="s">
        <v>1379</v>
      </c>
      <c r="G393" s="498">
        <v>2.0</v>
      </c>
      <c r="H393" s="497" t="s">
        <v>5728</v>
      </c>
      <c r="I393" s="497" t="s">
        <v>2715</v>
      </c>
      <c r="J393" s="497" t="s">
        <v>1380</v>
      </c>
      <c r="K393" s="497" t="s">
        <v>5754</v>
      </c>
      <c r="L393" s="498">
        <v>8.0</v>
      </c>
      <c r="M393" s="497" t="s">
        <v>5794</v>
      </c>
      <c r="N393" s="497" t="s">
        <v>6143</v>
      </c>
      <c r="O393" s="498">
        <v>233.0</v>
      </c>
      <c r="P393" s="497" t="s">
        <v>6144</v>
      </c>
      <c r="Q393" s="499"/>
      <c r="R393" s="500"/>
      <c r="S393" s="500"/>
      <c r="T393" s="500"/>
      <c r="U393" s="500"/>
      <c r="V393" s="500"/>
      <c r="W393" s="500"/>
      <c r="X393" s="500"/>
      <c r="Y393" s="500"/>
      <c r="Z393" s="500"/>
      <c r="AA393" s="500"/>
      <c r="AB393" s="500"/>
      <c r="AC393" s="500"/>
      <c r="AD393" s="500"/>
      <c r="AE393" s="497"/>
    </row>
    <row r="394">
      <c r="A394" s="495" t="s">
        <v>1382</v>
      </c>
      <c r="B394" s="467" t="s">
        <v>6116</v>
      </c>
      <c r="C394" s="467" t="s">
        <v>5667</v>
      </c>
      <c r="D394" s="467" t="s">
        <v>5719</v>
      </c>
      <c r="E394" s="467" t="s">
        <v>5727</v>
      </c>
      <c r="F394" s="271" t="s">
        <v>5665</v>
      </c>
      <c r="G394" s="451"/>
      <c r="H394" s="451"/>
      <c r="I394" s="451"/>
      <c r="J394" s="451"/>
      <c r="K394" s="451"/>
      <c r="L394" s="451"/>
      <c r="M394" s="451"/>
      <c r="N394" s="451"/>
      <c r="O394" s="451"/>
      <c r="P394" s="451"/>
      <c r="Q394" s="451"/>
      <c r="R394" s="451"/>
      <c r="S394" s="451"/>
      <c r="T394" s="451"/>
      <c r="U394" s="451"/>
      <c r="V394" s="451"/>
      <c r="W394" s="451"/>
      <c r="X394" s="451"/>
      <c r="Y394" s="451"/>
      <c r="Z394" s="451"/>
      <c r="AA394" s="451"/>
      <c r="AB394" s="451"/>
      <c r="AC394" s="451"/>
      <c r="AD394" s="451"/>
    </row>
    <row r="395">
      <c r="A395" s="495" t="s">
        <v>1386</v>
      </c>
      <c r="B395" s="467" t="s">
        <v>6105</v>
      </c>
      <c r="C395" s="467" t="s">
        <v>5671</v>
      </c>
      <c r="D395" s="467" t="s">
        <v>5719</v>
      </c>
      <c r="E395" s="467" t="s">
        <v>5727</v>
      </c>
      <c r="F395" s="271" t="s">
        <v>5665</v>
      </c>
      <c r="G395" s="451"/>
      <c r="H395" s="451"/>
      <c r="I395" s="451"/>
      <c r="J395" s="451"/>
      <c r="K395" s="451"/>
      <c r="L395" s="451"/>
      <c r="M395" s="451"/>
      <c r="N395" s="451"/>
      <c r="O395" s="451"/>
      <c r="P395" s="451"/>
      <c r="Q395" s="451"/>
      <c r="R395" s="451"/>
      <c r="S395" s="451"/>
      <c r="T395" s="451"/>
      <c r="U395" s="451"/>
      <c r="V395" s="451"/>
      <c r="W395" s="451"/>
      <c r="X395" s="451"/>
      <c r="Y395" s="451"/>
      <c r="Z395" s="451"/>
      <c r="AA395" s="451"/>
      <c r="AB395" s="451"/>
      <c r="AC395" s="451"/>
      <c r="AD395" s="451"/>
    </row>
    <row r="396">
      <c r="A396" s="495" t="s">
        <v>1387</v>
      </c>
      <c r="B396" s="467" t="s">
        <v>6109</v>
      </c>
      <c r="C396" s="467" t="s">
        <v>5682</v>
      </c>
      <c r="D396" s="467" t="s">
        <v>5719</v>
      </c>
      <c r="E396" s="467" t="s">
        <v>5727</v>
      </c>
      <c r="F396" s="271" t="s">
        <v>6145</v>
      </c>
      <c r="G396" s="451"/>
      <c r="H396" s="451"/>
      <c r="I396" s="451"/>
      <c r="J396" s="451"/>
      <c r="K396" s="451"/>
      <c r="L396" s="451"/>
      <c r="M396" s="451"/>
      <c r="N396" s="451"/>
      <c r="O396" s="451"/>
      <c r="P396" s="451"/>
      <c r="Q396" s="451"/>
      <c r="R396" s="451"/>
      <c r="S396" s="451"/>
      <c r="T396" s="451"/>
      <c r="U396" s="451"/>
      <c r="V396" s="451"/>
      <c r="W396" s="451"/>
      <c r="X396" s="451"/>
      <c r="Y396" s="451"/>
      <c r="Z396" s="451"/>
      <c r="AA396" s="451"/>
      <c r="AB396" s="451"/>
      <c r="AC396" s="451"/>
      <c r="AD396" s="451"/>
    </row>
    <row r="397">
      <c r="A397" s="495" t="s">
        <v>1388</v>
      </c>
      <c r="B397" s="467" t="s">
        <v>6110</v>
      </c>
      <c r="C397" s="467" t="s">
        <v>5682</v>
      </c>
      <c r="D397" s="467" t="s">
        <v>5719</v>
      </c>
      <c r="E397" s="467" t="s">
        <v>5727</v>
      </c>
      <c r="F397" s="271" t="s">
        <v>6145</v>
      </c>
      <c r="G397" s="451"/>
      <c r="H397" s="451"/>
      <c r="I397" s="451"/>
      <c r="J397" s="451"/>
      <c r="K397" s="451"/>
      <c r="L397" s="451"/>
      <c r="M397" s="451"/>
      <c r="N397" s="451"/>
      <c r="O397" s="451"/>
      <c r="P397" s="451"/>
      <c r="Q397" s="451"/>
      <c r="R397" s="451"/>
      <c r="S397" s="451"/>
      <c r="T397" s="451"/>
      <c r="U397" s="451"/>
      <c r="V397" s="451"/>
      <c r="W397" s="451"/>
      <c r="X397" s="451"/>
      <c r="Y397" s="451"/>
      <c r="Z397" s="451"/>
      <c r="AA397" s="451"/>
      <c r="AB397" s="451"/>
      <c r="AC397" s="451"/>
      <c r="AD397" s="451"/>
    </row>
    <row r="398">
      <c r="A398" s="495" t="s">
        <v>671</v>
      </c>
      <c r="B398" s="466" t="s">
        <v>6039</v>
      </c>
      <c r="C398" s="467" t="s">
        <v>5682</v>
      </c>
      <c r="D398" s="467" t="s">
        <v>5719</v>
      </c>
      <c r="E398" s="467" t="s">
        <v>5727</v>
      </c>
      <c r="F398" s="271" t="s">
        <v>6145</v>
      </c>
      <c r="G398" s="451"/>
      <c r="H398" s="451"/>
      <c r="I398" s="451"/>
      <c r="J398" s="451"/>
      <c r="K398" s="451"/>
      <c r="L398" s="451"/>
      <c r="M398" s="451"/>
      <c r="N398" s="451"/>
      <c r="O398" s="451"/>
      <c r="P398" s="451"/>
      <c r="Q398" s="451"/>
      <c r="R398" s="451"/>
      <c r="S398" s="451"/>
      <c r="T398" s="451"/>
      <c r="U398" s="451"/>
      <c r="V398" s="451"/>
      <c r="W398" s="451"/>
      <c r="X398" s="451"/>
      <c r="Y398" s="451"/>
      <c r="Z398" s="451"/>
      <c r="AA398" s="451"/>
      <c r="AB398" s="451"/>
      <c r="AC398" s="451"/>
      <c r="AD398" s="451"/>
    </row>
    <row r="399">
      <c r="A399" s="495" t="s">
        <v>6146</v>
      </c>
      <c r="B399" s="467" t="s">
        <v>6116</v>
      </c>
      <c r="C399" s="467" t="s">
        <v>5671</v>
      </c>
      <c r="D399" s="467" t="s">
        <v>5725</v>
      </c>
      <c r="E399" s="467" t="s">
        <v>5727</v>
      </c>
      <c r="F399" s="497" t="s">
        <v>1392</v>
      </c>
      <c r="G399" s="498">
        <v>2.0</v>
      </c>
      <c r="H399" s="497" t="s">
        <v>5728</v>
      </c>
      <c r="I399" s="497" t="s">
        <v>2692</v>
      </c>
      <c r="J399" s="497" t="s">
        <v>6147</v>
      </c>
      <c r="K399" s="497" t="s">
        <v>5729</v>
      </c>
      <c r="L399" s="498">
        <v>9.0</v>
      </c>
      <c r="M399" s="497" t="s">
        <v>5763</v>
      </c>
      <c r="N399" s="497" t="s">
        <v>6148</v>
      </c>
      <c r="O399" s="498">
        <v>241.0</v>
      </c>
      <c r="P399" s="497" t="s">
        <v>6149</v>
      </c>
      <c r="Q399" s="499"/>
      <c r="R399" s="500"/>
      <c r="S399" s="500"/>
      <c r="T399" s="500"/>
      <c r="U399" s="500"/>
      <c r="V399" s="500"/>
      <c r="W399" s="500"/>
      <c r="X399" s="500"/>
      <c r="Y399" s="500"/>
      <c r="Z399" s="500"/>
      <c r="AA399" s="500"/>
      <c r="AB399" s="500"/>
      <c r="AC399" s="500"/>
      <c r="AD399" s="500"/>
      <c r="AE399" s="497"/>
    </row>
    <row r="400">
      <c r="A400" s="495" t="s">
        <v>1394</v>
      </c>
      <c r="B400" s="467" t="s">
        <v>6116</v>
      </c>
      <c r="C400" s="467" t="s">
        <v>5682</v>
      </c>
      <c r="D400" s="467" t="s">
        <v>5725</v>
      </c>
      <c r="E400" s="467" t="s">
        <v>5727</v>
      </c>
      <c r="F400" s="271" t="s">
        <v>6145</v>
      </c>
      <c r="G400" s="451"/>
      <c r="H400" s="451"/>
      <c r="I400" s="451"/>
      <c r="J400" s="451"/>
      <c r="K400" s="451"/>
      <c r="L400" s="451"/>
      <c r="M400" s="451"/>
      <c r="N400" s="451"/>
      <c r="O400" s="451"/>
      <c r="P400" s="451"/>
      <c r="Q400" s="451"/>
      <c r="R400" s="451"/>
      <c r="S400" s="451"/>
      <c r="T400" s="451"/>
      <c r="U400" s="451"/>
      <c r="V400" s="451"/>
      <c r="W400" s="451"/>
      <c r="X400" s="451"/>
      <c r="Y400" s="451"/>
      <c r="Z400" s="451"/>
      <c r="AA400" s="451"/>
      <c r="AB400" s="451"/>
      <c r="AC400" s="451"/>
      <c r="AD400" s="451"/>
    </row>
    <row r="401">
      <c r="A401" s="495" t="s">
        <v>6150</v>
      </c>
      <c r="B401" s="467" t="s">
        <v>2724</v>
      </c>
      <c r="C401" s="467" t="s">
        <v>5657</v>
      </c>
      <c r="D401" s="467" t="s">
        <v>5725</v>
      </c>
      <c r="E401" s="467" t="s">
        <v>5727</v>
      </c>
      <c r="F401" s="497" t="s">
        <v>1398</v>
      </c>
      <c r="G401" s="498">
        <v>2.0</v>
      </c>
      <c r="H401" s="497" t="s">
        <v>5728</v>
      </c>
      <c r="I401" s="497" t="s">
        <v>2724</v>
      </c>
      <c r="J401" s="497" t="s">
        <v>1399</v>
      </c>
      <c r="K401" s="497" t="s">
        <v>5711</v>
      </c>
      <c r="L401" s="498">
        <v>8.0</v>
      </c>
      <c r="M401" s="497" t="s">
        <v>6151</v>
      </c>
      <c r="N401" s="497" t="s">
        <v>6152</v>
      </c>
      <c r="O401" s="498">
        <v>294.0</v>
      </c>
      <c r="P401" s="497" t="s">
        <v>6153</v>
      </c>
      <c r="Q401" s="499"/>
      <c r="R401" s="500"/>
      <c r="S401" s="500"/>
      <c r="T401" s="500"/>
      <c r="U401" s="500"/>
      <c r="V401" s="500"/>
      <c r="W401" s="500"/>
      <c r="X401" s="500"/>
      <c r="Y401" s="500"/>
      <c r="Z401" s="500"/>
      <c r="AA401" s="500"/>
      <c r="AB401" s="500"/>
      <c r="AC401" s="500"/>
      <c r="AD401" s="500"/>
      <c r="AE401" s="497"/>
    </row>
    <row r="402">
      <c r="A402" s="495" t="s">
        <v>1401</v>
      </c>
      <c r="B402" s="467" t="s">
        <v>6109</v>
      </c>
      <c r="C402" s="467" t="s">
        <v>5657</v>
      </c>
      <c r="D402" s="467" t="s">
        <v>5725</v>
      </c>
      <c r="E402" s="467" t="s">
        <v>5727</v>
      </c>
      <c r="F402" s="271" t="s">
        <v>6145</v>
      </c>
      <c r="G402" s="451"/>
      <c r="H402" s="451"/>
      <c r="I402" s="451"/>
      <c r="J402" s="451"/>
      <c r="K402" s="451"/>
      <c r="L402" s="451"/>
      <c r="M402" s="451"/>
      <c r="N402" s="451"/>
      <c r="O402" s="451"/>
      <c r="P402" s="451"/>
      <c r="Q402" s="451"/>
      <c r="R402" s="451"/>
      <c r="S402" s="451"/>
      <c r="T402" s="451"/>
      <c r="U402" s="451"/>
      <c r="V402" s="451"/>
      <c r="W402" s="451"/>
      <c r="X402" s="451"/>
      <c r="Y402" s="451"/>
      <c r="Z402" s="451"/>
      <c r="AA402" s="451"/>
      <c r="AB402" s="451"/>
      <c r="AC402" s="451"/>
      <c r="AD402" s="451"/>
    </row>
    <row r="403">
      <c r="A403" s="495" t="s">
        <v>1402</v>
      </c>
      <c r="B403" s="467" t="s">
        <v>6116</v>
      </c>
      <c r="C403" s="467" t="s">
        <v>5664</v>
      </c>
      <c r="D403" s="467" t="s">
        <v>5725</v>
      </c>
      <c r="E403" s="467" t="s">
        <v>5727</v>
      </c>
      <c r="F403" s="271" t="s">
        <v>6145</v>
      </c>
      <c r="G403" s="451"/>
      <c r="H403" s="451"/>
      <c r="I403" s="451"/>
      <c r="J403" s="451"/>
      <c r="K403" s="451"/>
      <c r="L403" s="451"/>
      <c r="M403" s="451"/>
      <c r="N403" s="451"/>
      <c r="O403" s="451"/>
      <c r="P403" s="451"/>
      <c r="Q403" s="451"/>
      <c r="R403" s="451"/>
      <c r="S403" s="451"/>
      <c r="T403" s="451"/>
      <c r="U403" s="451"/>
      <c r="V403" s="451"/>
      <c r="W403" s="451"/>
      <c r="X403" s="451"/>
      <c r="Y403" s="451"/>
      <c r="Z403" s="451"/>
      <c r="AA403" s="451"/>
      <c r="AB403" s="451"/>
      <c r="AC403" s="451"/>
      <c r="AD403" s="451"/>
    </row>
    <row r="404">
      <c r="A404" s="495" t="s">
        <v>1403</v>
      </c>
      <c r="B404" s="467" t="s">
        <v>6096</v>
      </c>
      <c r="C404" s="467" t="s">
        <v>5664</v>
      </c>
      <c r="D404" s="467" t="s">
        <v>5725</v>
      </c>
      <c r="E404" s="467" t="s">
        <v>5727</v>
      </c>
      <c r="F404" s="271" t="s">
        <v>6145</v>
      </c>
      <c r="G404" s="451"/>
      <c r="H404" s="451"/>
      <c r="I404" s="451"/>
      <c r="J404" s="451"/>
      <c r="K404" s="451"/>
      <c r="L404" s="451"/>
      <c r="M404" s="451"/>
      <c r="N404" s="451"/>
      <c r="O404" s="451"/>
      <c r="P404" s="451"/>
      <c r="Q404" s="451"/>
      <c r="R404" s="451"/>
      <c r="S404" s="451"/>
      <c r="T404" s="451"/>
      <c r="U404" s="451"/>
      <c r="V404" s="451"/>
      <c r="W404" s="451"/>
      <c r="X404" s="451"/>
      <c r="Y404" s="451"/>
      <c r="Z404" s="451"/>
      <c r="AA404" s="451"/>
      <c r="AB404" s="451"/>
      <c r="AC404" s="451"/>
      <c r="AD404" s="451"/>
    </row>
    <row r="405">
      <c r="A405" s="495" t="s">
        <v>1404</v>
      </c>
      <c r="B405" s="467" t="s">
        <v>2707</v>
      </c>
      <c r="C405" s="467" t="s">
        <v>5664</v>
      </c>
      <c r="D405" s="467" t="s">
        <v>5725</v>
      </c>
      <c r="E405" s="467" t="s">
        <v>5727</v>
      </c>
      <c r="F405" s="271" t="s">
        <v>6145</v>
      </c>
      <c r="G405" s="451"/>
      <c r="H405" s="451"/>
      <c r="I405" s="451"/>
      <c r="J405" s="451"/>
      <c r="K405" s="451"/>
      <c r="L405" s="451"/>
      <c r="M405" s="451"/>
      <c r="N405" s="451"/>
      <c r="O405" s="451"/>
      <c r="P405" s="451"/>
      <c r="Q405" s="451"/>
      <c r="R405" s="451"/>
      <c r="S405" s="451"/>
      <c r="T405" s="451"/>
      <c r="U405" s="451"/>
      <c r="V405" s="451"/>
      <c r="W405" s="451"/>
      <c r="X405" s="451"/>
      <c r="Y405" s="451"/>
      <c r="Z405" s="451"/>
      <c r="AA405" s="451"/>
      <c r="AB405" s="451"/>
      <c r="AC405" s="451"/>
      <c r="AD405" s="451"/>
    </row>
    <row r="406">
      <c r="A406" s="495" t="s">
        <v>1405</v>
      </c>
      <c r="B406" s="467" t="s">
        <v>6110</v>
      </c>
      <c r="C406" s="467" t="s">
        <v>5664</v>
      </c>
      <c r="D406" s="467" t="s">
        <v>5725</v>
      </c>
      <c r="E406" s="467" t="s">
        <v>5727</v>
      </c>
      <c r="F406" s="271" t="s">
        <v>6145</v>
      </c>
      <c r="G406" s="451"/>
      <c r="H406" s="451"/>
      <c r="I406" s="451"/>
      <c r="J406" s="451"/>
      <c r="K406" s="451"/>
      <c r="L406" s="451"/>
      <c r="M406" s="451"/>
      <c r="N406" s="451"/>
      <c r="O406" s="451"/>
      <c r="P406" s="451"/>
      <c r="Q406" s="451"/>
      <c r="R406" s="451"/>
      <c r="S406" s="451"/>
      <c r="T406" s="451"/>
      <c r="U406" s="451"/>
      <c r="V406" s="451"/>
      <c r="W406" s="451"/>
      <c r="X406" s="451"/>
      <c r="Y406" s="451"/>
      <c r="Z406" s="451"/>
      <c r="AA406" s="451"/>
      <c r="AB406" s="451"/>
      <c r="AC406" s="451"/>
      <c r="AD406" s="451"/>
    </row>
    <row r="407">
      <c r="A407" s="495" t="s">
        <v>1406</v>
      </c>
      <c r="B407" s="467" t="s">
        <v>6110</v>
      </c>
      <c r="C407" s="467" t="s">
        <v>5667</v>
      </c>
      <c r="D407" s="467" t="s">
        <v>5725</v>
      </c>
      <c r="E407" s="467" t="s">
        <v>5727</v>
      </c>
      <c r="F407" s="271" t="s">
        <v>6145</v>
      </c>
      <c r="G407" s="451"/>
      <c r="H407" s="451"/>
      <c r="I407" s="451"/>
      <c r="J407" s="451"/>
      <c r="K407" s="451"/>
      <c r="L407" s="451"/>
      <c r="M407" s="451"/>
      <c r="N407" s="451"/>
      <c r="O407" s="451"/>
      <c r="P407" s="451"/>
      <c r="Q407" s="451"/>
      <c r="R407" s="451"/>
      <c r="S407" s="451"/>
      <c r="T407" s="451"/>
      <c r="U407" s="451"/>
      <c r="V407" s="451"/>
      <c r="W407" s="451"/>
      <c r="X407" s="451"/>
      <c r="Y407" s="451"/>
      <c r="Z407" s="451"/>
      <c r="AA407" s="451"/>
      <c r="AB407" s="451"/>
      <c r="AC407" s="451"/>
      <c r="AD407" s="451"/>
    </row>
    <row r="408">
      <c r="A408" s="495" t="s">
        <v>6154</v>
      </c>
      <c r="B408" s="467" t="s">
        <v>6110</v>
      </c>
      <c r="C408" s="467" t="s">
        <v>5670</v>
      </c>
      <c r="D408" s="467" t="s">
        <v>5725</v>
      </c>
      <c r="E408" s="467" t="s">
        <v>5727</v>
      </c>
      <c r="F408" s="497" t="s">
        <v>1407</v>
      </c>
      <c r="G408" s="498">
        <v>2.0</v>
      </c>
      <c r="H408" s="497" t="s">
        <v>5728</v>
      </c>
      <c r="I408" s="497" t="s">
        <v>2698</v>
      </c>
      <c r="J408" s="497" t="s">
        <v>6155</v>
      </c>
      <c r="K408" s="497" t="s">
        <v>5786</v>
      </c>
      <c r="L408" s="498">
        <v>9.0</v>
      </c>
      <c r="M408" s="497" t="s">
        <v>5824</v>
      </c>
      <c r="N408" s="497" t="s">
        <v>6156</v>
      </c>
      <c r="O408" s="498">
        <v>207.0</v>
      </c>
      <c r="P408" s="497" t="s">
        <v>6157</v>
      </c>
      <c r="Q408" s="499"/>
      <c r="R408" s="500"/>
      <c r="S408" s="500"/>
      <c r="T408" s="500"/>
      <c r="U408" s="500"/>
      <c r="V408" s="500"/>
      <c r="W408" s="500"/>
      <c r="X408" s="500"/>
      <c r="Y408" s="500"/>
      <c r="Z408" s="500"/>
      <c r="AA408" s="500"/>
      <c r="AB408" s="500"/>
      <c r="AC408" s="500"/>
      <c r="AD408" s="500"/>
      <c r="AE408" s="497"/>
    </row>
    <row r="409">
      <c r="A409" s="495" t="s">
        <v>6158</v>
      </c>
      <c r="B409" s="467" t="s">
        <v>6096</v>
      </c>
      <c r="C409" s="467" t="s">
        <v>5671</v>
      </c>
      <c r="D409" s="467" t="s">
        <v>5725</v>
      </c>
      <c r="E409" s="467" t="s">
        <v>5727</v>
      </c>
      <c r="F409" s="497" t="s">
        <v>1408</v>
      </c>
      <c r="G409" s="498">
        <v>2.0</v>
      </c>
      <c r="H409" s="497" t="s">
        <v>5728</v>
      </c>
      <c r="I409" s="497" t="s">
        <v>2709</v>
      </c>
      <c r="J409" s="497" t="s">
        <v>6147</v>
      </c>
      <c r="K409" s="497" t="s">
        <v>5729</v>
      </c>
      <c r="L409" s="498">
        <v>9.0</v>
      </c>
      <c r="M409" s="497" t="s">
        <v>6159</v>
      </c>
      <c r="N409" s="497" t="s">
        <v>6160</v>
      </c>
      <c r="O409" s="498">
        <v>388.0</v>
      </c>
      <c r="P409" s="497" t="s">
        <v>6161</v>
      </c>
      <c r="Q409" s="499"/>
      <c r="R409" s="500"/>
      <c r="S409" s="500"/>
      <c r="T409" s="500"/>
      <c r="U409" s="500"/>
      <c r="V409" s="500"/>
      <c r="W409" s="500"/>
      <c r="X409" s="500"/>
      <c r="Y409" s="500"/>
      <c r="Z409" s="500"/>
      <c r="AA409" s="500"/>
      <c r="AB409" s="500"/>
      <c r="AC409" s="500"/>
      <c r="AD409" s="500"/>
      <c r="AE409" s="497"/>
    </row>
    <row r="410">
      <c r="A410" s="501" t="s">
        <v>5016</v>
      </c>
      <c r="B410" s="518" t="str">
        <f>HYPERLINK("https://health.detik.com/berita-detikhealth/d-4490255/unik-tremor-pasien-parkinson-membaik-saat-menembak-dengan-pistol","Detik")</f>
        <v>Detik</v>
      </c>
      <c r="C410" s="467" t="s">
        <v>5670</v>
      </c>
      <c r="D410" s="467" t="s">
        <v>5675</v>
      </c>
      <c r="E410" s="467" t="s">
        <v>5727</v>
      </c>
      <c r="F410" s="497" t="s">
        <v>6162</v>
      </c>
      <c r="G410" s="498">
        <v>2.0</v>
      </c>
      <c r="H410" s="497" t="s">
        <v>5728</v>
      </c>
      <c r="I410" s="497" t="s">
        <v>2740</v>
      </c>
      <c r="J410" s="497" t="s">
        <v>6163</v>
      </c>
      <c r="K410" s="497" t="s">
        <v>5786</v>
      </c>
      <c r="L410" s="498">
        <v>3.0</v>
      </c>
      <c r="M410" s="497" t="s">
        <v>6070</v>
      </c>
      <c r="N410" s="497" t="s">
        <v>6164</v>
      </c>
      <c r="O410" s="498">
        <v>324.0</v>
      </c>
      <c r="P410" s="497" t="s">
        <v>6165</v>
      </c>
      <c r="Q410" s="500"/>
      <c r="R410" s="500"/>
      <c r="S410" s="500"/>
      <c r="T410" s="500"/>
      <c r="U410" s="500"/>
      <c r="V410" s="500"/>
      <c r="W410" s="500"/>
      <c r="X410" s="500"/>
      <c r="Y410" s="500"/>
      <c r="Z410" s="500"/>
      <c r="AA410" s="500"/>
      <c r="AB410" s="500"/>
      <c r="AC410" s="500"/>
      <c r="AD410" s="500"/>
      <c r="AE410" s="497"/>
    </row>
    <row r="411">
      <c r="A411" s="501" t="s">
        <v>5022</v>
      </c>
      <c r="B411" s="518" t="str">
        <f>HYPERLINK("https://khazanah.republika.co.id/berita/dunia-islam/islam-digest/ppbosv313/mengenal-ltemgtkalila-wa-dimnaltemgt","Republika")</f>
        <v>Republika</v>
      </c>
      <c r="C411" s="467" t="s">
        <v>5681</v>
      </c>
      <c r="D411" s="467" t="s">
        <v>5683</v>
      </c>
      <c r="E411" s="467" t="s">
        <v>5727</v>
      </c>
      <c r="F411" s="271" t="s">
        <v>6145</v>
      </c>
      <c r="G411" s="451"/>
      <c r="H411" s="451"/>
      <c r="I411" s="451"/>
      <c r="J411" s="451"/>
      <c r="K411" s="451"/>
      <c r="L411" s="451"/>
      <c r="M411" s="451"/>
      <c r="N411" s="451"/>
      <c r="O411" s="451"/>
      <c r="P411" s="451"/>
      <c r="Q411" s="451"/>
      <c r="R411" s="451"/>
      <c r="S411" s="451"/>
      <c r="T411" s="451"/>
      <c r="U411" s="451"/>
      <c r="V411" s="451"/>
      <c r="W411" s="451"/>
      <c r="X411" s="451"/>
      <c r="Y411" s="451"/>
      <c r="Z411" s="451"/>
      <c r="AA411" s="451"/>
      <c r="AB411" s="451"/>
      <c r="AC411" s="451"/>
      <c r="AD411" s="451"/>
    </row>
    <row r="412">
      <c r="A412" s="501" t="s">
        <v>5025</v>
      </c>
      <c r="B412" s="518" t="str">
        <f>HYPERLINK("https://www.liputan6.com/bisnis/read/3939423/transaksi-brizzi-tembus-rp-194-triliun-di-kuartal-i-2019","liputan6")</f>
        <v>liputan6</v>
      </c>
      <c r="C412" s="467" t="s">
        <v>5664</v>
      </c>
      <c r="D412" s="467" t="s">
        <v>5683</v>
      </c>
      <c r="E412" s="467" t="s">
        <v>5727</v>
      </c>
      <c r="F412" s="271" t="s">
        <v>6145</v>
      </c>
      <c r="G412" s="451"/>
      <c r="H412" s="451"/>
      <c r="I412" s="451"/>
      <c r="J412" s="451"/>
      <c r="K412" s="451"/>
      <c r="L412" s="451"/>
      <c r="M412" s="451"/>
      <c r="N412" s="451"/>
      <c r="O412" s="451"/>
      <c r="P412" s="451"/>
      <c r="Q412" s="451"/>
      <c r="R412" s="451"/>
      <c r="S412" s="451"/>
      <c r="T412" s="451"/>
      <c r="U412" s="451"/>
      <c r="V412" s="451"/>
      <c r="W412" s="451"/>
      <c r="X412" s="451"/>
      <c r="Y412" s="451"/>
      <c r="Z412" s="451"/>
      <c r="AA412" s="451"/>
      <c r="AB412" s="451"/>
      <c r="AC412" s="451"/>
      <c r="AD412" s="451"/>
    </row>
    <row r="413">
      <c r="A413" s="501" t="s">
        <v>5027</v>
      </c>
      <c r="B413" s="518" t="str">
        <f>HYPERLINK("https://metro.tempo.co/read/1195865/13-ribu-surat-suara-dpt-tambahan-sudah-diterima-kpu-dki/full&amp;view=ok","Tempo.co")</f>
        <v>Tempo.co</v>
      </c>
      <c r="C413" s="467" t="s">
        <v>5682</v>
      </c>
      <c r="D413" s="467" t="s">
        <v>5683</v>
      </c>
      <c r="E413" s="467" t="s">
        <v>5727</v>
      </c>
      <c r="F413" s="497" t="s">
        <v>6166</v>
      </c>
      <c r="G413" s="498">
        <v>2.0</v>
      </c>
      <c r="H413" s="497" t="s">
        <v>5728</v>
      </c>
      <c r="I413" s="497" t="s">
        <v>2702</v>
      </c>
      <c r="J413" s="497" t="s">
        <v>6001</v>
      </c>
      <c r="K413" s="497" t="s">
        <v>5721</v>
      </c>
      <c r="L413" s="498">
        <v>4.0</v>
      </c>
      <c r="M413" s="497" t="s">
        <v>6057</v>
      </c>
      <c r="N413" s="497" t="s">
        <v>6167</v>
      </c>
      <c r="O413" s="498">
        <v>445.0</v>
      </c>
      <c r="P413" s="497" t="s">
        <v>6168</v>
      </c>
      <c r="Q413" s="499"/>
      <c r="R413" s="500"/>
      <c r="S413" s="500"/>
      <c r="T413" s="500"/>
      <c r="U413" s="500"/>
      <c r="V413" s="500"/>
      <c r="W413" s="500"/>
      <c r="X413" s="500"/>
      <c r="Y413" s="500"/>
      <c r="Z413" s="500"/>
      <c r="AA413" s="500"/>
      <c r="AB413" s="500"/>
      <c r="AC413" s="500"/>
      <c r="AD413" s="500"/>
      <c r="AE413" s="497"/>
    </row>
    <row r="414">
      <c r="A414" s="501" t="s">
        <v>5029</v>
      </c>
      <c r="B414" s="518" t="str">
        <f>HYPERLINK("https://news.okezone.com/read/2019/04/17/340/2044644/gara-gara-salah-paham-ketua-kpps-ditusuk-anggota-linmas","okezone")</f>
        <v>okezone</v>
      </c>
      <c r="C414" s="467" t="s">
        <v>5657</v>
      </c>
      <c r="D414" s="467" t="s">
        <v>5683</v>
      </c>
      <c r="E414" s="467" t="s">
        <v>5727</v>
      </c>
      <c r="F414" s="519" t="s">
        <v>6169</v>
      </c>
      <c r="G414" s="520">
        <v>2.0</v>
      </c>
      <c r="H414" s="519" t="s">
        <v>5728</v>
      </c>
      <c r="I414" s="519" t="s">
        <v>2709</v>
      </c>
      <c r="J414" s="519" t="s">
        <v>6170</v>
      </c>
      <c r="K414" s="519" t="s">
        <v>5711</v>
      </c>
      <c r="L414" s="520">
        <v>4.0</v>
      </c>
      <c r="M414" s="519" t="s">
        <v>6171</v>
      </c>
      <c r="N414" s="519" t="s">
        <v>6172</v>
      </c>
      <c r="O414" s="520">
        <v>475.0</v>
      </c>
      <c r="P414" s="519" t="s">
        <v>6173</v>
      </c>
      <c r="Q414" s="521"/>
      <c r="R414" s="522"/>
      <c r="S414" s="522"/>
      <c r="T414" s="522"/>
      <c r="U414" s="522"/>
      <c r="V414" s="522"/>
      <c r="W414" s="522"/>
      <c r="X414" s="522"/>
      <c r="Y414" s="522"/>
      <c r="Z414" s="522"/>
      <c r="AA414" s="522"/>
      <c r="AB414" s="522"/>
      <c r="AC414" s="522"/>
      <c r="AD414" s="522"/>
      <c r="AE414" s="519"/>
    </row>
    <row r="415">
      <c r="A415" s="501" t="s">
        <v>5031</v>
      </c>
      <c r="B415" s="518" t="str">
        <f>HYPERLINK("https://www.cnnindonesia.com/nasional/20190421200628-12-388300/istri-andre-taulany-dilaporkan-ke-polisi-soal-prabowo-gila","CNN")</f>
        <v>CNN</v>
      </c>
      <c r="C415" s="467" t="s">
        <v>5671</v>
      </c>
      <c r="D415" s="467" t="s">
        <v>5683</v>
      </c>
      <c r="E415" s="467" t="s">
        <v>5727</v>
      </c>
      <c r="F415" s="271" t="s">
        <v>6145</v>
      </c>
      <c r="G415" s="451"/>
      <c r="H415" s="451"/>
      <c r="I415" s="451"/>
      <c r="J415" s="451"/>
      <c r="K415" s="451"/>
      <c r="L415" s="451"/>
      <c r="M415" s="451"/>
      <c r="N415" s="451"/>
      <c r="O415" s="451"/>
      <c r="P415" s="451"/>
      <c r="Q415" s="451"/>
      <c r="R415" s="451"/>
      <c r="S415" s="451"/>
      <c r="T415" s="451"/>
      <c r="U415" s="451"/>
      <c r="V415" s="451"/>
      <c r="W415" s="451"/>
      <c r="X415" s="451"/>
      <c r="Y415" s="451"/>
      <c r="Z415" s="451"/>
      <c r="AA415" s="451"/>
      <c r="AB415" s="451"/>
      <c r="AC415" s="451"/>
      <c r="AD415" s="451"/>
    </row>
    <row r="416">
      <c r="A416" s="501" t="s">
        <v>5032</v>
      </c>
      <c r="B416" s="518" t="str">
        <f>HYPERLINK("https://www.suara.com/entertainment/2019/04/26/145947/relawan-prabowo-ini-ingin-andre-taulany-juga-jadi-tersangka","Suara")</f>
        <v>Suara</v>
      </c>
      <c r="C416" s="467" t="s">
        <v>5667</v>
      </c>
      <c r="D416" s="467" t="s">
        <v>5683</v>
      </c>
      <c r="E416" s="467" t="s">
        <v>5727</v>
      </c>
      <c r="F416" s="271" t="s">
        <v>6145</v>
      </c>
      <c r="G416" s="451"/>
      <c r="H416" s="451"/>
      <c r="I416" s="451"/>
      <c r="J416" s="451"/>
      <c r="K416" s="451"/>
      <c r="L416" s="451"/>
      <c r="M416" s="451"/>
      <c r="N416" s="451"/>
      <c r="O416" s="451"/>
      <c r="P416" s="451"/>
      <c r="Q416" s="451"/>
      <c r="R416" s="451"/>
      <c r="S416" s="451"/>
      <c r="T416" s="451"/>
      <c r="U416" s="451"/>
      <c r="V416" s="451"/>
      <c r="W416" s="451"/>
      <c r="X416" s="451"/>
      <c r="Y416" s="451"/>
      <c r="Z416" s="451"/>
      <c r="AA416" s="451"/>
      <c r="AB416" s="451"/>
      <c r="AC416" s="451"/>
      <c r="AD416" s="451"/>
    </row>
    <row r="417">
      <c r="A417" s="501" t="s">
        <v>5037</v>
      </c>
      <c r="B417" s="518" t="str">
        <f>HYPERLINK("https://nasional.kompas.com/read/2019/05/01/10104881/update-anggota-kpps-yang-gugur-bertambah-jadi-336-dan-sakit-2568","Kompas")</f>
        <v>Kompas</v>
      </c>
      <c r="C417" s="467" t="s">
        <v>5657</v>
      </c>
      <c r="D417" s="467" t="s">
        <v>5692</v>
      </c>
      <c r="E417" s="467" t="s">
        <v>5727</v>
      </c>
      <c r="F417" s="516" t="s">
        <v>6174</v>
      </c>
      <c r="G417" s="498">
        <v>2.0</v>
      </c>
      <c r="H417" s="497" t="s">
        <v>5728</v>
      </c>
      <c r="I417" s="497" t="s">
        <v>2724</v>
      </c>
      <c r="J417" s="497" t="s">
        <v>6175</v>
      </c>
      <c r="K417" s="497" t="s">
        <v>5711</v>
      </c>
      <c r="L417" s="498">
        <v>5.0</v>
      </c>
      <c r="M417" s="497" t="s">
        <v>5893</v>
      </c>
      <c r="N417" s="497" t="s">
        <v>6176</v>
      </c>
      <c r="O417" s="498">
        <v>401.0</v>
      </c>
      <c r="P417" s="497" t="s">
        <v>6177</v>
      </c>
      <c r="Q417" s="499"/>
      <c r="R417" s="500"/>
      <c r="S417" s="500"/>
      <c r="T417" s="500"/>
      <c r="U417" s="500"/>
      <c r="V417" s="500"/>
      <c r="W417" s="500"/>
      <c r="X417" s="500"/>
      <c r="Y417" s="500"/>
      <c r="Z417" s="500"/>
      <c r="AA417" s="500"/>
      <c r="AB417" s="500"/>
      <c r="AC417" s="500"/>
      <c r="AD417" s="500"/>
      <c r="AE417" s="497"/>
    </row>
    <row r="418">
      <c r="A418" s="501" t="s">
        <v>5044</v>
      </c>
      <c r="B418" s="518" t="str">
        <f>HYPERLINK("https://economy.okezone.com/read/2019/05/08/278/2053067/polemik-laporan-keuangan-garuda-mahata-bidik-untung-usd1-5-miliar","Okezone")</f>
        <v>Okezone</v>
      </c>
      <c r="C418" s="467" t="s">
        <v>5657</v>
      </c>
      <c r="D418" s="467" t="s">
        <v>5692</v>
      </c>
      <c r="E418" s="467" t="s">
        <v>5727</v>
      </c>
      <c r="F418" s="271" t="s">
        <v>6145</v>
      </c>
      <c r="G418" s="451"/>
      <c r="H418" s="451"/>
      <c r="I418" s="451"/>
      <c r="J418" s="451"/>
      <c r="K418" s="451"/>
      <c r="L418" s="451"/>
      <c r="M418" s="451"/>
      <c r="N418" s="451"/>
      <c r="O418" s="451"/>
      <c r="P418" s="451"/>
      <c r="Q418" s="451"/>
      <c r="R418" s="451"/>
      <c r="S418" s="451"/>
      <c r="T418" s="451"/>
      <c r="U418" s="451"/>
      <c r="V418" s="451"/>
      <c r="W418" s="451"/>
      <c r="X418" s="451"/>
      <c r="Y418" s="451"/>
      <c r="Z418" s="451"/>
      <c r="AA418" s="451"/>
      <c r="AB418" s="451"/>
      <c r="AC418" s="451"/>
      <c r="AD418" s="451"/>
    </row>
    <row r="419">
      <c r="A419" s="501" t="s">
        <v>5045</v>
      </c>
      <c r="B419" s="518" t="str">
        <f>HYPERLINK("https://www.liputan6.com/bola/read/3963311/soal-perempat-final-piala-presiden-persebaya-masih-tunggu-pssi","Liputan6")</f>
        <v>Liputan6</v>
      </c>
      <c r="C419" s="467" t="s">
        <v>5671</v>
      </c>
      <c r="D419" s="467" t="s">
        <v>5692</v>
      </c>
      <c r="E419" s="467" t="s">
        <v>5727</v>
      </c>
      <c r="F419" s="271" t="s">
        <v>6145</v>
      </c>
      <c r="G419" s="451"/>
      <c r="H419" s="451"/>
      <c r="I419" s="451"/>
      <c r="J419" s="451"/>
      <c r="K419" s="451"/>
      <c r="L419" s="451"/>
      <c r="M419" s="451"/>
      <c r="N419" s="451"/>
      <c r="O419" s="451"/>
      <c r="P419" s="451"/>
      <c r="Q419" s="451"/>
      <c r="R419" s="451"/>
      <c r="S419" s="451"/>
      <c r="T419" s="451"/>
      <c r="U419" s="451"/>
      <c r="V419" s="451"/>
      <c r="W419" s="451"/>
      <c r="X419" s="451"/>
      <c r="Y419" s="451"/>
      <c r="Z419" s="451"/>
      <c r="AA419" s="451"/>
      <c r="AB419" s="451"/>
      <c r="AC419" s="451"/>
      <c r="AD419" s="451"/>
    </row>
    <row r="420">
      <c r="A420" s="501" t="s">
        <v>2206</v>
      </c>
      <c r="B420" s="518" t="str">
        <f>HYPERLINK("https://tirto.id/alasan-atalanta-menjadi-tim-paling-menarik-di-serie-a-musim-ini-dyEG","Tirto")</f>
        <v>Tirto</v>
      </c>
      <c r="C420" s="467" t="s">
        <v>5671</v>
      </c>
      <c r="D420" s="467" t="s">
        <v>5692</v>
      </c>
      <c r="E420" s="467" t="s">
        <v>5727</v>
      </c>
      <c r="F420" s="271" t="s">
        <v>6145</v>
      </c>
      <c r="G420" s="451"/>
      <c r="H420" s="451"/>
      <c r="I420" s="451"/>
      <c r="J420" s="451"/>
      <c r="K420" s="451"/>
      <c r="L420" s="451"/>
      <c r="M420" s="451"/>
      <c r="N420" s="451"/>
      <c r="O420" s="451"/>
      <c r="P420" s="451"/>
      <c r="Q420" s="451"/>
      <c r="R420" s="451"/>
      <c r="S420" s="451"/>
      <c r="T420" s="451"/>
      <c r="U420" s="451"/>
      <c r="V420" s="451"/>
      <c r="W420" s="451"/>
      <c r="X420" s="451"/>
      <c r="Y420" s="451"/>
      <c r="Z420" s="451"/>
      <c r="AA420" s="451"/>
      <c r="AB420" s="451"/>
      <c r="AC420" s="451"/>
      <c r="AD420" s="451"/>
    </row>
    <row r="421">
      <c r="A421" s="501" t="s">
        <v>5046</v>
      </c>
      <c r="B421" s="518" t="str">
        <f>HYPERLINK("https://www.cnnindonesia.com/nasional/20190513141926-32-394407/bawaslu-2548-panwaslu-alami-kekerasan-sakit-hingga-tewas","CNN")</f>
        <v>CNN</v>
      </c>
      <c r="C421" s="467" t="s">
        <v>5682</v>
      </c>
      <c r="D421" s="467" t="s">
        <v>5692</v>
      </c>
      <c r="E421" s="467" t="s">
        <v>5727</v>
      </c>
      <c r="F421" s="271" t="s">
        <v>6145</v>
      </c>
      <c r="G421" s="451"/>
      <c r="H421" s="451"/>
      <c r="I421" s="451"/>
      <c r="J421" s="451"/>
      <c r="K421" s="451"/>
      <c r="L421" s="451"/>
      <c r="M421" s="451"/>
      <c r="N421" s="451"/>
      <c r="O421" s="451"/>
      <c r="P421" s="451"/>
      <c r="Q421" s="451"/>
      <c r="R421" s="451"/>
      <c r="S421" s="451"/>
      <c r="T421" s="451"/>
      <c r="U421" s="451"/>
      <c r="V421" s="451"/>
      <c r="W421" s="451"/>
      <c r="X421" s="451"/>
      <c r="Y421" s="451"/>
      <c r="Z421" s="451"/>
      <c r="AA421" s="451"/>
      <c r="AB421" s="451"/>
      <c r="AC421" s="451"/>
      <c r="AD421" s="451"/>
    </row>
    <row r="422">
      <c r="A422" s="501" t="s">
        <v>5047</v>
      </c>
      <c r="B422" s="518" t="str">
        <f>HYPERLINK("https://edukasi.kompas.com/read/2019/05/19/10431231/anak-penjual-sate-padang-itu-kini-berkuliah-di-ugm","Kompas")</f>
        <v>Kompas</v>
      </c>
      <c r="C422" s="467" t="s">
        <v>5671</v>
      </c>
      <c r="D422" s="467" t="s">
        <v>5692</v>
      </c>
      <c r="E422" s="467" t="s">
        <v>5727</v>
      </c>
      <c r="F422" s="271" t="s">
        <v>6145</v>
      </c>
      <c r="G422" s="451"/>
      <c r="H422" s="451"/>
      <c r="I422" s="451"/>
      <c r="J422" s="451"/>
      <c r="K422" s="451"/>
      <c r="L422" s="451"/>
      <c r="M422" s="451"/>
      <c r="N422" s="451"/>
      <c r="O422" s="451"/>
      <c r="P422" s="451"/>
      <c r="Q422" s="451"/>
      <c r="R422" s="451"/>
      <c r="S422" s="451"/>
      <c r="T422" s="451"/>
      <c r="U422" s="451"/>
      <c r="V422" s="451"/>
      <c r="W422" s="451"/>
      <c r="X422" s="451"/>
      <c r="Y422" s="451"/>
      <c r="Z422" s="451"/>
      <c r="AA422" s="451"/>
      <c r="AB422" s="451"/>
      <c r="AC422" s="451"/>
      <c r="AD422" s="451"/>
    </row>
    <row r="423">
      <c r="A423" s="501" t="s">
        <v>5048</v>
      </c>
      <c r="B423" s="518" t="str">
        <f>HYPERLINK("https://news.detik.com/berita/d-4559168/soal-makar-titiek-zaman-pak-harto-nggak-gini-sekarang-lebih-gila","detik")</f>
        <v>detik</v>
      </c>
      <c r="C423" s="467" t="s">
        <v>5681</v>
      </c>
      <c r="D423" s="467" t="s">
        <v>5692</v>
      </c>
      <c r="E423" s="467" t="s">
        <v>5727</v>
      </c>
      <c r="F423" s="271" t="s">
        <v>6145</v>
      </c>
      <c r="G423" s="451"/>
      <c r="H423" s="451"/>
      <c r="I423" s="451"/>
      <c r="J423" s="451"/>
      <c r="K423" s="451"/>
      <c r="L423" s="451"/>
      <c r="M423" s="451"/>
      <c r="N423" s="451"/>
      <c r="O423" s="451"/>
      <c r="P423" s="451"/>
      <c r="Q423" s="451"/>
      <c r="R423" s="451"/>
      <c r="S423" s="451"/>
      <c r="T423" s="451"/>
      <c r="U423" s="451"/>
      <c r="V423" s="451"/>
      <c r="W423" s="451"/>
      <c r="X423" s="451"/>
      <c r="Y423" s="451"/>
      <c r="Z423" s="451"/>
      <c r="AA423" s="451"/>
      <c r="AB423" s="451"/>
      <c r="AC423" s="451"/>
      <c r="AD423" s="451"/>
    </row>
    <row r="424">
      <c r="A424" s="501" t="s">
        <v>5049</v>
      </c>
      <c r="B424" s="518" t="str">
        <f>HYPERLINK("https://sains.kompas.com/read/2019/05/21/200500723/punya-jam-biologis-reproduksi-ini-waktu-terbaik-pria-untuk-punya-anakhttps://sains.kompas.com/read/2019/05/21/200500723/punya-jam-biologis-reproduksi-ini-waktu-terbaik-pria-untuk-punya-anak","Kompas")</f>
        <v>Kompas</v>
      </c>
      <c r="C424" s="467" t="s">
        <v>5681</v>
      </c>
      <c r="D424" s="467" t="s">
        <v>5692</v>
      </c>
      <c r="E424" s="467" t="s">
        <v>5727</v>
      </c>
      <c r="F424" s="497" t="s">
        <v>6178</v>
      </c>
      <c r="G424" s="498">
        <v>2.0</v>
      </c>
      <c r="H424" s="497" t="s">
        <v>5728</v>
      </c>
      <c r="I424" s="497" t="s">
        <v>2724</v>
      </c>
      <c r="J424" s="497" t="s">
        <v>6179</v>
      </c>
      <c r="K424" s="497" t="s">
        <v>5750</v>
      </c>
      <c r="L424" s="498">
        <v>5.0</v>
      </c>
      <c r="M424" s="497" t="s">
        <v>5828</v>
      </c>
      <c r="N424" s="497" t="s">
        <v>6180</v>
      </c>
      <c r="O424" s="498">
        <v>338.0</v>
      </c>
      <c r="P424" s="497" t="s">
        <v>6181</v>
      </c>
      <c r="Q424" s="500"/>
      <c r="R424" s="500"/>
      <c r="S424" s="500"/>
      <c r="T424" s="500"/>
      <c r="U424" s="500"/>
      <c r="V424" s="500"/>
      <c r="W424" s="500"/>
      <c r="X424" s="500"/>
      <c r="Y424" s="500"/>
      <c r="Z424" s="500"/>
      <c r="AA424" s="500"/>
      <c r="AB424" s="500"/>
      <c r="AC424" s="500"/>
      <c r="AD424" s="500"/>
      <c r="AE424" s="497"/>
    </row>
    <row r="425">
      <c r="A425" s="511" t="s">
        <v>5051</v>
      </c>
      <c r="B425" s="518" t="str">
        <f>HYPERLINK("https://tirto.id/titiek-soeharto-mengapa-kpu-umumkan-hasil-pilpres-pas-orang-tidur-dUZc","Tirto")</f>
        <v>Tirto</v>
      </c>
      <c r="C425" s="467" t="s">
        <v>5681</v>
      </c>
      <c r="D425" s="467" t="s">
        <v>5692</v>
      </c>
      <c r="E425" s="467" t="s">
        <v>5727</v>
      </c>
      <c r="F425" s="271" t="s">
        <v>6145</v>
      </c>
      <c r="G425" s="451"/>
      <c r="H425" s="451"/>
      <c r="I425" s="451"/>
      <c r="J425" s="451"/>
      <c r="K425" s="451"/>
      <c r="L425" s="451"/>
      <c r="M425" s="451"/>
      <c r="N425" s="451"/>
      <c r="O425" s="451"/>
      <c r="P425" s="451"/>
      <c r="Q425" s="451"/>
      <c r="R425" s="451"/>
      <c r="S425" s="451"/>
      <c r="T425" s="451"/>
      <c r="U425" s="451"/>
      <c r="V425" s="451"/>
      <c r="W425" s="451"/>
      <c r="X425" s="451"/>
      <c r="Y425" s="451"/>
      <c r="Z425" s="451"/>
      <c r="AA425" s="451"/>
      <c r="AB425" s="451"/>
      <c r="AC425" s="451"/>
      <c r="AD425" s="451"/>
    </row>
    <row r="426">
      <c r="A426" s="511" t="s">
        <v>5052</v>
      </c>
      <c r="B426" s="518" t="str">
        <f>HYPERLINK("https://entertainment.kompas.com/read/2019/05/25/201346710/awalnya-tak-suka-ashanty-kini-ketagihan-geluti-dunia-bisnis","Kompas")</f>
        <v>Kompas</v>
      </c>
      <c r="C426" s="467" t="s">
        <v>5671</v>
      </c>
      <c r="D426" s="467" t="s">
        <v>5692</v>
      </c>
      <c r="E426" s="467" t="s">
        <v>5727</v>
      </c>
      <c r="F426" s="271" t="s">
        <v>6145</v>
      </c>
      <c r="G426" s="451"/>
      <c r="H426" s="451"/>
      <c r="I426" s="451"/>
      <c r="J426" s="451"/>
      <c r="K426" s="451"/>
      <c r="L426" s="451"/>
      <c r="M426" s="451"/>
      <c r="N426" s="451"/>
      <c r="O426" s="451"/>
      <c r="P426" s="451"/>
      <c r="Q426" s="451"/>
      <c r="R426" s="451"/>
      <c r="S426" s="451"/>
      <c r="T426" s="451"/>
      <c r="U426" s="451"/>
      <c r="V426" s="451"/>
      <c r="W426" s="451"/>
      <c r="X426" s="451"/>
      <c r="Y426" s="451"/>
      <c r="Z426" s="451"/>
      <c r="AA426" s="451"/>
      <c r="AB426" s="451"/>
      <c r="AC426" s="451"/>
      <c r="AD426" s="451"/>
    </row>
    <row r="427">
      <c r="A427" s="501" t="s">
        <v>5053</v>
      </c>
      <c r="B427" s="518" t="str">
        <f>HYPERLINK("https://www.liputan6.com/global/read/3982539/faa-boeing-737-max-mungkin-memiliki-komponen-cacat","Liputan6")</f>
        <v>Liputan6</v>
      </c>
      <c r="C427" s="467" t="s">
        <v>5682</v>
      </c>
      <c r="D427" s="467" t="s">
        <v>5705</v>
      </c>
      <c r="E427" s="467" t="s">
        <v>5727</v>
      </c>
      <c r="F427" s="271" t="s">
        <v>6145</v>
      </c>
      <c r="G427" s="451"/>
      <c r="H427" s="451"/>
      <c r="I427" s="451"/>
      <c r="J427" s="451"/>
      <c r="K427" s="451"/>
      <c r="L427" s="451"/>
      <c r="M427" s="451"/>
      <c r="N427" s="451"/>
      <c r="O427" s="451"/>
      <c r="P427" s="451"/>
      <c r="Q427" s="451"/>
      <c r="R427" s="451"/>
      <c r="S427" s="451"/>
      <c r="T427" s="451"/>
      <c r="U427" s="451"/>
      <c r="V427" s="451"/>
      <c r="W427" s="451"/>
      <c r="X427" s="451"/>
      <c r="Y427" s="451"/>
      <c r="Z427" s="451"/>
      <c r="AA427" s="451"/>
      <c r="AB427" s="451"/>
      <c r="AC427" s="451"/>
      <c r="AD427" s="451"/>
    </row>
    <row r="428">
      <c r="A428" s="511" t="s">
        <v>600</v>
      </c>
      <c r="B428" s="518" t="str">
        <f>HYPERLINK("https://nasional.republika.co.id/berita/nasional/hukum/pt8rro384/yasonna-akui-petugas-lalai-dikelabui-setnov","Republika")</f>
        <v>Republika</v>
      </c>
      <c r="C428" s="467" t="s">
        <v>5682</v>
      </c>
      <c r="D428" s="467" t="s">
        <v>5705</v>
      </c>
      <c r="E428" s="467" t="s">
        <v>5727</v>
      </c>
      <c r="F428" s="271" t="s">
        <v>6145</v>
      </c>
      <c r="G428" s="506"/>
      <c r="H428" s="507"/>
      <c r="I428" s="507"/>
      <c r="J428" s="507"/>
      <c r="K428" s="507"/>
      <c r="L428" s="506"/>
      <c r="M428" s="507"/>
      <c r="N428" s="507"/>
      <c r="O428" s="506"/>
      <c r="P428" s="507"/>
      <c r="Q428" s="508"/>
      <c r="R428" s="509"/>
      <c r="S428" s="509"/>
      <c r="T428" s="509"/>
      <c r="U428" s="509"/>
      <c r="V428" s="509"/>
      <c r="W428" s="509"/>
      <c r="X428" s="509"/>
      <c r="Y428" s="509"/>
      <c r="Z428" s="509"/>
      <c r="AA428" s="509"/>
      <c r="AB428" s="509"/>
      <c r="AC428" s="509"/>
      <c r="AD428" s="509"/>
      <c r="AE428" s="507"/>
    </row>
    <row r="429">
      <c r="A429" s="501" t="s">
        <v>5058</v>
      </c>
      <c r="B429" s="518" t="str">
        <f>HYPERLINK("https://www.cnnindonesia.com/hiburan/20190622065438-227-405476/instrumen-usang-kunci-kemerduan-orkes-tanjidor-betawi","Republika")</f>
        <v>Republika</v>
      </c>
      <c r="C429" s="467" t="s">
        <v>5670</v>
      </c>
      <c r="D429" s="467" t="s">
        <v>5705</v>
      </c>
      <c r="E429" s="467" t="s">
        <v>5727</v>
      </c>
      <c r="F429" s="497" t="s">
        <v>611</v>
      </c>
      <c r="G429" s="498">
        <v>2.0</v>
      </c>
      <c r="H429" s="497" t="s">
        <v>5728</v>
      </c>
      <c r="I429" s="497" t="s">
        <v>2707</v>
      </c>
      <c r="J429" s="497" t="s">
        <v>6182</v>
      </c>
      <c r="K429" s="497" t="s">
        <v>5786</v>
      </c>
      <c r="L429" s="498">
        <v>6.0</v>
      </c>
      <c r="M429" s="497" t="s">
        <v>6113</v>
      </c>
      <c r="N429" s="497" t="s">
        <v>6183</v>
      </c>
      <c r="O429" s="498">
        <v>293.0</v>
      </c>
      <c r="P429" s="497" t="s">
        <v>6184</v>
      </c>
      <c r="Q429" s="499"/>
      <c r="R429" s="500"/>
      <c r="S429" s="500"/>
      <c r="T429" s="500"/>
      <c r="U429" s="500"/>
      <c r="V429" s="500"/>
      <c r="W429" s="500"/>
      <c r="X429" s="500"/>
      <c r="Y429" s="500"/>
      <c r="Z429" s="500"/>
      <c r="AA429" s="500"/>
      <c r="AB429" s="500"/>
      <c r="AC429" s="500"/>
      <c r="AD429" s="500"/>
      <c r="AE429" s="497"/>
    </row>
    <row r="430">
      <c r="A430" s="501" t="s">
        <v>5061</v>
      </c>
      <c r="B430" s="518" t="str">
        <f>HYPERLINK("https://www.cnnindonesia.com/nasional/20190624102244-20-405801/antrean-ppdb-zonasi-sma-39-jakarta-mengular-dari-pagi-buta","CNN")</f>
        <v>CNN</v>
      </c>
      <c r="C430" s="467" t="s">
        <v>5682</v>
      </c>
      <c r="D430" s="467" t="s">
        <v>5705</v>
      </c>
      <c r="E430" s="467" t="s">
        <v>5727</v>
      </c>
      <c r="F430" s="497" t="s">
        <v>6185</v>
      </c>
      <c r="G430" s="498">
        <v>2.0</v>
      </c>
      <c r="H430" s="497" t="s">
        <v>5728</v>
      </c>
      <c r="I430" s="497" t="s">
        <v>2695</v>
      </c>
      <c r="J430" s="497" t="s">
        <v>1348</v>
      </c>
      <c r="K430" s="497" t="s">
        <v>5721</v>
      </c>
      <c r="L430" s="498">
        <v>6.0</v>
      </c>
      <c r="M430" s="497" t="s">
        <v>5777</v>
      </c>
      <c r="N430" s="497" t="s">
        <v>6186</v>
      </c>
      <c r="O430" s="498">
        <v>446.0</v>
      </c>
      <c r="P430" s="497" t="s">
        <v>6187</v>
      </c>
      <c r="Q430" s="500"/>
      <c r="R430" s="500"/>
      <c r="S430" s="500"/>
      <c r="T430" s="500"/>
      <c r="U430" s="500"/>
      <c r="V430" s="500"/>
      <c r="W430" s="500"/>
      <c r="X430" s="500"/>
      <c r="Y430" s="500"/>
      <c r="Z430" s="500"/>
      <c r="AA430" s="500"/>
      <c r="AB430" s="500"/>
      <c r="AC430" s="500"/>
      <c r="AD430" s="500"/>
      <c r="AE430" s="497"/>
    </row>
    <row r="431">
      <c r="A431" s="501" t="s">
        <v>5065</v>
      </c>
      <c r="B431" s="518" t="str">
        <f>HYPERLINK("https://tirto.id/hasil-sidang-mk-dibacakan-siang-ini-mk-jelaskan-3-pilihan-putusan-eday","CNN")</f>
        <v>CNN</v>
      </c>
      <c r="C431" s="467" t="s">
        <v>5664</v>
      </c>
      <c r="D431" s="467" t="s">
        <v>5705</v>
      </c>
      <c r="E431" s="467" t="s">
        <v>5727</v>
      </c>
      <c r="F431" s="271" t="s">
        <v>6145</v>
      </c>
      <c r="G431" s="451"/>
      <c r="H431" s="451"/>
      <c r="I431" s="451"/>
      <c r="J431" s="451"/>
      <c r="K431" s="451"/>
      <c r="L431" s="451"/>
      <c r="M431" s="451"/>
      <c r="N431" s="451"/>
      <c r="O431" s="451"/>
      <c r="P431" s="451"/>
      <c r="Q431" s="451"/>
      <c r="R431" s="451"/>
      <c r="S431" s="451"/>
      <c r="T431" s="451"/>
      <c r="U431" s="451"/>
      <c r="V431" s="451"/>
      <c r="W431" s="451"/>
      <c r="X431" s="451"/>
      <c r="Y431" s="451"/>
      <c r="Z431" s="451"/>
      <c r="AA431" s="451"/>
      <c r="AB431" s="451"/>
      <c r="AC431" s="451"/>
      <c r="AD431" s="451"/>
    </row>
    <row r="432">
      <c r="A432" s="501" t="s">
        <v>5066</v>
      </c>
      <c r="B432" s="518" t="str">
        <f>HYPERLINK("https://metro.tempo.co/read/1219334/begini-maruf-amin-di-mata-tetangga-yang-senang-sekaligus-sedih/full&amp;view=ok","Tempo.co")</f>
        <v>Tempo.co</v>
      </c>
      <c r="C432" s="467" t="s">
        <v>5667</v>
      </c>
      <c r="D432" s="467" t="s">
        <v>5705</v>
      </c>
      <c r="E432" s="467" t="s">
        <v>5727</v>
      </c>
      <c r="F432" s="271" t="s">
        <v>6145</v>
      </c>
      <c r="G432" s="451"/>
      <c r="H432" s="451"/>
      <c r="I432" s="451"/>
      <c r="J432" s="451"/>
      <c r="K432" s="451"/>
      <c r="L432" s="451"/>
      <c r="M432" s="451"/>
      <c r="N432" s="451"/>
      <c r="O432" s="451"/>
      <c r="P432" s="451"/>
      <c r="Q432" s="451"/>
      <c r="R432" s="451"/>
      <c r="S432" s="451"/>
      <c r="T432" s="451"/>
      <c r="U432" s="451"/>
      <c r="V432" s="451"/>
      <c r="W432" s="451"/>
      <c r="X432" s="451"/>
      <c r="Y432" s="451"/>
      <c r="Z432" s="451"/>
      <c r="AA432" s="451"/>
      <c r="AB432" s="451"/>
      <c r="AC432" s="451"/>
      <c r="AD432" s="451"/>
    </row>
    <row r="433">
      <c r="A433" s="511" t="s">
        <v>5067</v>
      </c>
      <c r="B433" s="518" t="str">
        <f>HYPERLINK("https://lifestyle.okezone.com/read/2019/06/28/196/2072319/kurayakan-ulang-tahunmu-dengan-akad","Okezone")</f>
        <v>Okezone</v>
      </c>
      <c r="C433" s="467" t="s">
        <v>5670</v>
      </c>
      <c r="D433" s="467" t="s">
        <v>5705</v>
      </c>
      <c r="E433" s="467" t="s">
        <v>5727</v>
      </c>
      <c r="F433" s="271" t="s">
        <v>6145</v>
      </c>
      <c r="G433" s="451"/>
      <c r="H433" s="451"/>
      <c r="I433" s="451"/>
      <c r="J433" s="451"/>
      <c r="K433" s="451"/>
      <c r="L433" s="451"/>
      <c r="M433" s="451"/>
      <c r="N433" s="451"/>
      <c r="O433" s="451"/>
      <c r="P433" s="451"/>
      <c r="Q433" s="451"/>
      <c r="R433" s="451"/>
      <c r="S433" s="451"/>
      <c r="T433" s="451"/>
      <c r="U433" s="451"/>
      <c r="V433" s="451"/>
      <c r="W433" s="451"/>
      <c r="X433" s="451"/>
      <c r="Y433" s="451"/>
      <c r="Z433" s="451"/>
      <c r="AA433" s="451"/>
      <c r="AB433" s="451"/>
      <c r="AC433" s="451"/>
      <c r="AD433" s="451"/>
    </row>
    <row r="434">
      <c r="A434" s="501" t="s">
        <v>5070</v>
      </c>
      <c r="B434" s="518" t="str">
        <f>HYPERLINK("https://www.tribunnews.com/nasional/2019/07/06/batam-kini-punya-penerbangan-haji-berangkatkan-450-calon-jamaah-haji","Tribun")</f>
        <v>Tribun</v>
      </c>
      <c r="C434" s="467" t="s">
        <v>5670</v>
      </c>
      <c r="D434" s="467" t="s">
        <v>5716</v>
      </c>
      <c r="E434" s="467" t="s">
        <v>5727</v>
      </c>
      <c r="F434" s="497" t="s">
        <v>6188</v>
      </c>
      <c r="G434" s="498">
        <v>2.0</v>
      </c>
      <c r="H434" s="497" t="s">
        <v>5728</v>
      </c>
      <c r="I434" s="497" t="s">
        <v>2715</v>
      </c>
      <c r="J434" s="497" t="s">
        <v>6189</v>
      </c>
      <c r="K434" s="497" t="s">
        <v>5786</v>
      </c>
      <c r="L434" s="498">
        <v>7.0</v>
      </c>
      <c r="M434" s="497" t="s">
        <v>5794</v>
      </c>
      <c r="N434" s="497" t="s">
        <v>6190</v>
      </c>
      <c r="O434" s="498">
        <v>258.0</v>
      </c>
      <c r="P434" s="497" t="s">
        <v>6191</v>
      </c>
      <c r="Q434" s="499"/>
      <c r="R434" s="500"/>
      <c r="S434" s="500"/>
      <c r="T434" s="500"/>
      <c r="U434" s="500"/>
      <c r="V434" s="500"/>
      <c r="W434" s="500"/>
      <c r="X434" s="500"/>
      <c r="Y434" s="500"/>
      <c r="Z434" s="500"/>
      <c r="AA434" s="500"/>
      <c r="AB434" s="500"/>
      <c r="AC434" s="500"/>
      <c r="AD434" s="500"/>
      <c r="AE434" s="497"/>
    </row>
    <row r="435">
      <c r="A435" s="501" t="s">
        <v>5072</v>
      </c>
      <c r="B435" s="518" t="str">
        <f>HYPERLINK("https://news.detik.com/berita/d-4614323/ini-syarat-poligami-yang-diatur-dalam-rancangan-qanun-aceh","detik")</f>
        <v>detik</v>
      </c>
      <c r="C435" s="467" t="s">
        <v>5671</v>
      </c>
      <c r="D435" s="467" t="s">
        <v>5716</v>
      </c>
      <c r="E435" s="467" t="s">
        <v>5727</v>
      </c>
      <c r="F435" s="497" t="s">
        <v>6192</v>
      </c>
      <c r="G435" s="498">
        <v>2.0</v>
      </c>
      <c r="H435" s="497" t="s">
        <v>5728</v>
      </c>
      <c r="I435" s="497" t="s">
        <v>2740</v>
      </c>
      <c r="J435" s="497" t="s">
        <v>6193</v>
      </c>
      <c r="K435" s="497" t="s">
        <v>5729</v>
      </c>
      <c r="L435" s="498">
        <v>7.0</v>
      </c>
      <c r="M435" s="497" t="s">
        <v>6106</v>
      </c>
      <c r="N435" s="497" t="s">
        <v>6194</v>
      </c>
      <c r="O435" s="498">
        <v>182.0</v>
      </c>
      <c r="P435" s="497" t="s">
        <v>6195</v>
      </c>
      <c r="Q435" s="500"/>
      <c r="R435" s="500"/>
      <c r="S435" s="500"/>
      <c r="T435" s="500"/>
      <c r="U435" s="500"/>
      <c r="V435" s="500"/>
      <c r="W435" s="500"/>
      <c r="X435" s="500"/>
      <c r="Y435" s="500"/>
      <c r="Z435" s="500"/>
      <c r="AA435" s="500"/>
      <c r="AB435" s="500"/>
      <c r="AC435" s="500"/>
      <c r="AD435" s="500"/>
      <c r="AE435" s="497"/>
    </row>
    <row r="436">
      <c r="A436" s="511" t="s">
        <v>5075</v>
      </c>
      <c r="B436" s="518" t="str">
        <f>HYPERLINK("https://pilpres.tempo.co/read/1223476/kuasa-hukum-bantah-kabar-permohonan-ke-ma-tanpa-diketahui-prabowo/full&amp;view=ok","Tempo.co")</f>
        <v>Tempo.co</v>
      </c>
      <c r="C436" s="467" t="s">
        <v>5664</v>
      </c>
      <c r="D436" s="467" t="s">
        <v>5716</v>
      </c>
      <c r="E436" s="467" t="s">
        <v>5727</v>
      </c>
      <c r="F436" s="271" t="s">
        <v>6145</v>
      </c>
      <c r="G436" s="451"/>
      <c r="H436" s="451"/>
      <c r="I436" s="451"/>
      <c r="J436" s="451"/>
      <c r="K436" s="451"/>
      <c r="L436" s="451"/>
      <c r="M436" s="451"/>
      <c r="N436" s="451"/>
      <c r="O436" s="451"/>
      <c r="P436" s="451"/>
      <c r="Q436" s="451"/>
      <c r="R436" s="451"/>
      <c r="S436" s="451"/>
      <c r="T436" s="451"/>
      <c r="U436" s="451"/>
      <c r="V436" s="451"/>
      <c r="W436" s="451"/>
      <c r="X436" s="451"/>
      <c r="Y436" s="451"/>
      <c r="Z436" s="451"/>
      <c r="AA436" s="451"/>
      <c r="AB436" s="451"/>
      <c r="AC436" s="451"/>
      <c r="AD436" s="451"/>
    </row>
    <row r="437">
      <c r="A437" s="501" t="s">
        <v>4100</v>
      </c>
      <c r="B437" s="466" t="s">
        <v>5663</v>
      </c>
      <c r="C437" s="467" t="s">
        <v>5681</v>
      </c>
      <c r="D437" s="467" t="s">
        <v>5683</v>
      </c>
      <c r="E437" s="467" t="s">
        <v>5659</v>
      </c>
      <c r="F437" s="271" t="s">
        <v>6145</v>
      </c>
      <c r="G437" s="451"/>
      <c r="H437" s="451"/>
      <c r="I437" s="451"/>
      <c r="J437" s="451"/>
      <c r="K437" s="451"/>
      <c r="L437" s="451"/>
      <c r="M437" s="451"/>
      <c r="N437" s="451"/>
      <c r="O437" s="451"/>
      <c r="P437" s="451"/>
      <c r="Q437" s="451"/>
      <c r="R437" s="451"/>
      <c r="S437" s="451"/>
      <c r="T437" s="451"/>
      <c r="U437" s="451"/>
      <c r="V437" s="451"/>
      <c r="W437" s="451"/>
      <c r="X437" s="451"/>
      <c r="Y437" s="451"/>
      <c r="Z437" s="451"/>
      <c r="AA437" s="451"/>
      <c r="AB437" s="451"/>
      <c r="AC437" s="451"/>
      <c r="AD437" s="451"/>
    </row>
    <row r="438">
      <c r="A438" s="501" t="s">
        <v>4101</v>
      </c>
      <c r="B438" s="466" t="s">
        <v>6039</v>
      </c>
      <c r="C438" s="467" t="s">
        <v>5657</v>
      </c>
      <c r="D438" s="467" t="s">
        <v>5683</v>
      </c>
      <c r="E438" s="467" t="s">
        <v>5659</v>
      </c>
      <c r="F438" s="271" t="s">
        <v>6145</v>
      </c>
      <c r="G438" s="451"/>
      <c r="H438" s="451"/>
      <c r="I438" s="451"/>
      <c r="J438" s="451"/>
      <c r="K438" s="451"/>
      <c r="L438" s="451"/>
      <c r="M438" s="451"/>
      <c r="N438" s="451"/>
      <c r="O438" s="451"/>
      <c r="P438" s="451"/>
      <c r="Q438" s="451"/>
      <c r="R438" s="451"/>
      <c r="S438" s="451"/>
      <c r="T438" s="451"/>
      <c r="U438" s="451"/>
      <c r="V438" s="451"/>
      <c r="W438" s="451"/>
      <c r="X438" s="451"/>
      <c r="Y438" s="451"/>
      <c r="Z438" s="451"/>
      <c r="AA438" s="451"/>
      <c r="AB438" s="451"/>
      <c r="AC438" s="451"/>
      <c r="AD438" s="451"/>
    </row>
    <row r="439">
      <c r="A439" s="511" t="s">
        <v>5076</v>
      </c>
      <c r="B439" s="518" t="str">
        <f>HYPERLINK("https://hot.liputan6.com/read/4012575/terlalu-lama-bermain-game-online-pemuda-22-tahun-ini-alami-stroke","Liputan6")</f>
        <v>Liputan6</v>
      </c>
      <c r="C439" s="467" t="s">
        <v>5682</v>
      </c>
      <c r="D439" s="467" t="s">
        <v>5716</v>
      </c>
      <c r="E439" s="467" t="s">
        <v>5727</v>
      </c>
      <c r="F439" s="497" t="s">
        <v>4254</v>
      </c>
      <c r="G439" s="498">
        <v>2.0</v>
      </c>
      <c r="H439" s="497" t="s">
        <v>5728</v>
      </c>
      <c r="I439" s="497" t="s">
        <v>2692</v>
      </c>
      <c r="J439" s="497" t="s">
        <v>1352</v>
      </c>
      <c r="K439" s="497" t="s">
        <v>5721</v>
      </c>
      <c r="L439" s="498">
        <v>7.0</v>
      </c>
      <c r="M439" s="497" t="s">
        <v>5763</v>
      </c>
      <c r="N439" s="497" t="s">
        <v>6196</v>
      </c>
      <c r="O439" s="498">
        <v>728.0</v>
      </c>
      <c r="P439" s="497" t="s">
        <v>6197</v>
      </c>
      <c r="Q439" s="499"/>
      <c r="R439" s="500"/>
      <c r="S439" s="500"/>
      <c r="T439" s="500"/>
      <c r="U439" s="500"/>
      <c r="V439" s="500"/>
      <c r="W439" s="500"/>
      <c r="X439" s="500"/>
      <c r="Y439" s="500"/>
      <c r="Z439" s="500"/>
      <c r="AA439" s="500"/>
      <c r="AB439" s="500"/>
      <c r="AC439" s="500"/>
      <c r="AD439" s="500"/>
      <c r="AE439" s="497"/>
    </row>
    <row r="440">
      <c r="A440" s="501" t="s">
        <v>5078</v>
      </c>
      <c r="B440" s="518" t="str">
        <f>HYPERLINK("https://www.tribunnews.com/regional/2019/07/15/cemburu-pada-istri-pertama-seorang-istri-muda-di-bali-gagal-gantung-diri-karena-talinya-copot?page=4","Tribun")</f>
        <v>Tribun</v>
      </c>
      <c r="C440" s="467" t="s">
        <v>5682</v>
      </c>
      <c r="D440" s="467" t="s">
        <v>5716</v>
      </c>
      <c r="E440" s="467" t="s">
        <v>5727</v>
      </c>
      <c r="F440" s="497" t="s">
        <v>6198</v>
      </c>
      <c r="G440" s="498">
        <v>2.0</v>
      </c>
      <c r="H440" s="497" t="s">
        <v>5728</v>
      </c>
      <c r="I440" s="497" t="s">
        <v>2715</v>
      </c>
      <c r="J440" s="497" t="s">
        <v>6199</v>
      </c>
      <c r="K440" s="497" t="s">
        <v>5721</v>
      </c>
      <c r="L440" s="498">
        <v>7.0</v>
      </c>
      <c r="M440" s="497" t="s">
        <v>5794</v>
      </c>
      <c r="N440" s="497" t="s">
        <v>6200</v>
      </c>
      <c r="O440" s="498">
        <v>131.0</v>
      </c>
      <c r="P440" s="497" t="s">
        <v>6201</v>
      </c>
      <c r="Q440" s="499"/>
      <c r="R440" s="500"/>
      <c r="S440" s="500"/>
      <c r="T440" s="500"/>
      <c r="U440" s="500"/>
      <c r="V440" s="500"/>
      <c r="W440" s="500"/>
      <c r="X440" s="500"/>
      <c r="Y440" s="500"/>
      <c r="Z440" s="500"/>
      <c r="AA440" s="500"/>
      <c r="AB440" s="500"/>
      <c r="AC440" s="497"/>
      <c r="AD440" s="497"/>
      <c r="AE440" s="497"/>
    </row>
    <row r="441">
      <c r="A441" s="511" t="s">
        <v>5080</v>
      </c>
      <c r="B441" s="518" t="str">
        <f>HYPERLINK("https://www.cnnindonesia.com/nasional/20190722171444-20-414448/data-penduduk-untuk-swasta-antara-privasi-dan-modernisasi","CNN")</f>
        <v>CNN</v>
      </c>
      <c r="C441" s="467" t="s">
        <v>5681</v>
      </c>
      <c r="D441" s="467" t="s">
        <v>5716</v>
      </c>
      <c r="E441" s="467" t="s">
        <v>5727</v>
      </c>
      <c r="F441" s="497" t="s">
        <v>6202</v>
      </c>
      <c r="G441" s="498">
        <v>2.0</v>
      </c>
      <c r="H441" s="497" t="s">
        <v>5728</v>
      </c>
      <c r="I441" s="497" t="s">
        <v>2695</v>
      </c>
      <c r="J441" s="497" t="s">
        <v>6203</v>
      </c>
      <c r="K441" s="497" t="s">
        <v>5750</v>
      </c>
      <c r="L441" s="498">
        <v>7.0</v>
      </c>
      <c r="M441" s="497" t="s">
        <v>5722</v>
      </c>
      <c r="N441" s="497" t="s">
        <v>6204</v>
      </c>
      <c r="O441" s="498">
        <v>330.0</v>
      </c>
      <c r="P441" s="497" t="s">
        <v>6205</v>
      </c>
      <c r="Q441" s="500"/>
      <c r="R441" s="500"/>
      <c r="S441" s="500"/>
      <c r="T441" s="500"/>
      <c r="U441" s="500"/>
      <c r="V441" s="500"/>
      <c r="W441" s="500"/>
      <c r="X441" s="500"/>
      <c r="Y441" s="500"/>
      <c r="Z441" s="500"/>
      <c r="AA441" s="500"/>
      <c r="AB441" s="500"/>
      <c r="AC441" s="500"/>
      <c r="AD441" s="500"/>
      <c r="AE441" s="497"/>
    </row>
    <row r="442">
      <c r="A442" s="511" t="s">
        <v>5082</v>
      </c>
      <c r="B442" s="518" t="str">
        <f>HYPERLINK("https://sport.detik.com/sepakbola/liga-inggris/d-4636746/guardiola-jadwal-sibuk-sepakbola-membunuh-pemain-man-city","Detik")</f>
        <v>Detik</v>
      </c>
      <c r="C442" s="467" t="s">
        <v>5657</v>
      </c>
      <c r="D442" s="467" t="s">
        <v>5716</v>
      </c>
      <c r="E442" s="467" t="s">
        <v>5727</v>
      </c>
      <c r="F442" s="271" t="s">
        <v>5951</v>
      </c>
      <c r="G442" s="451"/>
      <c r="H442" s="451"/>
      <c r="I442" s="451"/>
      <c r="J442" s="451"/>
      <c r="K442" s="451"/>
      <c r="L442" s="451"/>
      <c r="M442" s="451"/>
      <c r="N442" s="451"/>
      <c r="O442" s="451"/>
      <c r="P442" s="451"/>
      <c r="Q442" s="451"/>
      <c r="R442" s="451"/>
      <c r="S442" s="451"/>
      <c r="T442" s="451"/>
      <c r="U442" s="451"/>
      <c r="V442" s="451"/>
      <c r="W442" s="451"/>
      <c r="X442" s="451"/>
      <c r="Y442" s="451"/>
      <c r="Z442" s="451"/>
      <c r="AA442" s="451"/>
      <c r="AB442" s="451"/>
      <c r="AC442" s="451"/>
      <c r="AD442" s="451"/>
    </row>
    <row r="443">
      <c r="A443" s="511" t="s">
        <v>5086</v>
      </c>
      <c r="B443" s="518" t="str">
        <f>HYPERLINK("https://bola.kompas.com/read/2019/08/01/17200028/keluar-dari-rumah-sakit-begini-kondisi-asep-berlian","Kompas")</f>
        <v>Kompas</v>
      </c>
      <c r="C443" s="467" t="s">
        <v>5664</v>
      </c>
      <c r="D443" s="467" t="s">
        <v>5719</v>
      </c>
      <c r="E443" s="467" t="s">
        <v>5727</v>
      </c>
      <c r="F443" s="271" t="s">
        <v>5951</v>
      </c>
      <c r="G443" s="451"/>
      <c r="H443" s="451"/>
      <c r="I443" s="451"/>
      <c r="J443" s="451"/>
      <c r="K443" s="451"/>
      <c r="L443" s="451"/>
      <c r="M443" s="451"/>
      <c r="N443" s="451"/>
      <c r="O443" s="451"/>
      <c r="P443" s="451"/>
      <c r="Q443" s="451"/>
      <c r="R443" s="451"/>
      <c r="S443" s="451"/>
      <c r="T443" s="451"/>
      <c r="U443" s="451"/>
      <c r="V443" s="451"/>
      <c r="W443" s="451"/>
      <c r="X443" s="451"/>
      <c r="Y443" s="451"/>
      <c r="Z443" s="451"/>
      <c r="AA443" s="451"/>
      <c r="AB443" s="451"/>
      <c r="AC443" s="451"/>
      <c r="AD443" s="451"/>
    </row>
    <row r="444">
      <c r="A444" s="511" t="s">
        <v>5089</v>
      </c>
      <c r="B444" s="518" t="str">
        <f>HYPERLINK("https://republika.co.id/berita/pvubzq385/ada-apa-dengan-taliban-nusantara","Republik")</f>
        <v>Republik</v>
      </c>
      <c r="C444" s="467" t="s">
        <v>5657</v>
      </c>
      <c r="D444" s="467" t="s">
        <v>5719</v>
      </c>
      <c r="E444" s="467" t="s">
        <v>5727</v>
      </c>
      <c r="F444" s="271" t="s">
        <v>5951</v>
      </c>
      <c r="G444" s="451"/>
      <c r="H444" s="451"/>
      <c r="I444" s="451"/>
      <c r="J444" s="451"/>
      <c r="K444" s="451"/>
      <c r="L444" s="451"/>
      <c r="M444" s="451"/>
      <c r="N444" s="451"/>
      <c r="O444" s="451"/>
      <c r="P444" s="451"/>
      <c r="Q444" s="451"/>
      <c r="R444" s="451"/>
      <c r="S444" s="451"/>
      <c r="T444" s="451"/>
      <c r="U444" s="451"/>
      <c r="V444" s="451"/>
      <c r="W444" s="451"/>
      <c r="X444" s="451"/>
      <c r="Y444" s="451"/>
      <c r="Z444" s="451"/>
      <c r="AA444" s="451"/>
      <c r="AB444" s="451"/>
      <c r="AC444" s="451"/>
      <c r="AD444" s="451"/>
    </row>
    <row r="445">
      <c r="A445" s="511" t="s">
        <v>5090</v>
      </c>
      <c r="B445" s="518" t="str">
        <f>HYPERLINK("https://sport.tempo.co/read/1233329/viral-mata-petarung-mma-korsel-bengkak-hingga-nyaris-buta/full&amp;view=ok","Tempo.co")</f>
        <v>Tempo.co</v>
      </c>
      <c r="C445" s="467" t="s">
        <v>5657</v>
      </c>
      <c r="D445" s="467" t="s">
        <v>5719</v>
      </c>
      <c r="E445" s="467" t="s">
        <v>5727</v>
      </c>
      <c r="F445" s="497" t="s">
        <v>6206</v>
      </c>
      <c r="G445" s="498">
        <v>2.0</v>
      </c>
      <c r="H445" s="497" t="s">
        <v>5728</v>
      </c>
      <c r="I445" s="497" t="s">
        <v>2702</v>
      </c>
      <c r="J445" s="497" t="s">
        <v>6207</v>
      </c>
      <c r="K445" s="497" t="s">
        <v>5711</v>
      </c>
      <c r="L445" s="498">
        <v>8.0</v>
      </c>
      <c r="M445" s="497" t="s">
        <v>5730</v>
      </c>
      <c r="N445" s="497" t="s">
        <v>6208</v>
      </c>
      <c r="O445" s="498">
        <v>280.0</v>
      </c>
      <c r="P445" s="497" t="s">
        <v>6209</v>
      </c>
      <c r="Q445" s="499"/>
      <c r="R445" s="500"/>
      <c r="S445" s="500"/>
      <c r="T445" s="500"/>
      <c r="U445" s="500"/>
      <c r="V445" s="500"/>
      <c r="W445" s="500"/>
      <c r="X445" s="500"/>
      <c r="Y445" s="500"/>
      <c r="Z445" s="500"/>
      <c r="AA445" s="500"/>
      <c r="AB445" s="500"/>
      <c r="AC445" s="500"/>
      <c r="AD445" s="500"/>
      <c r="AE445" s="497"/>
    </row>
    <row r="446">
      <c r="A446" s="511" t="s">
        <v>5092</v>
      </c>
      <c r="B446" s="518" t="str">
        <f>HYPERLINK("https://metro.tempo.co/read/1234611/salat-idul-adha-dan-pemandangan-mrt-di-masjid-al-azhar/full&amp;view=ok","Tempo.co")</f>
        <v>Tempo.co</v>
      </c>
      <c r="C446" s="467" t="s">
        <v>5671</v>
      </c>
      <c r="D446" s="467" t="s">
        <v>5719</v>
      </c>
      <c r="E446" s="467" t="s">
        <v>5727</v>
      </c>
      <c r="F446" s="497" t="s">
        <v>6210</v>
      </c>
      <c r="G446" s="498">
        <v>2.0</v>
      </c>
      <c r="H446" s="497" t="s">
        <v>5728</v>
      </c>
      <c r="I446" s="497" t="s">
        <v>2702</v>
      </c>
      <c r="J446" s="497" t="s">
        <v>6211</v>
      </c>
      <c r="K446" s="497" t="s">
        <v>5729</v>
      </c>
      <c r="L446" s="498">
        <v>8.0</v>
      </c>
      <c r="M446" s="497" t="s">
        <v>6013</v>
      </c>
      <c r="N446" s="497" t="s">
        <v>6212</v>
      </c>
      <c r="O446" s="498">
        <v>344.0</v>
      </c>
      <c r="P446" s="497" t="s">
        <v>6213</v>
      </c>
      <c r="Q446" s="499"/>
      <c r="R446" s="500"/>
      <c r="S446" s="500"/>
      <c r="T446" s="500"/>
      <c r="U446" s="500"/>
      <c r="V446" s="500"/>
      <c r="W446" s="500"/>
      <c r="X446" s="500"/>
      <c r="Y446" s="500"/>
      <c r="Z446" s="500"/>
      <c r="AA446" s="500"/>
      <c r="AB446" s="500"/>
      <c r="AC446" s="500"/>
      <c r="AD446" s="500"/>
      <c r="AE446" s="497"/>
    </row>
    <row r="447">
      <c r="A447" s="511" t="s">
        <v>5096</v>
      </c>
      <c r="B447" s="466" t="s">
        <v>5699</v>
      </c>
      <c r="C447" s="467" t="s">
        <v>5681</v>
      </c>
      <c r="D447" s="467" t="s">
        <v>5719</v>
      </c>
      <c r="E447" s="467" t="s">
        <v>5727</v>
      </c>
      <c r="F447" s="497" t="s">
        <v>6214</v>
      </c>
      <c r="G447" s="498">
        <v>2.0</v>
      </c>
      <c r="H447" s="497" t="s">
        <v>5728</v>
      </c>
      <c r="I447" s="497" t="s">
        <v>2702</v>
      </c>
      <c r="J447" s="497" t="s">
        <v>6215</v>
      </c>
      <c r="K447" s="497" t="s">
        <v>5750</v>
      </c>
      <c r="L447" s="498">
        <v>8.0</v>
      </c>
      <c r="M447" s="497" t="s">
        <v>5831</v>
      </c>
      <c r="N447" s="497" t="s">
        <v>6216</v>
      </c>
      <c r="O447" s="498">
        <v>213.0</v>
      </c>
      <c r="P447" s="497" t="s">
        <v>6217</v>
      </c>
      <c r="Q447" s="499"/>
      <c r="R447" s="500"/>
      <c r="S447" s="500"/>
      <c r="T447" s="500"/>
      <c r="U447" s="500"/>
      <c r="V447" s="500"/>
      <c r="W447" s="500"/>
      <c r="X447" s="500"/>
      <c r="Y447" s="500"/>
      <c r="Z447" s="500"/>
      <c r="AA447" s="500"/>
      <c r="AB447" s="500"/>
      <c r="AC447" s="500"/>
      <c r="AD447" s="500"/>
      <c r="AE447" s="497"/>
    </row>
    <row r="448">
      <c r="A448" s="501" t="s">
        <v>5099</v>
      </c>
      <c r="B448" s="518" t="str">
        <f>HYPERLINK("https://www.cnnindonesia.com/olahraga/20190821214106-142-423578/respons-pssi-soal-protes-tiket-timnas-indonesia-vs-malaysia","CNN")</f>
        <v>CNN</v>
      </c>
      <c r="C448" s="467" t="s">
        <v>5657</v>
      </c>
      <c r="D448" s="467" t="s">
        <v>5719</v>
      </c>
      <c r="E448" s="467" t="s">
        <v>5727</v>
      </c>
      <c r="F448" s="271" t="s">
        <v>5951</v>
      </c>
      <c r="G448" s="451"/>
      <c r="H448" s="451"/>
      <c r="I448" s="451"/>
      <c r="J448" s="451"/>
      <c r="K448" s="451"/>
      <c r="L448" s="451"/>
      <c r="M448" s="451"/>
      <c r="N448" s="451"/>
      <c r="O448" s="451"/>
      <c r="P448" s="451"/>
      <c r="Q448" s="451"/>
      <c r="R448" s="451"/>
      <c r="S448" s="451"/>
      <c r="T448" s="451"/>
      <c r="U448" s="451"/>
      <c r="V448" s="451"/>
      <c r="W448" s="451"/>
      <c r="X448" s="451"/>
      <c r="Y448" s="451"/>
      <c r="Z448" s="451"/>
      <c r="AA448" s="451"/>
      <c r="AB448" s="451"/>
      <c r="AC448" s="451"/>
      <c r="AD448" s="451"/>
    </row>
    <row r="449">
      <c r="A449" s="511" t="s">
        <v>5101</v>
      </c>
      <c r="B449" s="518" t="str">
        <f>HYPERLINK("https://nasional.republika.co.id/berita/pwsita409/jalur-angkutan-umum-di-stasiun-mrt-lebak-bulus-diuji-coba","Republik")</f>
        <v>Republik</v>
      </c>
      <c r="C449" s="467" t="s">
        <v>5671</v>
      </c>
      <c r="D449" s="467" t="s">
        <v>5719</v>
      </c>
      <c r="E449" s="467" t="s">
        <v>5727</v>
      </c>
      <c r="F449" s="497" t="s">
        <v>6218</v>
      </c>
      <c r="G449" s="498">
        <v>2.0</v>
      </c>
      <c r="H449" s="497" t="s">
        <v>5728</v>
      </c>
      <c r="I449" s="497" t="s">
        <v>2707</v>
      </c>
      <c r="J449" s="497" t="s">
        <v>6219</v>
      </c>
      <c r="K449" s="497" t="s">
        <v>5729</v>
      </c>
      <c r="L449" s="498">
        <v>8.0</v>
      </c>
      <c r="M449" s="497" t="s">
        <v>6220</v>
      </c>
      <c r="N449" s="497" t="s">
        <v>6221</v>
      </c>
      <c r="O449" s="498">
        <v>107.0</v>
      </c>
      <c r="P449" s="497" t="s">
        <v>6222</v>
      </c>
      <c r="Q449" s="499"/>
      <c r="R449" s="500"/>
      <c r="S449" s="500"/>
      <c r="T449" s="500"/>
      <c r="U449" s="500"/>
      <c r="V449" s="500"/>
      <c r="W449" s="500"/>
      <c r="X449" s="500"/>
      <c r="Y449" s="500"/>
      <c r="Z449" s="500"/>
      <c r="AA449" s="500"/>
      <c r="AB449" s="500"/>
      <c r="AC449" s="500"/>
      <c r="AD449" s="500"/>
      <c r="AE449" s="497"/>
    </row>
    <row r="450">
      <c r="A450" s="501" t="s">
        <v>2980</v>
      </c>
      <c r="B450" s="466" t="s">
        <v>5663</v>
      </c>
      <c r="C450" s="467" t="s">
        <v>5682</v>
      </c>
      <c r="D450" s="467" t="s">
        <v>5683</v>
      </c>
      <c r="E450" s="467" t="s">
        <v>5659</v>
      </c>
      <c r="F450" s="271" t="s">
        <v>5951</v>
      </c>
      <c r="G450" s="451"/>
      <c r="H450" s="451"/>
      <c r="I450" s="451"/>
      <c r="J450" s="451"/>
      <c r="K450" s="451"/>
      <c r="L450" s="451"/>
      <c r="M450" s="451"/>
      <c r="N450" s="451"/>
      <c r="O450" s="451"/>
      <c r="P450" s="451"/>
      <c r="Q450" s="451"/>
      <c r="R450" s="451"/>
      <c r="S450" s="451"/>
      <c r="T450" s="451"/>
      <c r="U450" s="451"/>
      <c r="V450" s="451"/>
      <c r="W450" s="451"/>
      <c r="X450" s="451"/>
      <c r="Y450" s="451"/>
      <c r="Z450" s="451"/>
      <c r="AA450" s="451"/>
      <c r="AB450" s="451"/>
      <c r="AC450" s="451"/>
      <c r="AD450" s="451"/>
    </row>
    <row r="451">
      <c r="A451" s="511" t="s">
        <v>5103</v>
      </c>
      <c r="B451" s="518" t="str">
        <f>HYPERLINK("https://sports.okezone.com/read/2019/08/26/38/2096534/rins-saya-sudah-kalahkan-dua-legenda","Okezone.com")</f>
        <v>Okezone.com</v>
      </c>
      <c r="C451" s="467" t="s">
        <v>5682</v>
      </c>
      <c r="D451" s="467" t="s">
        <v>5719</v>
      </c>
      <c r="E451" s="467" t="s">
        <v>5727</v>
      </c>
      <c r="F451" s="497" t="s">
        <v>4292</v>
      </c>
      <c r="G451" s="498">
        <v>2.0</v>
      </c>
      <c r="H451" s="497" t="s">
        <v>5728</v>
      </c>
      <c r="I451" s="497" t="s">
        <v>2709</v>
      </c>
      <c r="J451" s="497" t="s">
        <v>6223</v>
      </c>
      <c r="K451" s="497" t="s">
        <v>5721</v>
      </c>
      <c r="L451" s="498">
        <v>8.0</v>
      </c>
      <c r="M451" s="497" t="s">
        <v>5850</v>
      </c>
      <c r="N451" s="497" t="s">
        <v>6224</v>
      </c>
      <c r="O451" s="498">
        <v>431.0</v>
      </c>
      <c r="P451" s="497" t="s">
        <v>6225</v>
      </c>
      <c r="Q451" s="499"/>
      <c r="R451" s="500"/>
      <c r="S451" s="500"/>
      <c r="T451" s="500"/>
      <c r="U451" s="500"/>
      <c r="V451" s="500"/>
      <c r="W451" s="500"/>
      <c r="X451" s="500"/>
      <c r="Y451" s="500"/>
      <c r="Z451" s="500"/>
      <c r="AA451" s="500"/>
      <c r="AB451" s="500"/>
      <c r="AC451" s="500"/>
      <c r="AD451" s="500"/>
      <c r="AE451" s="497"/>
    </row>
    <row r="452">
      <c r="A452" s="501" t="s">
        <v>4106</v>
      </c>
      <c r="B452" s="466" t="s">
        <v>5701</v>
      </c>
      <c r="C452" s="467" t="s">
        <v>5671</v>
      </c>
      <c r="D452" s="467" t="s">
        <v>5692</v>
      </c>
      <c r="E452" s="467" t="s">
        <v>5659</v>
      </c>
      <c r="F452" s="271" t="s">
        <v>5951</v>
      </c>
      <c r="G452" s="451"/>
      <c r="H452" s="451"/>
      <c r="I452" s="451"/>
      <c r="J452" s="451"/>
      <c r="K452" s="451"/>
      <c r="L452" s="451"/>
      <c r="M452" s="451"/>
      <c r="N452" s="451"/>
      <c r="O452" s="451"/>
      <c r="P452" s="451"/>
      <c r="Q452" s="451"/>
      <c r="R452" s="451"/>
      <c r="S452" s="451"/>
      <c r="T452" s="451"/>
      <c r="U452" s="451"/>
      <c r="V452" s="451"/>
      <c r="W452" s="451"/>
      <c r="X452" s="451"/>
      <c r="Y452" s="451"/>
      <c r="Z452" s="451"/>
      <c r="AA452" s="451"/>
      <c r="AB452" s="451"/>
      <c r="AC452" s="451"/>
      <c r="AD452" s="451"/>
    </row>
    <row r="453">
      <c r="A453" s="501" t="s">
        <v>4107</v>
      </c>
      <c r="B453" s="466" t="s">
        <v>5749</v>
      </c>
      <c r="C453" s="467" t="s">
        <v>5657</v>
      </c>
      <c r="D453" s="467" t="s">
        <v>5692</v>
      </c>
      <c r="E453" s="467" t="s">
        <v>5659</v>
      </c>
      <c r="F453" s="271" t="s">
        <v>5951</v>
      </c>
      <c r="G453" s="451"/>
      <c r="H453" s="451"/>
      <c r="I453" s="451"/>
      <c r="J453" s="451"/>
      <c r="K453" s="451"/>
      <c r="L453" s="451"/>
      <c r="M453" s="451"/>
      <c r="N453" s="451"/>
      <c r="O453" s="451"/>
      <c r="P453" s="451"/>
      <c r="Q453" s="451"/>
      <c r="R453" s="451"/>
      <c r="S453" s="451"/>
      <c r="T453" s="451"/>
      <c r="U453" s="451"/>
      <c r="V453" s="451"/>
      <c r="W453" s="451"/>
      <c r="X453" s="451"/>
      <c r="Y453" s="451"/>
      <c r="Z453" s="451"/>
      <c r="AA453" s="451"/>
      <c r="AB453" s="451"/>
      <c r="AC453" s="451"/>
      <c r="AD453" s="451"/>
    </row>
    <row r="454">
      <c r="A454" s="511" t="s">
        <v>5105</v>
      </c>
      <c r="B454" s="518" t="str">
        <f>HYPERLINK("https://dunia.tempo.co/read/1240384/peringatan-75-tahun-pembebasan-paris-dari-nazi/full&amp;view=ok","Tempo.co")</f>
        <v>Tempo.co</v>
      </c>
      <c r="C454" s="467" t="s">
        <v>5682</v>
      </c>
      <c r="D454" s="467" t="s">
        <v>5719</v>
      </c>
      <c r="E454" s="467" t="s">
        <v>5727</v>
      </c>
      <c r="F454" s="271" t="s">
        <v>5951</v>
      </c>
      <c r="G454" s="451"/>
      <c r="H454" s="451"/>
      <c r="I454" s="451"/>
      <c r="J454" s="451"/>
      <c r="K454" s="451"/>
      <c r="L454" s="451"/>
      <c r="M454" s="451"/>
      <c r="N454" s="451"/>
      <c r="O454" s="451"/>
      <c r="P454" s="451"/>
      <c r="Q454" s="451"/>
      <c r="R454" s="451"/>
      <c r="S454" s="451"/>
      <c r="T454" s="451"/>
      <c r="U454" s="451"/>
      <c r="V454" s="451"/>
      <c r="W454" s="451"/>
      <c r="X454" s="451"/>
      <c r="Y454" s="451"/>
      <c r="Z454" s="451"/>
      <c r="AA454" s="451"/>
      <c r="AB454" s="451"/>
      <c r="AC454" s="451"/>
      <c r="AD454" s="451"/>
    </row>
    <row r="455">
      <c r="A455" s="501" t="s">
        <v>4108</v>
      </c>
      <c r="B455" s="466" t="s">
        <v>6226</v>
      </c>
      <c r="C455" s="467" t="s">
        <v>5667</v>
      </c>
      <c r="D455" s="467" t="s">
        <v>5692</v>
      </c>
      <c r="E455" s="467" t="s">
        <v>5659</v>
      </c>
      <c r="F455" s="271" t="s">
        <v>5951</v>
      </c>
      <c r="G455" s="451"/>
      <c r="H455" s="451"/>
      <c r="I455" s="451"/>
      <c r="J455" s="451"/>
      <c r="K455" s="451"/>
      <c r="L455" s="451"/>
      <c r="M455" s="451"/>
      <c r="N455" s="451"/>
      <c r="O455" s="451"/>
      <c r="P455" s="451"/>
      <c r="Q455" s="451"/>
      <c r="R455" s="451"/>
      <c r="S455" s="451"/>
      <c r="T455" s="451"/>
      <c r="U455" s="451"/>
      <c r="V455" s="451"/>
      <c r="W455" s="451"/>
      <c r="X455" s="451"/>
      <c r="Y455" s="451"/>
      <c r="Z455" s="451"/>
      <c r="AA455" s="451"/>
      <c r="AB455" s="451"/>
      <c r="AC455" s="451"/>
      <c r="AD455" s="451"/>
    </row>
    <row r="456">
      <c r="A456" s="501" t="s">
        <v>4109</v>
      </c>
      <c r="B456" s="466" t="s">
        <v>6039</v>
      </c>
      <c r="C456" s="467" t="s">
        <v>5667</v>
      </c>
      <c r="D456" s="467" t="s">
        <v>5692</v>
      </c>
      <c r="E456" s="467" t="s">
        <v>5659</v>
      </c>
      <c r="F456" s="271" t="s">
        <v>5951</v>
      </c>
      <c r="G456" s="451"/>
      <c r="H456" s="451"/>
      <c r="I456" s="451"/>
      <c r="J456" s="451"/>
      <c r="K456" s="451"/>
      <c r="L456" s="451"/>
      <c r="M456" s="451"/>
      <c r="N456" s="451"/>
      <c r="O456" s="451"/>
      <c r="P456" s="451"/>
      <c r="Q456" s="451"/>
      <c r="R456" s="451"/>
      <c r="S456" s="451"/>
      <c r="T456" s="451"/>
      <c r="U456" s="451"/>
      <c r="V456" s="451"/>
      <c r="W456" s="451"/>
      <c r="X456" s="451"/>
      <c r="Y456" s="451"/>
      <c r="Z456" s="451"/>
      <c r="AA456" s="451"/>
      <c r="AB456" s="451"/>
      <c r="AC456" s="451"/>
      <c r="AD456" s="451"/>
    </row>
    <row r="457">
      <c r="A457" s="501" t="s">
        <v>4110</v>
      </c>
      <c r="B457" s="466" t="s">
        <v>5684</v>
      </c>
      <c r="C457" s="467" t="s">
        <v>5682</v>
      </c>
      <c r="D457" s="467" t="s">
        <v>5692</v>
      </c>
      <c r="E457" s="467" t="s">
        <v>5659</v>
      </c>
      <c r="F457" s="271" t="s">
        <v>5951</v>
      </c>
      <c r="G457" s="451"/>
      <c r="H457" s="451"/>
      <c r="I457" s="451"/>
      <c r="J457" s="451"/>
      <c r="K457" s="451"/>
      <c r="L457" s="451"/>
      <c r="M457" s="451"/>
      <c r="N457" s="451"/>
      <c r="O457" s="451"/>
      <c r="P457" s="451"/>
      <c r="Q457" s="451"/>
      <c r="R457" s="451"/>
      <c r="S457" s="451"/>
      <c r="T457" s="451"/>
      <c r="U457" s="451"/>
      <c r="V457" s="451"/>
      <c r="W457" s="451"/>
      <c r="X457" s="451"/>
      <c r="Y457" s="451"/>
      <c r="Z457" s="451"/>
      <c r="AA457" s="451"/>
      <c r="AB457" s="451"/>
      <c r="AC457" s="451"/>
      <c r="AD457" s="451"/>
    </row>
    <row r="458">
      <c r="A458" s="511" t="s">
        <v>5106</v>
      </c>
      <c r="B458" s="518" t="str">
        <f>HYPERLINK("https://www.cnnindonesia.com/olahraga/20190827160547-142-425068/jalan-berliku-gonzales-ke-timnas-indonesia","CNN")</f>
        <v>CNN</v>
      </c>
      <c r="C458" s="467" t="s">
        <v>5671</v>
      </c>
      <c r="D458" s="467" t="s">
        <v>5725</v>
      </c>
      <c r="E458" s="467" t="s">
        <v>5727</v>
      </c>
      <c r="F458" s="271" t="s">
        <v>5951</v>
      </c>
      <c r="G458" s="451"/>
      <c r="H458" s="451"/>
      <c r="I458" s="451"/>
      <c r="J458" s="451"/>
      <c r="K458" s="451"/>
      <c r="L458" s="451"/>
      <c r="M458" s="451"/>
      <c r="N458" s="451"/>
      <c r="O458" s="451"/>
      <c r="P458" s="451"/>
      <c r="Q458" s="451"/>
      <c r="R458" s="451"/>
      <c r="S458" s="451"/>
      <c r="T458" s="451"/>
      <c r="U458" s="451"/>
      <c r="V458" s="451"/>
      <c r="W458" s="451"/>
      <c r="X458" s="451"/>
      <c r="Y458" s="451"/>
      <c r="Z458" s="451"/>
      <c r="AA458" s="451"/>
      <c r="AB458" s="451"/>
      <c r="AC458" s="451"/>
      <c r="AD458" s="451"/>
    </row>
    <row r="459">
      <c r="A459" s="501" t="s">
        <v>5109</v>
      </c>
      <c r="B459" s="518" t="str">
        <f>HYPERLINK("https://www.tribunnewswiki.com/2019/08/31/film-3-days-to-kill-2014","Tribun")</f>
        <v>Tribun</v>
      </c>
      <c r="C459" s="467" t="s">
        <v>5670</v>
      </c>
      <c r="D459" s="467" t="s">
        <v>5719</v>
      </c>
      <c r="E459" s="467" t="s">
        <v>5727</v>
      </c>
      <c r="F459" s="271" t="s">
        <v>5951</v>
      </c>
      <c r="G459" s="451"/>
      <c r="H459" s="451"/>
      <c r="I459" s="451"/>
      <c r="J459" s="451"/>
      <c r="K459" s="451"/>
      <c r="L459" s="451"/>
      <c r="M459" s="451"/>
      <c r="N459" s="451"/>
      <c r="O459" s="451"/>
      <c r="P459" s="451"/>
      <c r="Q459" s="451"/>
      <c r="R459" s="451"/>
      <c r="S459" s="451"/>
      <c r="T459" s="451"/>
      <c r="U459" s="451"/>
      <c r="V459" s="451"/>
      <c r="W459" s="451"/>
      <c r="X459" s="451"/>
      <c r="Y459" s="451"/>
      <c r="Z459" s="451"/>
      <c r="AA459" s="451"/>
      <c r="AB459" s="451"/>
      <c r="AC459" s="451"/>
      <c r="AD459" s="451"/>
    </row>
    <row r="460">
      <c r="A460" s="501" t="s">
        <v>4149</v>
      </c>
      <c r="B460" s="466" t="s">
        <v>6045</v>
      </c>
      <c r="C460" s="467" t="s">
        <v>5664</v>
      </c>
      <c r="D460" s="467" t="s">
        <v>5658</v>
      </c>
      <c r="E460" s="467" t="s">
        <v>5727</v>
      </c>
      <c r="F460" s="271" t="s">
        <v>5951</v>
      </c>
      <c r="G460" s="451"/>
      <c r="H460" s="451"/>
      <c r="I460" s="451"/>
      <c r="J460" s="451"/>
      <c r="K460" s="451"/>
      <c r="L460" s="451"/>
      <c r="M460" s="451"/>
      <c r="N460" s="451"/>
      <c r="O460" s="451"/>
      <c r="P460" s="451"/>
      <c r="Q460" s="451"/>
      <c r="R460" s="451"/>
      <c r="S460" s="451"/>
      <c r="T460" s="451"/>
      <c r="U460" s="451"/>
      <c r="V460" s="451"/>
      <c r="W460" s="451"/>
      <c r="X460" s="451"/>
      <c r="Y460" s="451"/>
      <c r="Z460" s="451"/>
      <c r="AA460" s="451"/>
      <c r="AB460" s="451"/>
      <c r="AC460" s="451"/>
      <c r="AD460" s="451"/>
    </row>
    <row r="461">
      <c r="A461" s="524" t="s">
        <v>5111</v>
      </c>
      <c r="B461" s="518" t="str">
        <f>HYPERLINK("https://hot.detik.com/movie/d-4689946/sri-asih-film-jagoan-yang-bakal-tayang-setelah-gundala","Detik")</f>
        <v>Detik</v>
      </c>
      <c r="C461" s="467" t="s">
        <v>5682</v>
      </c>
      <c r="D461" s="467" t="s">
        <v>5725</v>
      </c>
      <c r="E461" s="467" t="s">
        <v>5727</v>
      </c>
      <c r="F461" s="271" t="s">
        <v>5951</v>
      </c>
      <c r="G461" s="451"/>
      <c r="H461" s="451"/>
      <c r="I461" s="451"/>
      <c r="J461" s="451"/>
      <c r="K461" s="451"/>
      <c r="L461" s="451"/>
      <c r="M461" s="451"/>
      <c r="N461" s="451"/>
      <c r="O461" s="451"/>
      <c r="P461" s="451"/>
      <c r="Q461" s="451"/>
      <c r="R461" s="451"/>
      <c r="S461" s="451"/>
      <c r="T461" s="451"/>
      <c r="U461" s="451"/>
      <c r="V461" s="451"/>
      <c r="W461" s="451"/>
      <c r="X461" s="451"/>
      <c r="Y461" s="451"/>
      <c r="Z461" s="451"/>
      <c r="AA461" s="451"/>
      <c r="AB461" s="451"/>
      <c r="AC461" s="451"/>
      <c r="AD461" s="451"/>
    </row>
    <row r="462">
      <c r="A462" s="501" t="s">
        <v>4150</v>
      </c>
      <c r="B462" s="466" t="s">
        <v>6038</v>
      </c>
      <c r="C462" s="467" t="s">
        <v>5667</v>
      </c>
      <c r="D462" s="467" t="s">
        <v>5668</v>
      </c>
      <c r="E462" s="467" t="s">
        <v>5727</v>
      </c>
      <c r="F462" s="271" t="s">
        <v>5951</v>
      </c>
      <c r="G462" s="451"/>
      <c r="H462" s="451"/>
      <c r="I462" s="451"/>
      <c r="J462" s="451"/>
      <c r="K462" s="451"/>
      <c r="L462" s="451"/>
      <c r="M462" s="451"/>
      <c r="N462" s="451"/>
      <c r="O462" s="451"/>
      <c r="P462" s="451"/>
      <c r="Q462" s="451"/>
      <c r="R462" s="451"/>
      <c r="S462" s="451"/>
      <c r="T462" s="451"/>
      <c r="U462" s="451"/>
      <c r="V462" s="451"/>
      <c r="W462" s="451"/>
      <c r="X462" s="451"/>
      <c r="Y462" s="451"/>
      <c r="Z462" s="451"/>
      <c r="AA462" s="451"/>
      <c r="AB462" s="451"/>
      <c r="AC462" s="451"/>
      <c r="AD462" s="451"/>
    </row>
    <row r="463" ht="15.0" customHeight="1">
      <c r="A463" s="501" t="s">
        <v>6227</v>
      </c>
      <c r="B463" s="466" t="s">
        <v>6038</v>
      </c>
      <c r="C463" s="467" t="s">
        <v>5671</v>
      </c>
      <c r="D463" s="467" t="s">
        <v>5668</v>
      </c>
      <c r="E463" s="467" t="s">
        <v>5727</v>
      </c>
      <c r="F463" s="497" t="s">
        <v>4151</v>
      </c>
      <c r="G463" s="498">
        <v>2.0</v>
      </c>
      <c r="H463" s="497" t="s">
        <v>5728</v>
      </c>
      <c r="I463" s="497" t="s">
        <v>2692</v>
      </c>
      <c r="J463" s="497" t="s">
        <v>6228</v>
      </c>
      <c r="K463" s="497" t="s">
        <v>5729</v>
      </c>
      <c r="L463" s="498">
        <v>2.0</v>
      </c>
      <c r="M463" s="497" t="s">
        <v>5828</v>
      </c>
      <c r="N463" s="497" t="s">
        <v>6229</v>
      </c>
      <c r="O463" s="498">
        <v>304.0</v>
      </c>
      <c r="P463" s="497" t="s">
        <v>6230</v>
      </c>
      <c r="Q463" s="499" t="s">
        <v>6231</v>
      </c>
      <c r="R463" s="500"/>
      <c r="S463" s="500"/>
      <c r="T463" s="500"/>
      <c r="U463" s="500"/>
      <c r="V463" s="500"/>
      <c r="W463" s="500"/>
      <c r="X463" s="500"/>
      <c r="Y463" s="500"/>
      <c r="Z463" s="500"/>
      <c r="AA463" s="500"/>
      <c r="AB463" s="500"/>
      <c r="AC463" s="500"/>
      <c r="AD463" s="500"/>
      <c r="AE463" s="497"/>
    </row>
    <row r="464">
      <c r="A464" s="511" t="s">
        <v>5112</v>
      </c>
      <c r="B464" s="518" t="str">
        <f>HYPERLINK("https://www.tribunnews.com/nasional/2019/09/02/kbri-riyadh-terima-cek-santunan-korban-crane-senilai-851-miliar-dari-raja-salman","Tribun")</f>
        <v>Tribun</v>
      </c>
      <c r="C464" s="467" t="s">
        <v>5682</v>
      </c>
      <c r="D464" s="467" t="s">
        <v>5725</v>
      </c>
      <c r="E464" s="467" t="s">
        <v>5727</v>
      </c>
      <c r="F464" s="271" t="s">
        <v>5951</v>
      </c>
      <c r="G464" s="451"/>
      <c r="H464" s="451"/>
      <c r="I464" s="451"/>
      <c r="J464" s="451"/>
      <c r="K464" s="451"/>
      <c r="L464" s="451"/>
      <c r="M464" s="451"/>
      <c r="N464" s="451"/>
      <c r="O464" s="451"/>
      <c r="P464" s="451"/>
      <c r="Q464" s="451"/>
      <c r="R464" s="451"/>
      <c r="S464" s="451"/>
      <c r="T464" s="451"/>
      <c r="U464" s="451"/>
      <c r="V464" s="451"/>
      <c r="W464" s="451"/>
      <c r="X464" s="451"/>
      <c r="Y464" s="451"/>
      <c r="Z464" s="451"/>
      <c r="AA464" s="451"/>
      <c r="AB464" s="451"/>
      <c r="AC464" s="451"/>
      <c r="AD464" s="451"/>
    </row>
    <row r="465">
      <c r="A465" s="501" t="s">
        <v>4154</v>
      </c>
      <c r="B465" s="466" t="s">
        <v>5749</v>
      </c>
      <c r="C465" s="467" t="s">
        <v>5682</v>
      </c>
      <c r="D465" s="467" t="s">
        <v>5668</v>
      </c>
      <c r="E465" s="467" t="s">
        <v>5727</v>
      </c>
      <c r="F465" s="271" t="s">
        <v>5951</v>
      </c>
      <c r="G465" s="451"/>
      <c r="H465" s="451"/>
      <c r="I465" s="451"/>
      <c r="J465" s="451"/>
      <c r="K465" s="451"/>
      <c r="L465" s="451"/>
      <c r="M465" s="451"/>
      <c r="N465" s="451"/>
      <c r="O465" s="451"/>
      <c r="P465" s="451"/>
      <c r="Q465" s="451"/>
      <c r="R465" s="451"/>
      <c r="S465" s="451"/>
      <c r="T465" s="451"/>
      <c r="U465" s="451"/>
      <c r="V465" s="451"/>
      <c r="W465" s="451"/>
      <c r="X465" s="451"/>
      <c r="Y465" s="451"/>
      <c r="Z465" s="451"/>
      <c r="AA465" s="451"/>
      <c r="AB465" s="451"/>
      <c r="AC465" s="451"/>
      <c r="AD465" s="451"/>
    </row>
    <row r="466">
      <c r="A466" s="501" t="s">
        <v>4155</v>
      </c>
      <c r="B466" s="466" t="s">
        <v>5699</v>
      </c>
      <c r="C466" s="467" t="s">
        <v>5657</v>
      </c>
      <c r="D466" s="467" t="s">
        <v>5668</v>
      </c>
      <c r="E466" s="467" t="s">
        <v>5727</v>
      </c>
      <c r="F466" s="271" t="s">
        <v>5951</v>
      </c>
      <c r="G466" s="451"/>
      <c r="H466" s="451"/>
      <c r="I466" s="451"/>
      <c r="J466" s="451"/>
      <c r="K466" s="451"/>
      <c r="L466" s="451"/>
      <c r="M466" s="451"/>
      <c r="N466" s="451"/>
      <c r="O466" s="451"/>
      <c r="P466" s="451"/>
      <c r="Q466" s="451"/>
      <c r="R466" s="451"/>
      <c r="S466" s="451"/>
      <c r="T466" s="451"/>
      <c r="U466" s="451"/>
      <c r="V466" s="451"/>
      <c r="W466" s="451"/>
      <c r="X466" s="451"/>
      <c r="Y466" s="451"/>
      <c r="Z466" s="451"/>
      <c r="AA466" s="451"/>
      <c r="AB466" s="451"/>
      <c r="AC466" s="451"/>
      <c r="AD466" s="451"/>
    </row>
    <row r="467">
      <c r="A467" s="501" t="s">
        <v>6232</v>
      </c>
      <c r="B467" s="466" t="s">
        <v>6039</v>
      </c>
      <c r="C467" s="467" t="s">
        <v>5667</v>
      </c>
      <c r="D467" s="467" t="s">
        <v>5668</v>
      </c>
      <c r="E467" s="467" t="s">
        <v>5727</v>
      </c>
      <c r="F467" s="497" t="s">
        <v>4156</v>
      </c>
      <c r="G467" s="498">
        <v>2.0</v>
      </c>
      <c r="H467" s="497" t="s">
        <v>5728</v>
      </c>
      <c r="I467" s="497" t="s">
        <v>2704</v>
      </c>
      <c r="J467" s="497" t="s">
        <v>6233</v>
      </c>
      <c r="K467" s="497" t="s">
        <v>5734</v>
      </c>
      <c r="L467" s="498">
        <v>2.0</v>
      </c>
      <c r="M467" s="497" t="s">
        <v>6234</v>
      </c>
      <c r="N467" s="497" t="s">
        <v>6235</v>
      </c>
      <c r="O467" s="498">
        <v>1382.0</v>
      </c>
      <c r="P467" s="497" t="s">
        <v>6236</v>
      </c>
      <c r="Q467" s="499"/>
      <c r="R467" s="500"/>
      <c r="S467" s="500"/>
      <c r="T467" s="500"/>
      <c r="U467" s="500"/>
      <c r="V467" s="500"/>
      <c r="W467" s="500"/>
      <c r="X467" s="500"/>
      <c r="Y467" s="500"/>
      <c r="Z467" s="500"/>
      <c r="AA467" s="500"/>
      <c r="AB467" s="500"/>
      <c r="AC467" s="500"/>
      <c r="AD467" s="500"/>
      <c r="AE467" s="497"/>
    </row>
    <row r="468">
      <c r="A468" s="525" t="s">
        <v>5117</v>
      </c>
      <c r="B468" s="518" t="str">
        <f>HYPERLINK("https://metro.tempo.co/read/1243531/hari-pelanggan-nasional-direksi-transjakarta-jadi-petugas-bus/full&amp;view=ok","Tempo.co")</f>
        <v>Tempo.co</v>
      </c>
      <c r="C468" s="467" t="s">
        <v>5657</v>
      </c>
      <c r="D468" s="467" t="s">
        <v>5725</v>
      </c>
      <c r="E468" s="467" t="s">
        <v>5727</v>
      </c>
      <c r="F468" s="497" t="s">
        <v>6237</v>
      </c>
      <c r="G468" s="498">
        <v>2.0</v>
      </c>
      <c r="H468" s="497" t="s">
        <v>5728</v>
      </c>
      <c r="I468" s="497" t="s">
        <v>2702</v>
      </c>
      <c r="J468" s="497" t="s">
        <v>6238</v>
      </c>
      <c r="K468" s="497" t="s">
        <v>5711</v>
      </c>
      <c r="L468" s="498">
        <v>9.0</v>
      </c>
      <c r="M468" s="497" t="s">
        <v>6029</v>
      </c>
      <c r="N468" s="497" t="s">
        <v>6239</v>
      </c>
      <c r="O468" s="498">
        <v>166.0</v>
      </c>
      <c r="P468" s="497" t="s">
        <v>6240</v>
      </c>
      <c r="Q468" s="499"/>
      <c r="R468" s="500"/>
      <c r="S468" s="500"/>
      <c r="T468" s="500"/>
      <c r="U468" s="500"/>
      <c r="V468" s="500"/>
      <c r="W468" s="500"/>
      <c r="X468" s="500"/>
      <c r="Y468" s="500"/>
      <c r="Z468" s="500"/>
      <c r="AA468" s="500"/>
      <c r="AB468" s="500"/>
      <c r="AC468" s="500"/>
      <c r="AD468" s="500"/>
      <c r="AE468" s="497"/>
    </row>
    <row r="469">
      <c r="A469" s="501" t="s">
        <v>4160</v>
      </c>
      <c r="B469" s="466" t="s">
        <v>5663</v>
      </c>
      <c r="C469" s="467" t="s">
        <v>5671</v>
      </c>
      <c r="D469" s="467" t="s">
        <v>5668</v>
      </c>
      <c r="E469" s="467" t="s">
        <v>5727</v>
      </c>
      <c r="F469" s="271" t="s">
        <v>5951</v>
      </c>
      <c r="G469" s="451"/>
      <c r="H469" s="451"/>
      <c r="I469" s="451"/>
      <c r="J469" s="451"/>
      <c r="K469" s="451"/>
      <c r="L469" s="451"/>
      <c r="M469" s="451"/>
      <c r="N469" s="451"/>
      <c r="O469" s="451"/>
      <c r="P469" s="451"/>
      <c r="Q469" s="451"/>
      <c r="R469" s="451"/>
      <c r="S469" s="451"/>
      <c r="T469" s="451"/>
      <c r="U469" s="451"/>
      <c r="V469" s="451"/>
      <c r="W469" s="451"/>
      <c r="X469" s="451"/>
      <c r="Y469" s="451"/>
      <c r="Z469" s="451"/>
      <c r="AA469" s="451"/>
      <c r="AB469" s="451"/>
      <c r="AC469" s="451"/>
      <c r="AD469" s="451"/>
    </row>
    <row r="470">
      <c r="A470" s="525" t="s">
        <v>3291</v>
      </c>
      <c r="B470" s="518" t="str">
        <f>HYPERLINK("https://www.tribunnews.com/seleb/2019/09/28/5-film-indonesia-siap-tayang-oktober-2019-dari-cinta-itu-buta-hingga-ajari-aku-islam","Tribun")</f>
        <v>Tribun</v>
      </c>
      <c r="C470" s="467" t="s">
        <v>5670</v>
      </c>
      <c r="D470" s="467" t="s">
        <v>5725</v>
      </c>
      <c r="E470" s="467" t="s">
        <v>5727</v>
      </c>
      <c r="F470" s="271" t="s">
        <v>5951</v>
      </c>
      <c r="G470" s="451"/>
      <c r="H470" s="451"/>
      <c r="I470" s="451"/>
      <c r="J470" s="451"/>
      <c r="K470" s="451"/>
      <c r="L470" s="451"/>
      <c r="M470" s="451"/>
      <c r="N470" s="451"/>
      <c r="O470" s="451"/>
      <c r="P470" s="451"/>
      <c r="Q470" s="451"/>
      <c r="R470" s="451"/>
      <c r="S470" s="451"/>
      <c r="T470" s="451"/>
      <c r="U470" s="451"/>
      <c r="V470" s="451"/>
      <c r="W470" s="451"/>
      <c r="X470" s="451"/>
      <c r="Y470" s="451"/>
      <c r="Z470" s="451"/>
      <c r="AA470" s="451"/>
      <c r="AB470" s="451"/>
      <c r="AC470" s="451"/>
      <c r="AD470" s="451"/>
    </row>
    <row r="471">
      <c r="A471" s="525" t="s">
        <v>5123</v>
      </c>
      <c r="B471" s="518" t="str">
        <f>HYPERLINK("https://news.okezone.com/read/2019/01/05/18/2000207/thailand-dilanda-pabuk-badai-terburuk-dalam-30-tahun-terakhir","Okezone")</f>
        <v>Okezone</v>
      </c>
      <c r="C471" s="467" t="s">
        <v>5670</v>
      </c>
      <c r="D471" s="467" t="s">
        <v>5658</v>
      </c>
      <c r="E471" s="467" t="s">
        <v>6241</v>
      </c>
      <c r="F471" s="497" t="s">
        <v>6242</v>
      </c>
      <c r="G471" s="498">
        <v>2.0</v>
      </c>
      <c r="H471" s="497" t="s">
        <v>6243</v>
      </c>
      <c r="I471" s="497" t="s">
        <v>2709</v>
      </c>
      <c r="J471" s="497" t="s">
        <v>6244</v>
      </c>
      <c r="K471" s="497" t="s">
        <v>5786</v>
      </c>
      <c r="L471" s="498">
        <v>1.0</v>
      </c>
      <c r="M471" s="497" t="s">
        <v>5987</v>
      </c>
      <c r="N471" s="497" t="s">
        <v>6245</v>
      </c>
      <c r="O471" s="498">
        <v>429.0</v>
      </c>
      <c r="P471" s="497" t="s">
        <v>6246</v>
      </c>
      <c r="Q471" s="499"/>
      <c r="R471" s="500"/>
      <c r="S471" s="500"/>
      <c r="T471" s="500"/>
      <c r="U471" s="500"/>
      <c r="V471" s="500"/>
      <c r="W471" s="500"/>
      <c r="X471" s="500"/>
      <c r="Y471" s="500"/>
      <c r="Z471" s="500"/>
      <c r="AA471" s="500"/>
      <c r="AB471" s="500"/>
      <c r="AC471" s="500"/>
      <c r="AD471" s="500"/>
      <c r="AE471" s="497"/>
    </row>
    <row r="472">
      <c r="A472" s="501" t="s">
        <v>5127</v>
      </c>
      <c r="B472" s="518" t="str">
        <f>HYPERLINK("https://news.okezone.com/read/2019/01/08/605/2001311/nurhadi-aldo-satir-politik-dan-skeptisme-yang-memuncak-jelang-pilpres-2019","Okezone")</f>
        <v>Okezone</v>
      </c>
      <c r="C472" s="467" t="s">
        <v>5681</v>
      </c>
      <c r="D472" s="467" t="s">
        <v>5658</v>
      </c>
      <c r="E472" s="467" t="s">
        <v>6241</v>
      </c>
      <c r="F472" s="497" t="s">
        <v>6247</v>
      </c>
      <c r="G472" s="498">
        <v>2.0</v>
      </c>
      <c r="H472" s="497" t="s">
        <v>6243</v>
      </c>
      <c r="I472" s="497" t="s">
        <v>2709</v>
      </c>
      <c r="J472" s="497" t="s">
        <v>6248</v>
      </c>
      <c r="K472" s="497" t="s">
        <v>5750</v>
      </c>
      <c r="L472" s="498">
        <v>1.0</v>
      </c>
      <c r="M472" s="497" t="s">
        <v>5909</v>
      </c>
      <c r="N472" s="497" t="s">
        <v>6249</v>
      </c>
      <c r="O472" s="498">
        <v>392.0</v>
      </c>
      <c r="P472" s="497" t="s">
        <v>6250</v>
      </c>
      <c r="Q472" s="499"/>
      <c r="R472" s="500"/>
      <c r="S472" s="500"/>
      <c r="T472" s="500"/>
      <c r="U472" s="500"/>
      <c r="V472" s="500"/>
      <c r="W472" s="500"/>
      <c r="X472" s="500"/>
      <c r="Y472" s="500"/>
      <c r="Z472" s="500"/>
      <c r="AA472" s="500"/>
      <c r="AB472" s="500"/>
      <c r="AC472" s="500"/>
      <c r="AD472" s="500"/>
      <c r="AE472" s="497"/>
    </row>
    <row r="473">
      <c r="A473" s="525" t="s">
        <v>5129</v>
      </c>
      <c r="B473" s="518" t="str">
        <f>HYPERLINK("https://www.suara.com/lifestyle/2019/01/11/151741/unggah-video-hadiah-dari-dolce-gabbana-kim-kardashian-dihujat-netizen","Suara")</f>
        <v>Suara</v>
      </c>
      <c r="C473" s="467" t="s">
        <v>5667</v>
      </c>
      <c r="D473" s="467" t="s">
        <v>5658</v>
      </c>
      <c r="E473" s="467" t="s">
        <v>6241</v>
      </c>
      <c r="F473" s="497" t="s">
        <v>6251</v>
      </c>
      <c r="G473" s="498">
        <v>2.0</v>
      </c>
      <c r="H473" s="497" t="s">
        <v>6243</v>
      </c>
      <c r="I473" s="497" t="s">
        <v>2698</v>
      </c>
      <c r="J473" s="497" t="s">
        <v>6252</v>
      </c>
      <c r="K473" s="497" t="s">
        <v>5734</v>
      </c>
      <c r="L473" s="498">
        <v>1.0</v>
      </c>
      <c r="M473" s="497" t="s">
        <v>5790</v>
      </c>
      <c r="N473" s="497" t="s">
        <v>6253</v>
      </c>
      <c r="O473" s="498">
        <v>654.0</v>
      </c>
      <c r="P473" s="497" t="s">
        <v>6254</v>
      </c>
      <c r="Q473" s="499"/>
      <c r="R473" s="500"/>
      <c r="S473" s="500"/>
      <c r="T473" s="500"/>
      <c r="U473" s="500"/>
      <c r="V473" s="500"/>
      <c r="W473" s="500"/>
      <c r="X473" s="500"/>
      <c r="Y473" s="500"/>
      <c r="Z473" s="500"/>
      <c r="AA473" s="500"/>
      <c r="AB473" s="500"/>
      <c r="AC473" s="500"/>
      <c r="AD473" s="500"/>
      <c r="AE473" s="497"/>
    </row>
    <row r="474">
      <c r="A474" s="525" t="s">
        <v>5130</v>
      </c>
      <c r="B474" s="466" t="s">
        <v>5699</v>
      </c>
      <c r="C474" s="467" t="s">
        <v>5667</v>
      </c>
      <c r="D474" s="467" t="s">
        <v>5658</v>
      </c>
      <c r="E474" s="467" t="s">
        <v>6241</v>
      </c>
      <c r="F474" s="497" t="s">
        <v>6255</v>
      </c>
      <c r="G474" s="498">
        <v>2.0</v>
      </c>
      <c r="H474" s="497" t="s">
        <v>6243</v>
      </c>
      <c r="I474" s="497" t="s">
        <v>2702</v>
      </c>
      <c r="J474" s="497" t="s">
        <v>6256</v>
      </c>
      <c r="K474" s="497" t="s">
        <v>5734</v>
      </c>
      <c r="L474" s="498">
        <v>1.0</v>
      </c>
      <c r="M474" s="497" t="s">
        <v>6257</v>
      </c>
      <c r="N474" s="497" t="s">
        <v>6258</v>
      </c>
      <c r="O474" s="498">
        <v>436.0</v>
      </c>
      <c r="P474" s="497" t="s">
        <v>6259</v>
      </c>
      <c r="Q474" s="499"/>
      <c r="R474" s="500"/>
      <c r="S474" s="500"/>
      <c r="T474" s="500"/>
      <c r="U474" s="500"/>
      <c r="V474" s="500"/>
      <c r="W474" s="500"/>
      <c r="X474" s="500"/>
      <c r="Y474" s="500"/>
      <c r="Z474" s="500"/>
      <c r="AA474" s="500"/>
      <c r="AB474" s="500"/>
      <c r="AC474" s="500"/>
      <c r="AD474" s="500"/>
      <c r="AE474" s="497"/>
    </row>
    <row r="475">
      <c r="A475" s="501" t="s">
        <v>5132</v>
      </c>
      <c r="B475" s="518" t="str">
        <f>HYPERLINK("https://www.suara.com/entertainment/2019/01/13/150916/sebulan-menikah-dj-butterfly-pamer-perut-buncit-seperti-hamil-besar","Suara")</f>
        <v>Suara</v>
      </c>
      <c r="C475" s="467" t="s">
        <v>5671</v>
      </c>
      <c r="D475" s="467" t="s">
        <v>5658</v>
      </c>
      <c r="E475" s="467" t="s">
        <v>6241</v>
      </c>
      <c r="F475" s="516" t="s">
        <v>6260</v>
      </c>
      <c r="G475" s="498">
        <v>2.0</v>
      </c>
      <c r="H475" s="497" t="s">
        <v>6243</v>
      </c>
      <c r="I475" s="497" t="s">
        <v>2698</v>
      </c>
      <c r="J475" s="497" t="s">
        <v>6261</v>
      </c>
      <c r="K475" s="497" t="s">
        <v>5729</v>
      </c>
      <c r="L475" s="498">
        <v>1.0</v>
      </c>
      <c r="M475" s="497" t="s">
        <v>5763</v>
      </c>
      <c r="N475" s="497" t="s">
        <v>6262</v>
      </c>
      <c r="O475" s="498">
        <v>418.0</v>
      </c>
      <c r="P475" s="497" t="s">
        <v>6263</v>
      </c>
      <c r="Q475" s="499"/>
      <c r="R475" s="500"/>
      <c r="S475" s="500"/>
      <c r="T475" s="500"/>
      <c r="U475" s="500"/>
      <c r="V475" s="500"/>
      <c r="W475" s="500"/>
      <c r="X475" s="500"/>
      <c r="Y475" s="500"/>
      <c r="Z475" s="500"/>
      <c r="AA475" s="500"/>
      <c r="AB475" s="500"/>
      <c r="AC475" s="500"/>
      <c r="AD475" s="500"/>
      <c r="AE475" s="497"/>
    </row>
    <row r="476">
      <c r="A476" s="501" t="s">
        <v>5142</v>
      </c>
      <c r="B476" s="518" t="str">
        <f>HYPERLINK("https://news.detik.com/berita/d-4403861/hnw-sebut-banten-wilayah-kesantrian-dengan-teladan-2-ulama-besar","Detik")</f>
        <v>Detik</v>
      </c>
      <c r="C476" s="467" t="s">
        <v>5682</v>
      </c>
      <c r="D476" s="467" t="s">
        <v>5658</v>
      </c>
      <c r="E476" s="467" t="s">
        <v>6241</v>
      </c>
      <c r="F476" s="497" t="s">
        <v>6264</v>
      </c>
      <c r="G476" s="498">
        <v>2.0</v>
      </c>
      <c r="H476" s="497" t="s">
        <v>6243</v>
      </c>
      <c r="I476" s="497" t="s">
        <v>2740</v>
      </c>
      <c r="J476" s="497" t="s">
        <v>6265</v>
      </c>
      <c r="K476" s="497" t="s">
        <v>5721</v>
      </c>
      <c r="L476" s="498">
        <v>1.0</v>
      </c>
      <c r="M476" s="497" t="s">
        <v>5879</v>
      </c>
      <c r="N476" s="497" t="s">
        <v>6266</v>
      </c>
      <c r="O476" s="498">
        <v>399.0</v>
      </c>
      <c r="P476" s="497" t="s">
        <v>6267</v>
      </c>
      <c r="Q476" s="500"/>
      <c r="R476" s="500"/>
      <c r="S476" s="500"/>
      <c r="T476" s="500"/>
      <c r="U476" s="500"/>
      <c r="V476" s="500"/>
      <c r="W476" s="500"/>
      <c r="X476" s="500"/>
      <c r="Y476" s="500"/>
      <c r="Z476" s="500"/>
      <c r="AA476" s="500"/>
      <c r="AB476" s="500"/>
      <c r="AC476" s="500"/>
      <c r="AD476" s="500"/>
      <c r="AE476" s="497"/>
    </row>
    <row r="477">
      <c r="A477" s="525" t="s">
        <v>5155</v>
      </c>
      <c r="B477" s="518" t="str">
        <f>HYPERLINK("https://tirto.id/barca-vs-valencia-di-la-liga-prediksi-skor-h2h-live-streaming-dftj","Tirto")</f>
        <v>Tirto</v>
      </c>
      <c r="C477" s="467" t="s">
        <v>5670</v>
      </c>
      <c r="D477" s="467" t="s">
        <v>5668</v>
      </c>
      <c r="E477" s="467" t="s">
        <v>6241</v>
      </c>
      <c r="F477" s="271" t="s">
        <v>5951</v>
      </c>
      <c r="G477" s="451"/>
      <c r="H477" s="451"/>
      <c r="I477" s="451"/>
      <c r="J477" s="451"/>
      <c r="K477" s="451"/>
      <c r="L477" s="451"/>
      <c r="M477" s="451"/>
      <c r="N477" s="451"/>
      <c r="O477" s="451"/>
      <c r="P477" s="451"/>
      <c r="Q477" s="451"/>
      <c r="R477" s="451"/>
      <c r="S477" s="451"/>
      <c r="T477" s="451"/>
      <c r="U477" s="451"/>
      <c r="V477" s="451"/>
      <c r="W477" s="451"/>
      <c r="X477" s="451"/>
      <c r="Y477" s="451"/>
      <c r="Z477" s="451"/>
      <c r="AA477" s="451"/>
      <c r="AB477" s="451"/>
      <c r="AC477" s="451"/>
      <c r="AD477" s="451"/>
    </row>
    <row r="478">
      <c r="A478" s="525" t="s">
        <v>5157</v>
      </c>
      <c r="B478" s="518" t="str">
        <f>HYPERLINK("https://www.cnnindonesia.com/hiburan/20190206132413-234-366807/manajer-nirvana-rilis-buku-untuk-kenang-kurt-cobain","CNN")</f>
        <v>CNN</v>
      </c>
      <c r="C478" s="467" t="s">
        <v>5664</v>
      </c>
      <c r="D478" s="467" t="s">
        <v>5668</v>
      </c>
      <c r="E478" s="467" t="s">
        <v>6241</v>
      </c>
      <c r="F478" s="497" t="s">
        <v>6268</v>
      </c>
      <c r="G478" s="498">
        <v>2.0</v>
      </c>
      <c r="H478" s="497" t="s">
        <v>6243</v>
      </c>
      <c r="I478" s="497" t="s">
        <v>2695</v>
      </c>
      <c r="J478" s="497" t="s">
        <v>6269</v>
      </c>
      <c r="K478" s="497" t="s">
        <v>5754</v>
      </c>
      <c r="L478" s="498">
        <v>2.0</v>
      </c>
      <c r="M478" s="497" t="s">
        <v>6270</v>
      </c>
      <c r="N478" s="497" t="s">
        <v>6271</v>
      </c>
      <c r="O478" s="498">
        <v>305.0</v>
      </c>
      <c r="P478" s="497" t="s">
        <v>6272</v>
      </c>
      <c r="Q478" s="500"/>
      <c r="R478" s="500"/>
      <c r="S478" s="500"/>
      <c r="T478" s="500"/>
      <c r="U478" s="500"/>
      <c r="V478" s="500"/>
      <c r="W478" s="500"/>
      <c r="X478" s="500"/>
      <c r="Y478" s="500"/>
      <c r="Z478" s="500"/>
      <c r="AA478" s="500"/>
      <c r="AB478" s="500"/>
      <c r="AC478" s="500"/>
      <c r="AD478" s="500"/>
      <c r="AE478" s="497"/>
    </row>
    <row r="479">
      <c r="A479" s="525" t="s">
        <v>5158</v>
      </c>
      <c r="B479" s="518" t="str">
        <f>HYPERLINK("https://celebrity.okezone.com/read/2019/02/08/33/2015387/tak-kuat-tahan-birahi-yang-bergejolak-irma-darmawangsa-pakai-sex-toys","Okezone")</f>
        <v>Okezone</v>
      </c>
      <c r="C479" s="467" t="s">
        <v>5671</v>
      </c>
      <c r="D479" s="467" t="s">
        <v>5668</v>
      </c>
      <c r="E479" s="467" t="s">
        <v>6241</v>
      </c>
      <c r="F479" s="497" t="s">
        <v>1429</v>
      </c>
      <c r="G479" s="498">
        <v>2.0</v>
      </c>
      <c r="H479" s="497" t="s">
        <v>6243</v>
      </c>
      <c r="I479" s="497" t="s">
        <v>2709</v>
      </c>
      <c r="J479" s="497" t="s">
        <v>6273</v>
      </c>
      <c r="K479" s="497" t="s">
        <v>5729</v>
      </c>
      <c r="L479" s="498">
        <v>2.0</v>
      </c>
      <c r="M479" s="497" t="s">
        <v>5722</v>
      </c>
      <c r="N479" s="497" t="s">
        <v>6274</v>
      </c>
      <c r="O479" s="498">
        <v>229.0</v>
      </c>
      <c r="P479" s="497" t="s">
        <v>6275</v>
      </c>
      <c r="Q479" s="499"/>
      <c r="R479" s="500"/>
      <c r="S479" s="500"/>
      <c r="T479" s="500"/>
      <c r="U479" s="500"/>
      <c r="V479" s="500"/>
      <c r="W479" s="500"/>
      <c r="X479" s="500"/>
      <c r="Y479" s="500"/>
      <c r="Z479" s="500"/>
      <c r="AA479" s="500"/>
      <c r="AB479" s="500"/>
      <c r="AC479" s="500"/>
      <c r="AD479" s="500"/>
      <c r="AE479" s="497"/>
    </row>
    <row r="480">
      <c r="A480" s="501" t="s">
        <v>5162</v>
      </c>
      <c r="B480" s="518" t="str">
        <f>HYPERLINK("https://www.cnnindonesia.com/teknologi/20190212080238-199-368401/makhluk-bergerak-pertama-ditemukan-usianya-21-miliar-tahun","CNN")</f>
        <v>CNN</v>
      </c>
      <c r="C480" s="467" t="s">
        <v>5681</v>
      </c>
      <c r="D480" s="467" t="s">
        <v>5668</v>
      </c>
      <c r="E480" s="467" t="s">
        <v>6241</v>
      </c>
      <c r="F480" s="497" t="s">
        <v>6276</v>
      </c>
      <c r="G480" s="498">
        <v>2.0</v>
      </c>
      <c r="H480" s="497" t="s">
        <v>6243</v>
      </c>
      <c r="I480" s="497" t="s">
        <v>2695</v>
      </c>
      <c r="J480" s="497" t="s">
        <v>6277</v>
      </c>
      <c r="K480" s="497" t="s">
        <v>5750</v>
      </c>
      <c r="L480" s="498">
        <v>2.0</v>
      </c>
      <c r="M480" s="497" t="s">
        <v>6270</v>
      </c>
      <c r="N480" s="497" t="s">
        <v>6278</v>
      </c>
      <c r="O480" s="498">
        <v>365.0</v>
      </c>
      <c r="P480" s="497" t="s">
        <v>6279</v>
      </c>
      <c r="Q480" s="500"/>
      <c r="R480" s="500"/>
      <c r="S480" s="500"/>
      <c r="T480" s="500"/>
      <c r="U480" s="500"/>
      <c r="V480" s="500"/>
      <c r="W480" s="500"/>
      <c r="X480" s="500"/>
      <c r="Y480" s="500"/>
      <c r="Z480" s="500"/>
      <c r="AA480" s="500"/>
      <c r="AB480" s="500"/>
      <c r="AC480" s="500"/>
      <c r="AD480" s="500"/>
      <c r="AE480" s="497"/>
    </row>
    <row r="481">
      <c r="A481" s="501" t="s">
        <v>5149</v>
      </c>
      <c r="B481" s="518" t="str">
        <f>HYPERLINK("https://www.suara.com/news/2019/01/31/112741/psi-senang-ada-spanduk-psi-dukung-hak-hak-lgbt-kenapa","Suara")</f>
        <v>Suara</v>
      </c>
      <c r="C481" s="467" t="s">
        <v>5664</v>
      </c>
      <c r="D481" s="467" t="s">
        <v>5658</v>
      </c>
      <c r="E481" s="467" t="s">
        <v>6241</v>
      </c>
      <c r="F481" s="271" t="s">
        <v>5951</v>
      </c>
      <c r="G481" s="506"/>
      <c r="H481" s="507"/>
      <c r="I481" s="507"/>
      <c r="J481" s="507"/>
      <c r="K481" s="507"/>
      <c r="L481" s="506"/>
      <c r="M481" s="507"/>
      <c r="N481" s="507"/>
      <c r="O481" s="506"/>
      <c r="P481" s="507"/>
      <c r="Q481" s="508"/>
      <c r="R481" s="509"/>
      <c r="S481" s="509"/>
      <c r="T481" s="509"/>
      <c r="U481" s="509"/>
      <c r="V481" s="500"/>
      <c r="W481" s="500"/>
      <c r="X481" s="500"/>
      <c r="Y481" s="500"/>
      <c r="Z481" s="500"/>
      <c r="AA481" s="500"/>
      <c r="AB481" s="500"/>
      <c r="AC481" s="500"/>
      <c r="AD481" s="500"/>
      <c r="AE481" s="497"/>
    </row>
    <row r="482">
      <c r="A482" s="501" t="s">
        <v>5150</v>
      </c>
      <c r="B482" s="518" t="str">
        <f>HYPERLINK("https://www.tribunnews.com/nasional/2019/01/31/psi-laporkan-pemasangan-spanduk-soal-lgbt-ke-bareskrim-polri","Tribun")</f>
        <v>Tribun</v>
      </c>
      <c r="C482" s="467" t="s">
        <v>5664</v>
      </c>
      <c r="D482" s="467" t="s">
        <v>5658</v>
      </c>
      <c r="E482" s="467" t="s">
        <v>6241</v>
      </c>
      <c r="F482" s="497" t="s">
        <v>6280</v>
      </c>
      <c r="G482" s="498">
        <v>2.0</v>
      </c>
      <c r="H482" s="497" t="s">
        <v>6243</v>
      </c>
      <c r="I482" s="497" t="s">
        <v>2715</v>
      </c>
      <c r="J482" s="497" t="s">
        <v>6281</v>
      </c>
      <c r="K482" s="497" t="s">
        <v>5754</v>
      </c>
      <c r="L482" s="498">
        <v>1.0</v>
      </c>
      <c r="M482" s="497" t="s">
        <v>5794</v>
      </c>
      <c r="N482" s="497" t="s">
        <v>6282</v>
      </c>
      <c r="O482" s="498">
        <v>196.0</v>
      </c>
      <c r="P482" s="497" t="s">
        <v>6283</v>
      </c>
      <c r="Q482" s="499"/>
      <c r="R482" s="500"/>
      <c r="S482" s="500"/>
      <c r="T482" s="500"/>
      <c r="U482" s="500"/>
      <c r="V482" s="500"/>
      <c r="W482" s="500"/>
      <c r="X482" s="500"/>
      <c r="Y482" s="500"/>
      <c r="Z482" s="500"/>
      <c r="AA482" s="500"/>
      <c r="AB482" s="500"/>
      <c r="AC482" s="500"/>
      <c r="AD482" s="500"/>
      <c r="AE482" s="497"/>
    </row>
    <row r="483">
      <c r="A483" s="501" t="s">
        <v>2209</v>
      </c>
      <c r="B483" s="518" t="str">
        <f>HYPERLINK("https://www.liputan6.com/bisnis/read/3969814/kementerian-pupr-resmikan-jembatan-ramah-lingkungan-di-solo","Liputan6")</f>
        <v>Liputan6</v>
      </c>
      <c r="C483" s="467" t="s">
        <v>5671</v>
      </c>
      <c r="D483" s="467" t="s">
        <v>5692</v>
      </c>
      <c r="E483" s="467" t="s">
        <v>5727</v>
      </c>
      <c r="F483" s="271" t="s">
        <v>5951</v>
      </c>
      <c r="G483" s="451"/>
      <c r="H483" s="451"/>
      <c r="I483" s="451"/>
      <c r="J483" s="451"/>
      <c r="K483" s="451"/>
      <c r="L483" s="451"/>
      <c r="M483" s="451"/>
      <c r="N483" s="451"/>
      <c r="O483" s="451"/>
      <c r="P483" s="451"/>
      <c r="Q483" s="451"/>
      <c r="R483" s="451"/>
      <c r="S483" s="451"/>
      <c r="T483" s="451"/>
      <c r="U483" s="451"/>
      <c r="V483" s="451"/>
      <c r="W483" s="451"/>
      <c r="X483" s="451"/>
      <c r="Y483" s="451"/>
      <c r="Z483" s="451"/>
      <c r="AA483" s="451"/>
      <c r="AB483" s="451"/>
      <c r="AC483" s="451"/>
      <c r="AD483" s="451"/>
    </row>
    <row r="484">
      <c r="A484" s="501" t="s">
        <v>4997</v>
      </c>
      <c r="B484" s="518" t="str">
        <f>HYPERLINK("https://news.okezone.com/read/2019/02/28/605/2024050/sinergi-pemerintah-hadapi-kerawanan-pemilu-serentak-2019","Okezone")</f>
        <v>Okezone</v>
      </c>
      <c r="C484" s="467" t="s">
        <v>5664</v>
      </c>
      <c r="D484" s="467" t="s">
        <v>5668</v>
      </c>
      <c r="E484" s="467" t="s">
        <v>5727</v>
      </c>
      <c r="F484" s="497" t="s">
        <v>6284</v>
      </c>
      <c r="G484" s="498">
        <v>2.0</v>
      </c>
      <c r="H484" s="497" t="s">
        <v>5728</v>
      </c>
      <c r="I484" s="497" t="s">
        <v>2709</v>
      </c>
      <c r="J484" s="497" t="s">
        <v>6285</v>
      </c>
      <c r="K484" s="497" t="s">
        <v>5754</v>
      </c>
      <c r="L484" s="498">
        <v>3.0</v>
      </c>
      <c r="M484" s="497" t="s">
        <v>5909</v>
      </c>
      <c r="N484" s="497" t="s">
        <v>6286</v>
      </c>
      <c r="O484" s="498">
        <v>580.0</v>
      </c>
      <c r="P484" s="497" t="s">
        <v>6287</v>
      </c>
      <c r="Q484" s="499"/>
      <c r="R484" s="500"/>
      <c r="S484" s="500"/>
      <c r="T484" s="500"/>
      <c r="U484" s="500"/>
      <c r="V484" s="500"/>
      <c r="W484" s="500"/>
      <c r="X484" s="500"/>
      <c r="Y484" s="500"/>
      <c r="Z484" s="500"/>
      <c r="AA484" s="500"/>
      <c r="AB484" s="500"/>
      <c r="AC484" s="500"/>
      <c r="AD484" s="500"/>
      <c r="AE484" s="497"/>
    </row>
    <row r="485">
      <c r="A485" s="501" t="s">
        <v>6288</v>
      </c>
      <c r="B485" s="518" t="str">
        <f>HYPERLINK("https://www.tribunnews.com/nasional/2019/05/01/update-kpu-hingga-1-mei-2019-tercatat-petugas-kpps-yang-meninggal-377-orang-dan-2912-sakit?page=4","Tribun")</f>
        <v>Tribun</v>
      </c>
      <c r="C485" s="467" t="s">
        <v>5657</v>
      </c>
      <c r="D485" s="467" t="s">
        <v>6289</v>
      </c>
      <c r="E485" s="467" t="s">
        <v>5727</v>
      </c>
      <c r="F485" s="497" t="s">
        <v>2200</v>
      </c>
      <c r="G485" s="498">
        <v>2.0</v>
      </c>
      <c r="H485" s="497" t="s">
        <v>5728</v>
      </c>
      <c r="I485" s="497" t="s">
        <v>2715</v>
      </c>
      <c r="J485" s="497" t="s">
        <v>6175</v>
      </c>
      <c r="K485" s="497" t="s">
        <v>5711</v>
      </c>
      <c r="L485" s="498">
        <v>5.0</v>
      </c>
      <c r="M485" s="497" t="s">
        <v>5763</v>
      </c>
      <c r="N485" s="497" t="s">
        <v>6290</v>
      </c>
      <c r="O485" s="498">
        <v>258.0</v>
      </c>
      <c r="P485" s="497" t="s">
        <v>6291</v>
      </c>
      <c r="Q485" s="499"/>
      <c r="R485" s="500"/>
      <c r="S485" s="500"/>
      <c r="T485" s="500"/>
      <c r="U485" s="500"/>
      <c r="V485" s="500"/>
      <c r="W485" s="500"/>
      <c r="X485" s="500"/>
      <c r="Y485" s="500"/>
      <c r="Z485" s="500"/>
      <c r="AA485" s="500"/>
      <c r="AB485" s="500"/>
      <c r="AC485" s="500"/>
      <c r="AD485" s="500"/>
      <c r="AE485" s="497"/>
    </row>
    <row r="486">
      <c r="A486" s="525" t="s">
        <v>6292</v>
      </c>
      <c r="B486" s="518" t="str">
        <f>HYPERLINK("https://www.suara.com/news/2019/05/09/010500/jokowi-maruf-kalah-telak-di-padang","Suara")</f>
        <v>Suara</v>
      </c>
      <c r="C486" s="467" t="s">
        <v>5664</v>
      </c>
      <c r="D486" s="467" t="s">
        <v>5692</v>
      </c>
      <c r="E486" s="467" t="s">
        <v>5727</v>
      </c>
      <c r="F486" s="497" t="s">
        <v>2204</v>
      </c>
      <c r="G486" s="498">
        <v>2.0</v>
      </c>
      <c r="H486" s="497" t="s">
        <v>5728</v>
      </c>
      <c r="I486" s="497" t="s">
        <v>2698</v>
      </c>
      <c r="J486" s="497" t="s">
        <v>6293</v>
      </c>
      <c r="K486" s="497" t="s">
        <v>5754</v>
      </c>
      <c r="L486" s="498">
        <v>5.0</v>
      </c>
      <c r="M486" s="497" t="s">
        <v>5790</v>
      </c>
      <c r="N486" s="497" t="s">
        <v>6294</v>
      </c>
      <c r="O486" s="498">
        <v>256.0</v>
      </c>
      <c r="P486" s="497" t="s">
        <v>6295</v>
      </c>
      <c r="Q486" s="499"/>
      <c r="R486" s="500"/>
      <c r="S486" s="500"/>
      <c r="T486" s="500"/>
      <c r="U486" s="500"/>
      <c r="V486" s="500"/>
      <c r="W486" s="500"/>
      <c r="X486" s="500"/>
      <c r="Y486" s="500"/>
      <c r="Z486" s="500"/>
      <c r="AA486" s="500"/>
      <c r="AB486" s="500"/>
      <c r="AC486" s="500"/>
      <c r="AD486" s="500"/>
      <c r="AE486" s="497"/>
    </row>
    <row r="487">
      <c r="A487" s="525" t="s">
        <v>2207</v>
      </c>
      <c r="B487" s="518" t="str">
        <f>HYPERLINK("https://www.cnnindonesia.com/nasional/20190518010415-32-395940/moeldoko-sebut-tuntutan-kubu-prabowo-mirip-pilpres-2014","CNN")</f>
        <v>CNN</v>
      </c>
      <c r="C487" s="467" t="s">
        <v>5670</v>
      </c>
      <c r="D487" s="467" t="s">
        <v>5692</v>
      </c>
      <c r="E487" s="467" t="s">
        <v>5727</v>
      </c>
      <c r="F487" s="271" t="s">
        <v>5951</v>
      </c>
      <c r="G487" s="451"/>
      <c r="H487" s="451"/>
      <c r="I487" s="451"/>
      <c r="J487" s="451"/>
      <c r="K487" s="451"/>
      <c r="L487" s="451"/>
      <c r="M487" s="451"/>
      <c r="N487" s="451"/>
      <c r="O487" s="451"/>
      <c r="P487" s="451"/>
      <c r="Q487" s="451"/>
      <c r="R487" s="451"/>
      <c r="S487" s="451"/>
      <c r="T487" s="451"/>
      <c r="U487" s="451"/>
      <c r="V487" s="451"/>
      <c r="W487" s="451"/>
      <c r="X487" s="451"/>
      <c r="Y487" s="451"/>
      <c r="Z487" s="451"/>
      <c r="AA487" s="451"/>
      <c r="AB487" s="451"/>
      <c r="AC487" s="451"/>
      <c r="AD487" s="451"/>
    </row>
    <row r="488">
      <c r="A488" s="525" t="s">
        <v>2211</v>
      </c>
      <c r="B488" s="518" t="str">
        <f>HYPERLINK("https://sports.okezone.com/read/2019/05/27/38/2060941/keberanian-lorenzo-berpindah-pindah-tim-di-motogp-diapresiasi-bigot","Okezone")</f>
        <v>Okezone</v>
      </c>
      <c r="C488" s="467" t="s">
        <v>5682</v>
      </c>
      <c r="D488" s="467" t="s">
        <v>5692</v>
      </c>
      <c r="E488" s="467" t="s">
        <v>5727</v>
      </c>
      <c r="F488" s="271" t="s">
        <v>5951</v>
      </c>
      <c r="G488" s="451"/>
      <c r="H488" s="451"/>
      <c r="I488" s="451"/>
      <c r="J488" s="451"/>
      <c r="K488" s="451"/>
      <c r="L488" s="451"/>
      <c r="M488" s="451"/>
      <c r="N488" s="451"/>
      <c r="O488" s="451"/>
      <c r="P488" s="451"/>
      <c r="Q488" s="451"/>
      <c r="R488" s="451"/>
      <c r="S488" s="451"/>
      <c r="T488" s="451"/>
      <c r="U488" s="451"/>
      <c r="V488" s="451"/>
      <c r="W488" s="451"/>
      <c r="X488" s="451"/>
      <c r="Y488" s="451"/>
      <c r="Z488" s="451"/>
      <c r="AA488" s="451"/>
      <c r="AB488" s="451"/>
      <c r="AC488" s="451"/>
      <c r="AD488" s="451"/>
    </row>
    <row r="489">
      <c r="A489" s="525" t="s">
        <v>6296</v>
      </c>
      <c r="B489" s="518" t="str">
        <f>HYPERLINK("https://entertainment.kompas.com/read/2019/05/31/154342810/ferry-maryadi-mengaku-siapkan-thr-dengan-angka-fantastis","Kompas")</f>
        <v>Kompas</v>
      </c>
      <c r="C489" s="467" t="s">
        <v>5667</v>
      </c>
      <c r="D489" s="467" t="s">
        <v>5692</v>
      </c>
      <c r="E489" s="467" t="s">
        <v>5727</v>
      </c>
      <c r="F489" s="497" t="s">
        <v>2218</v>
      </c>
      <c r="G489" s="498">
        <v>2.0</v>
      </c>
      <c r="H489" s="497" t="s">
        <v>5728</v>
      </c>
      <c r="I489" s="497" t="s">
        <v>2724</v>
      </c>
      <c r="J489" s="497" t="s">
        <v>6297</v>
      </c>
      <c r="K489" s="497" t="s">
        <v>5734</v>
      </c>
      <c r="L489" s="498">
        <v>5.0</v>
      </c>
      <c r="M489" s="497" t="s">
        <v>5828</v>
      </c>
      <c r="N489" s="497" t="s">
        <v>6298</v>
      </c>
      <c r="O489" s="498">
        <v>235.0</v>
      </c>
      <c r="P489" s="497" t="s">
        <v>6299</v>
      </c>
      <c r="Q489" s="499"/>
      <c r="R489" s="500"/>
      <c r="S489" s="500"/>
      <c r="T489" s="500"/>
      <c r="U489" s="500"/>
      <c r="V489" s="500"/>
      <c r="W489" s="500"/>
      <c r="X489" s="500"/>
      <c r="Y489" s="500"/>
      <c r="Z489" s="500"/>
      <c r="AA489" s="500"/>
      <c r="AB489" s="500"/>
      <c r="AC489" s="500"/>
      <c r="AD489" s="500"/>
      <c r="AE489" s="497"/>
    </row>
    <row r="490">
      <c r="A490" s="525" t="s">
        <v>2220</v>
      </c>
      <c r="B490" s="518" t="str">
        <f>HYPERLINK("https://www.tribunnews.com/kesehatan/2019/05/31/ibu-rumah-tangga-gagal-diet-umumnya-karena-kebiasaan-ini","Tribun")</f>
        <v>Tribun</v>
      </c>
      <c r="C490" s="467" t="s">
        <v>5667</v>
      </c>
      <c r="D490" s="467" t="s">
        <v>5692</v>
      </c>
      <c r="E490" s="467" t="s">
        <v>5727</v>
      </c>
      <c r="F490" s="271" t="s">
        <v>5951</v>
      </c>
      <c r="G490" s="451"/>
      <c r="H490" s="451"/>
      <c r="I490" s="451"/>
      <c r="J490" s="451"/>
      <c r="K490" s="451"/>
      <c r="L490" s="451"/>
      <c r="M490" s="451"/>
      <c r="N490" s="451"/>
      <c r="O490" s="451"/>
      <c r="P490" s="451"/>
      <c r="Q490" s="451"/>
      <c r="R490" s="451"/>
      <c r="S490" s="451"/>
      <c r="T490" s="451"/>
      <c r="U490" s="451"/>
      <c r="V490" s="451"/>
      <c r="W490" s="451"/>
      <c r="X490" s="451"/>
      <c r="Y490" s="451"/>
      <c r="Z490" s="451"/>
      <c r="AA490" s="451"/>
      <c r="AB490" s="451"/>
      <c r="AC490" s="451"/>
      <c r="AD490" s="451"/>
    </row>
    <row r="491">
      <c r="A491" s="525" t="s">
        <v>6300</v>
      </c>
      <c r="B491" s="518" t="str">
        <f>HYPERLINK("https://www.tribunnews.com/regional/2019/06/01/tiket-pesawat-batam-jakarta-rp-11-juta-calon-penumpang-kebangetan","Tribun")</f>
        <v>Tribun</v>
      </c>
      <c r="C491" s="467" t="s">
        <v>5670</v>
      </c>
      <c r="D491" s="467" t="s">
        <v>5705</v>
      </c>
      <c r="E491" s="467" t="s">
        <v>5727</v>
      </c>
      <c r="F491" s="497" t="s">
        <v>2221</v>
      </c>
      <c r="G491" s="498">
        <v>2.0</v>
      </c>
      <c r="H491" s="497" t="s">
        <v>5728</v>
      </c>
      <c r="I491" s="497" t="s">
        <v>2715</v>
      </c>
      <c r="J491" s="497" t="s">
        <v>5962</v>
      </c>
      <c r="K491" s="497" t="s">
        <v>5786</v>
      </c>
      <c r="L491" s="498">
        <v>6.0</v>
      </c>
      <c r="M491" s="497" t="s">
        <v>6080</v>
      </c>
      <c r="N491" s="497" t="s">
        <v>6301</v>
      </c>
      <c r="O491" s="498">
        <v>182.0</v>
      </c>
      <c r="P491" s="497" t="s">
        <v>6302</v>
      </c>
      <c r="Q491" s="499"/>
      <c r="R491" s="500"/>
      <c r="S491" s="500"/>
      <c r="T491" s="500"/>
      <c r="U491" s="500"/>
      <c r="V491" s="500"/>
      <c r="W491" s="500"/>
      <c r="X491" s="500"/>
      <c r="Y491" s="500"/>
      <c r="Z491" s="500"/>
      <c r="AA491" s="500"/>
      <c r="AB491" s="500"/>
      <c r="AC491" s="500"/>
      <c r="AD491" s="500"/>
      <c r="AE491" s="497"/>
    </row>
    <row r="492">
      <c r="A492" s="501" t="s">
        <v>6303</v>
      </c>
      <c r="B492" s="518" t="str">
        <f>HYPERLINK("https://tekno.tempo.co/read/1213844/unair-prioritaskan-pendaftar-bidikmisi-dan-komitmen-khusus-sbmptn/full&amp;view=ok","Tempo.co")</f>
        <v>Tempo.co</v>
      </c>
      <c r="C492" s="467" t="s">
        <v>5657</v>
      </c>
      <c r="D492" s="467" t="s">
        <v>5705</v>
      </c>
      <c r="E492" s="467" t="s">
        <v>5727</v>
      </c>
      <c r="F492" s="497" t="s">
        <v>2231</v>
      </c>
      <c r="G492" s="498">
        <v>2.0</v>
      </c>
      <c r="H492" s="497" t="s">
        <v>5728</v>
      </c>
      <c r="I492" s="497" t="s">
        <v>2702</v>
      </c>
      <c r="J492" s="497" t="s">
        <v>6304</v>
      </c>
      <c r="K492" s="497" t="s">
        <v>5711</v>
      </c>
      <c r="L492" s="498">
        <v>6.0</v>
      </c>
      <c r="M492" s="497" t="s">
        <v>6305</v>
      </c>
      <c r="N492" s="497" t="s">
        <v>6306</v>
      </c>
      <c r="O492" s="498">
        <v>275.0</v>
      </c>
      <c r="P492" s="497" t="s">
        <v>6307</v>
      </c>
      <c r="Q492" s="499"/>
      <c r="R492" s="500"/>
      <c r="S492" s="500"/>
      <c r="T492" s="500"/>
      <c r="U492" s="500"/>
      <c r="V492" s="500"/>
      <c r="W492" s="500"/>
      <c r="X492" s="500"/>
      <c r="Y492" s="500"/>
      <c r="Z492" s="500"/>
      <c r="AA492" s="500"/>
      <c r="AB492" s="500"/>
      <c r="AC492" s="500"/>
      <c r="AD492" s="500"/>
      <c r="AE492" s="497"/>
    </row>
    <row r="493">
      <c r="A493" s="525" t="s">
        <v>2233</v>
      </c>
      <c r="B493" s="518" t="str">
        <f>HYPERLINK("https://www.tribunnews.com/seleb/2019/06/18/cium-putrinya-di-tempat-umum-david-beckham-kembali-tuai-kontroversi","Tribun")</f>
        <v>Tribun</v>
      </c>
      <c r="C493" s="467" t="s">
        <v>5681</v>
      </c>
      <c r="D493" s="467" t="s">
        <v>5705</v>
      </c>
      <c r="E493" s="467" t="s">
        <v>5727</v>
      </c>
      <c r="F493" s="271" t="s">
        <v>5951</v>
      </c>
      <c r="G493" s="451"/>
      <c r="H493" s="451"/>
      <c r="I493" s="451"/>
      <c r="J493" s="451"/>
      <c r="K493" s="451"/>
      <c r="L493" s="451"/>
      <c r="M493" s="451"/>
      <c r="N493" s="451"/>
      <c r="O493" s="451"/>
      <c r="P493" s="451"/>
      <c r="Q493" s="451"/>
      <c r="R493" s="451"/>
      <c r="S493" s="451"/>
      <c r="T493" s="451"/>
      <c r="U493" s="451"/>
      <c r="V493" s="451"/>
      <c r="W493" s="451"/>
      <c r="X493" s="451"/>
      <c r="Y493" s="451"/>
      <c r="Z493" s="451"/>
      <c r="AA493" s="451"/>
      <c r="AB493" s="451"/>
      <c r="AC493" s="451"/>
      <c r="AD493" s="451"/>
    </row>
    <row r="494">
      <c r="A494" s="525" t="s">
        <v>2234</v>
      </c>
      <c r="B494" s="518" t="str">
        <f>HYPERLINK("https://regional.kompas.com/read/2019/06/21/19115411/ridwan-kamil-80-persen-pinjaman-bank-dunia-untuk-atasi-sampah-bandung-raya","Kompas")</f>
        <v>Kompas</v>
      </c>
      <c r="C494" s="467" t="s">
        <v>5667</v>
      </c>
      <c r="D494" s="467" t="s">
        <v>5705</v>
      </c>
      <c r="E494" s="467" t="s">
        <v>5727</v>
      </c>
      <c r="F494" s="271" t="s">
        <v>6308</v>
      </c>
      <c r="G494" s="451"/>
      <c r="H494" s="451"/>
      <c r="I494" s="451"/>
      <c r="J494" s="451"/>
      <c r="K494" s="451"/>
      <c r="L494" s="451"/>
      <c r="M494" s="451"/>
      <c r="N494" s="451"/>
      <c r="O494" s="451"/>
      <c r="P494" s="451"/>
      <c r="Q494" s="451"/>
      <c r="R494" s="451"/>
      <c r="S494" s="451"/>
      <c r="T494" s="451"/>
      <c r="U494" s="451"/>
      <c r="V494" s="451"/>
      <c r="W494" s="451"/>
      <c r="X494" s="451"/>
      <c r="Y494" s="451"/>
      <c r="Z494" s="451"/>
      <c r="AA494" s="451"/>
      <c r="AB494" s="451"/>
      <c r="AC494" s="451"/>
      <c r="AD494" s="451"/>
    </row>
    <row r="495">
      <c r="A495" s="525" t="s">
        <v>6309</v>
      </c>
      <c r="B495" s="518" t="str">
        <f>HYPERLINK("https://metro.tempo.co/read/1217829/protes-imb-pulau-reklamasi-massa-anies-sama-dengan-ahok/full&amp;view=ok","Tempo.co")</f>
        <v>Tempo.co</v>
      </c>
      <c r="C495" s="467" t="s">
        <v>5682</v>
      </c>
      <c r="D495" s="467" t="s">
        <v>5705</v>
      </c>
      <c r="E495" s="467" t="s">
        <v>5727</v>
      </c>
      <c r="F495" s="497" t="s">
        <v>2239</v>
      </c>
      <c r="G495" s="498">
        <v>2.0</v>
      </c>
      <c r="H495" s="497" t="s">
        <v>5728</v>
      </c>
      <c r="I495" s="497" t="s">
        <v>2702</v>
      </c>
      <c r="J495" s="497" t="s">
        <v>1335</v>
      </c>
      <c r="K495" s="497" t="s">
        <v>5721</v>
      </c>
      <c r="L495" s="498">
        <v>6.0</v>
      </c>
      <c r="M495" s="497" t="s">
        <v>5835</v>
      </c>
      <c r="N495" s="497" t="s">
        <v>6310</v>
      </c>
      <c r="O495" s="498">
        <v>422.0</v>
      </c>
      <c r="P495" s="497" t="s">
        <v>6311</v>
      </c>
      <c r="Q495" s="499"/>
      <c r="R495" s="500"/>
      <c r="S495" s="500"/>
      <c r="T495" s="500"/>
      <c r="U495" s="500"/>
      <c r="V495" s="500"/>
      <c r="W495" s="500"/>
      <c r="X495" s="500"/>
      <c r="Y495" s="500"/>
      <c r="Z495" s="500"/>
      <c r="AA495" s="500"/>
      <c r="AB495" s="500"/>
      <c r="AC495" s="500"/>
      <c r="AD495" s="500"/>
      <c r="AE495" s="497"/>
    </row>
    <row r="496">
      <c r="A496" s="525" t="s">
        <v>2241</v>
      </c>
      <c r="B496" s="518" t="str">
        <f>HYPERLINK("https://republika.co.id/berita/kolom/wacana/ptmuip385/dadhanggula-blues-country-kisah-diponegoro-november-1828","Republika")</f>
        <v>Republika</v>
      </c>
      <c r="C496" s="467" t="s">
        <v>5681</v>
      </c>
      <c r="D496" s="467" t="s">
        <v>5705</v>
      </c>
      <c r="E496" s="467" t="s">
        <v>5727</v>
      </c>
      <c r="F496" s="271" t="s">
        <v>6308</v>
      </c>
      <c r="G496" s="451"/>
      <c r="H496" s="451"/>
      <c r="I496" s="451"/>
      <c r="J496" s="451"/>
      <c r="K496" s="451"/>
      <c r="L496" s="451"/>
      <c r="M496" s="451"/>
      <c r="N496" s="451"/>
      <c r="O496" s="451"/>
      <c r="P496" s="451"/>
      <c r="Q496" s="451"/>
      <c r="R496" s="451"/>
      <c r="S496" s="451"/>
      <c r="T496" s="451"/>
      <c r="U496" s="451"/>
      <c r="V496" s="451"/>
      <c r="W496" s="451"/>
      <c r="X496" s="451"/>
      <c r="Y496" s="451"/>
      <c r="Z496" s="451"/>
      <c r="AA496" s="451"/>
      <c r="AB496" s="451"/>
      <c r="AC496" s="451"/>
      <c r="AD496" s="451"/>
    </row>
    <row r="497">
      <c r="A497" s="525" t="s">
        <v>2242</v>
      </c>
      <c r="B497" s="518" t="str">
        <f>HYPERLINK("https://sports.okezone.com/read/2019/06/28/38/2072035/lorenzo-lepas-dari-hukuman-vinales-kesal","Okezone")</f>
        <v>Okezone</v>
      </c>
      <c r="C497" s="467" t="s">
        <v>5667</v>
      </c>
      <c r="D497" s="467" t="s">
        <v>5705</v>
      </c>
      <c r="E497" s="467" t="s">
        <v>5727</v>
      </c>
      <c r="F497" s="271" t="s">
        <v>6308</v>
      </c>
      <c r="G497" s="451"/>
      <c r="H497" s="451"/>
      <c r="I497" s="451"/>
      <c r="J497" s="451"/>
      <c r="K497" s="451"/>
      <c r="L497" s="451"/>
      <c r="M497" s="451"/>
      <c r="N497" s="451"/>
      <c r="O497" s="451"/>
      <c r="P497" s="451"/>
      <c r="Q497" s="451"/>
      <c r="R497" s="451"/>
      <c r="S497" s="451"/>
      <c r="T497" s="451"/>
      <c r="U497" s="451"/>
      <c r="V497" s="451"/>
      <c r="W497" s="451"/>
      <c r="X497" s="451"/>
      <c r="Y497" s="451"/>
      <c r="Z497" s="451"/>
      <c r="AA497" s="451"/>
      <c r="AB497" s="451"/>
      <c r="AC497" s="451"/>
      <c r="AD497" s="451"/>
    </row>
    <row r="498">
      <c r="A498" s="525" t="s">
        <v>2243</v>
      </c>
      <c r="B498" s="518" t="str">
        <f>HYPERLINK("https://www.cnnindonesia.com/ekonomi/20190704174436-92-409203/perluas-pasar-indonesian-tobacco-akan-gandeng-india","CNN")</f>
        <v>CNN</v>
      </c>
      <c r="C498" s="467" t="s">
        <v>5667</v>
      </c>
      <c r="D498" s="467" t="s">
        <v>5716</v>
      </c>
      <c r="E498" s="467" t="s">
        <v>5727</v>
      </c>
      <c r="F498" s="271" t="s">
        <v>6308</v>
      </c>
      <c r="G498" s="451"/>
      <c r="H498" s="451"/>
      <c r="I498" s="451"/>
      <c r="J498" s="451"/>
      <c r="K498" s="451"/>
      <c r="L498" s="451"/>
      <c r="M498" s="451"/>
      <c r="N498" s="451"/>
      <c r="O498" s="451"/>
      <c r="P498" s="451"/>
      <c r="Q498" s="451"/>
      <c r="R498" s="451"/>
      <c r="S498" s="451"/>
      <c r="T498" s="451"/>
      <c r="U498" s="451"/>
      <c r="V498" s="451"/>
      <c r="W498" s="451"/>
      <c r="X498" s="451"/>
      <c r="Y498" s="451"/>
      <c r="Z498" s="451"/>
      <c r="AA498" s="451"/>
      <c r="AB498" s="451"/>
      <c r="AC498" s="451"/>
      <c r="AD498" s="451"/>
    </row>
    <row r="499">
      <c r="A499" s="525" t="s">
        <v>6312</v>
      </c>
      <c r="B499" s="518" t="str">
        <f>HYPERLINK("https://sports.okezone.com/read/2019/07/17/43/2080325/api-asean-schools-games-disimpan-dalam-lampu-sentir","Okezone")</f>
        <v>Okezone</v>
      </c>
      <c r="C499" s="467" t="s">
        <v>5657</v>
      </c>
      <c r="D499" s="467" t="s">
        <v>5716</v>
      </c>
      <c r="E499" s="467" t="s">
        <v>5727</v>
      </c>
      <c r="F499" s="497" t="s">
        <v>2248</v>
      </c>
      <c r="G499" s="498">
        <v>2.0</v>
      </c>
      <c r="H499" s="497" t="s">
        <v>5728</v>
      </c>
      <c r="I499" s="497" t="s">
        <v>2709</v>
      </c>
      <c r="J499" s="497" t="s">
        <v>6313</v>
      </c>
      <c r="K499" s="497" t="s">
        <v>5711</v>
      </c>
      <c r="L499" s="498">
        <v>7.0</v>
      </c>
      <c r="M499" s="497" t="s">
        <v>5893</v>
      </c>
      <c r="N499" s="497" t="s">
        <v>6314</v>
      </c>
      <c r="O499" s="498">
        <v>177.0</v>
      </c>
      <c r="P499" s="497" t="s">
        <v>6315</v>
      </c>
      <c r="Q499" s="499"/>
      <c r="R499" s="500"/>
      <c r="S499" s="500"/>
      <c r="T499" s="500"/>
      <c r="U499" s="500"/>
      <c r="V499" s="500"/>
      <c r="W499" s="500"/>
      <c r="X499" s="500"/>
      <c r="Y499" s="500"/>
      <c r="Z499" s="500"/>
      <c r="AA499" s="500"/>
      <c r="AB499" s="500"/>
      <c r="AC499" s="500"/>
      <c r="AD499" s="500"/>
      <c r="AE499" s="497"/>
    </row>
    <row r="500">
      <c r="A500" s="525" t="s">
        <v>2251</v>
      </c>
      <c r="B500" s="518" t="str">
        <f>HYPERLINK("https://www.liputan6.com/showbiz/read/4016168/sukses-di-yogyakarta-konser-jikustik-reunian-digelar-di-jakarta-jumat-malam-ini","Liputan6")</f>
        <v>Liputan6</v>
      </c>
      <c r="C500" s="467" t="s">
        <v>5667</v>
      </c>
      <c r="D500" s="467" t="s">
        <v>5716</v>
      </c>
      <c r="E500" s="467" t="s">
        <v>5727</v>
      </c>
      <c r="F500" s="271" t="s">
        <v>6308</v>
      </c>
      <c r="G500" s="451"/>
      <c r="H500" s="451"/>
      <c r="I500" s="451"/>
      <c r="J500" s="451"/>
      <c r="K500" s="451"/>
      <c r="L500" s="451"/>
      <c r="M500" s="451"/>
      <c r="N500" s="451"/>
      <c r="O500" s="451"/>
      <c r="P500" s="451"/>
      <c r="Q500" s="451"/>
      <c r="R500" s="451"/>
      <c r="S500" s="451"/>
      <c r="T500" s="451"/>
      <c r="U500" s="451"/>
      <c r="V500" s="451"/>
      <c r="W500" s="451"/>
      <c r="X500" s="451"/>
      <c r="Y500" s="451"/>
      <c r="Z500" s="451"/>
      <c r="AA500" s="451"/>
      <c r="AB500" s="451"/>
      <c r="AC500" s="451"/>
      <c r="AD500" s="451"/>
    </row>
    <row r="501">
      <c r="A501" s="525" t="s">
        <v>6316</v>
      </c>
      <c r="B501" s="518" t="str">
        <f>HYPERLINK("https://www.cnnindonesia.com/nasional/20190720123454-20-413890/tabrakan-pikap-vs-minibus-di-cipali-lima-orang-tewas","CNN")</f>
        <v>CNN</v>
      </c>
      <c r="C501" s="467" t="s">
        <v>5670</v>
      </c>
      <c r="D501" s="467" t="s">
        <v>5716</v>
      </c>
      <c r="E501" s="467" t="s">
        <v>5727</v>
      </c>
      <c r="F501" s="497" t="s">
        <v>2252</v>
      </c>
      <c r="G501" s="498">
        <v>2.0</v>
      </c>
      <c r="H501" s="497" t="s">
        <v>5728</v>
      </c>
      <c r="I501" s="497" t="s">
        <v>2695</v>
      </c>
      <c r="J501" s="497" t="s">
        <v>6189</v>
      </c>
      <c r="K501" s="497" t="s">
        <v>5786</v>
      </c>
      <c r="L501" s="498">
        <v>7.0</v>
      </c>
      <c r="M501" s="497" t="s">
        <v>6317</v>
      </c>
      <c r="N501" s="497" t="s">
        <v>6318</v>
      </c>
      <c r="O501" s="498">
        <v>446.0</v>
      </c>
      <c r="P501" s="497" t="s">
        <v>6319</v>
      </c>
      <c r="Q501" s="500"/>
      <c r="R501" s="500"/>
      <c r="S501" s="500"/>
      <c r="T501" s="500"/>
      <c r="U501" s="500"/>
      <c r="V501" s="500"/>
      <c r="W501" s="500"/>
      <c r="X501" s="500"/>
      <c r="Y501" s="500"/>
      <c r="Z501" s="500"/>
      <c r="AA501" s="500"/>
      <c r="AB501" s="500"/>
      <c r="AC501" s="500"/>
      <c r="AD501" s="500"/>
      <c r="AE501" s="497"/>
    </row>
    <row r="502">
      <c r="A502" s="525" t="s">
        <v>6320</v>
      </c>
      <c r="B502" s="518" t="str">
        <f>HYPERLINK("https://tirto.id/justice-ep-7-8-kbs2-woo-yong-jang-entertainment-punya-hubungan-ee2t","Tirto")</f>
        <v>Tirto</v>
      </c>
      <c r="C502" s="467" t="s">
        <v>5664</v>
      </c>
      <c r="D502" s="467" t="s">
        <v>5716</v>
      </c>
      <c r="E502" s="467" t="s">
        <v>5727</v>
      </c>
      <c r="F502" s="497" t="s">
        <v>2257</v>
      </c>
      <c r="G502" s="498">
        <v>2.0</v>
      </c>
      <c r="H502" s="497" t="s">
        <v>5728</v>
      </c>
      <c r="I502" s="497" t="s">
        <v>2704</v>
      </c>
      <c r="J502" s="497" t="s">
        <v>6321</v>
      </c>
      <c r="K502" s="497" t="s">
        <v>5754</v>
      </c>
      <c r="L502" s="498">
        <v>7.0</v>
      </c>
      <c r="M502" s="497" t="s">
        <v>6322</v>
      </c>
      <c r="N502" s="497" t="s">
        <v>6323</v>
      </c>
      <c r="O502" s="498">
        <v>972.0</v>
      </c>
      <c r="P502" s="497" t="s">
        <v>6324</v>
      </c>
      <c r="Q502" s="499"/>
      <c r="R502" s="500"/>
      <c r="S502" s="500"/>
      <c r="T502" s="500"/>
      <c r="U502" s="500"/>
      <c r="V502" s="500"/>
      <c r="W502" s="500"/>
      <c r="X502" s="500"/>
      <c r="Y502" s="500"/>
      <c r="Z502" s="500"/>
      <c r="AA502" s="500"/>
      <c r="AB502" s="500"/>
      <c r="AC502" s="500"/>
      <c r="AD502" s="500"/>
      <c r="AE502" s="497"/>
    </row>
    <row r="503">
      <c r="A503" s="525" t="s">
        <v>6325</v>
      </c>
      <c r="B503" s="518" t="str">
        <f>HYPERLINK("https://news.detik.com/dw/d-4640891/mengapa-gelombang-panas-hambat-perhubungan-dan-transportasi-di-eropa","Detik")</f>
        <v>Detik</v>
      </c>
      <c r="C503" s="467" t="s">
        <v>5667</v>
      </c>
      <c r="D503" s="467" t="s">
        <v>5716</v>
      </c>
      <c r="E503" s="467" t="s">
        <v>5727</v>
      </c>
      <c r="F503" s="497" t="s">
        <v>2259</v>
      </c>
      <c r="G503" s="498">
        <v>2.0</v>
      </c>
      <c r="H503" s="497" t="s">
        <v>5728</v>
      </c>
      <c r="I503" s="497" t="s">
        <v>2740</v>
      </c>
      <c r="J503" s="497" t="s">
        <v>6326</v>
      </c>
      <c r="K503" s="497" t="s">
        <v>5734</v>
      </c>
      <c r="L503" s="498">
        <v>7.0</v>
      </c>
      <c r="M503" s="497" t="s">
        <v>5712</v>
      </c>
      <c r="N503" s="497" t="s">
        <v>6327</v>
      </c>
      <c r="O503" s="498">
        <v>480.0</v>
      </c>
      <c r="P503" s="497" t="s">
        <v>6328</v>
      </c>
      <c r="Q503" s="500"/>
      <c r="R503" s="500"/>
      <c r="S503" s="500"/>
      <c r="T503" s="500"/>
      <c r="U503" s="500"/>
      <c r="V503" s="500"/>
      <c r="W503" s="500"/>
      <c r="X503" s="500"/>
      <c r="Y503" s="500"/>
      <c r="Z503" s="500"/>
      <c r="AA503" s="500"/>
      <c r="AB503" s="500"/>
      <c r="AC503" s="500"/>
      <c r="AD503" s="500"/>
      <c r="AE503" s="497"/>
    </row>
    <row r="504">
      <c r="A504" s="525" t="s">
        <v>6329</v>
      </c>
      <c r="B504" s="518" t="str">
        <f>HYPERLINK("https://sport.tempo.co/read/1229045/amerika-serikat-dominasi-kejuaraan-dunia-renang-di-korea-selatan/full&amp;view=ok","Tempo.co")</f>
        <v>Tempo.co</v>
      </c>
      <c r="C504" s="467" t="s">
        <v>5670</v>
      </c>
      <c r="D504" s="467" t="s">
        <v>5716</v>
      </c>
      <c r="E504" s="467" t="s">
        <v>5727</v>
      </c>
      <c r="F504" s="497" t="s">
        <v>2261</v>
      </c>
      <c r="G504" s="498">
        <v>2.0</v>
      </c>
      <c r="H504" s="497" t="s">
        <v>5728</v>
      </c>
      <c r="I504" s="497" t="s">
        <v>2702</v>
      </c>
      <c r="J504" s="497" t="s">
        <v>6330</v>
      </c>
      <c r="K504" s="497" t="s">
        <v>5786</v>
      </c>
      <c r="L504" s="498">
        <v>7.0</v>
      </c>
      <c r="M504" s="497" t="s">
        <v>5835</v>
      </c>
      <c r="N504" s="497" t="s">
        <v>6331</v>
      </c>
      <c r="O504" s="498">
        <v>227.0</v>
      </c>
      <c r="P504" s="497" t="s">
        <v>6332</v>
      </c>
      <c r="Q504" s="499"/>
      <c r="R504" s="500"/>
      <c r="S504" s="500"/>
      <c r="T504" s="500"/>
      <c r="U504" s="500"/>
      <c r="V504" s="500"/>
      <c r="W504" s="500"/>
      <c r="X504" s="500"/>
      <c r="Y504" s="500"/>
      <c r="Z504" s="500"/>
      <c r="AA504" s="500"/>
      <c r="AB504" s="500"/>
      <c r="AC504" s="500"/>
      <c r="AD504" s="500"/>
      <c r="AE504" s="497"/>
    </row>
    <row r="505">
      <c r="A505" s="525" t="s">
        <v>2263</v>
      </c>
      <c r="B505" s="518" t="str">
        <f>HYPERLINK("https://www.suara.com/news/2019/07/30/110631/praperadilan-kivlan-zein-ditolak","Suara")</f>
        <v>Suara</v>
      </c>
      <c r="C505" s="467" t="s">
        <v>5681</v>
      </c>
      <c r="D505" s="467" t="s">
        <v>5716</v>
      </c>
      <c r="E505" s="467" t="s">
        <v>5727</v>
      </c>
      <c r="F505" s="271" t="s">
        <v>6308</v>
      </c>
      <c r="G505" s="451"/>
      <c r="H505" s="451"/>
      <c r="I505" s="451"/>
      <c r="J505" s="451"/>
      <c r="K505" s="451"/>
      <c r="L505" s="451"/>
      <c r="M505" s="451"/>
      <c r="N505" s="451"/>
      <c r="O505" s="451"/>
      <c r="P505" s="451"/>
      <c r="Q505" s="451"/>
      <c r="R505" s="451"/>
      <c r="S505" s="451"/>
      <c r="T505" s="451"/>
      <c r="U505" s="451"/>
      <c r="V505" s="451"/>
      <c r="W505" s="451"/>
      <c r="X505" s="451"/>
      <c r="Y505" s="451"/>
      <c r="Z505" s="451"/>
      <c r="AA505" s="451"/>
      <c r="AB505" s="451"/>
      <c r="AC505" s="451"/>
      <c r="AD505" s="451"/>
    </row>
    <row r="506">
      <c r="A506" s="525" t="s">
        <v>2270</v>
      </c>
      <c r="B506" s="518" t="str">
        <f>HYPERLINK("https://tirto.id/i-wanna-hear-your-song-school-2017-dan-drama-lain-kim-sejeong-efPm","Tirto")</f>
        <v>Tirto</v>
      </c>
      <c r="C506" s="467" t="s">
        <v>5657</v>
      </c>
      <c r="D506" s="467" t="s">
        <v>5719</v>
      </c>
      <c r="E506" s="467" t="s">
        <v>5727</v>
      </c>
      <c r="F506" s="271" t="s">
        <v>6308</v>
      </c>
      <c r="G506" s="451"/>
      <c r="H506" s="451"/>
      <c r="I506" s="451"/>
      <c r="J506" s="451"/>
      <c r="K506" s="451"/>
      <c r="L506" s="451"/>
      <c r="M506" s="451"/>
      <c r="N506" s="451"/>
      <c r="O506" s="451"/>
      <c r="P506" s="451"/>
      <c r="Q506" s="451"/>
      <c r="R506" s="451"/>
      <c r="S506" s="451"/>
      <c r="T506" s="451"/>
      <c r="U506" s="451"/>
      <c r="V506" s="451"/>
      <c r="W506" s="451"/>
      <c r="X506" s="451"/>
      <c r="Y506" s="451"/>
      <c r="Z506" s="451"/>
      <c r="AA506" s="451"/>
      <c r="AB506" s="451"/>
      <c r="AC506" s="451"/>
      <c r="AD506" s="451"/>
    </row>
    <row r="507">
      <c r="A507" s="525" t="s">
        <v>2275</v>
      </c>
      <c r="B507" s="518" t="str">
        <f>HYPERLINK("https://news.detik.com/berita/d-4662341/karnaval-17-agustus-2019-ini-5-tema-kostum-yang-bisa-jadi-pilihan","Detik")</f>
        <v>Detik</v>
      </c>
      <c r="C507" s="467" t="s">
        <v>5682</v>
      </c>
      <c r="D507" s="467" t="s">
        <v>5719</v>
      </c>
      <c r="E507" s="467" t="s">
        <v>5727</v>
      </c>
      <c r="F507" s="271" t="s">
        <v>6308</v>
      </c>
      <c r="G507" s="451"/>
      <c r="H507" s="451"/>
      <c r="I507" s="451"/>
      <c r="J507" s="451"/>
      <c r="K507" s="451"/>
      <c r="L507" s="451"/>
      <c r="M507" s="451"/>
      <c r="N507" s="451"/>
      <c r="O507" s="451"/>
      <c r="P507" s="451"/>
      <c r="Q507" s="451"/>
      <c r="R507" s="451"/>
      <c r="S507" s="451"/>
      <c r="T507" s="451"/>
      <c r="U507" s="451"/>
      <c r="V507" s="451"/>
      <c r="W507" s="451"/>
      <c r="X507" s="451"/>
      <c r="Y507" s="451"/>
      <c r="Z507" s="451"/>
      <c r="AA507" s="451"/>
      <c r="AB507" s="451"/>
      <c r="AC507" s="451"/>
      <c r="AD507" s="451"/>
    </row>
    <row r="508">
      <c r="A508" s="525" t="s">
        <v>6333</v>
      </c>
      <c r="B508" s="518" t="str">
        <f>HYPERLINK("https://gayahidup.republika.co.id/berita/pw5n0d16000/mencapai-triliunan-rupiah-ini-dia-deretan-film-dengan-biaya-produksi-termahal-di-dunia","Republika")</f>
        <v>Republika</v>
      </c>
      <c r="C508" s="467" t="s">
        <v>5681</v>
      </c>
      <c r="D508" s="467" t="s">
        <v>5719</v>
      </c>
      <c r="E508" s="467" t="s">
        <v>5727</v>
      </c>
      <c r="F508" s="497" t="s">
        <v>2276</v>
      </c>
      <c r="G508" s="498">
        <v>2.0</v>
      </c>
      <c r="H508" s="497" t="s">
        <v>5728</v>
      </c>
      <c r="I508" s="497" t="s">
        <v>2707</v>
      </c>
      <c r="J508" s="497" t="s">
        <v>6139</v>
      </c>
      <c r="K508" s="497" t="s">
        <v>5750</v>
      </c>
      <c r="L508" s="498">
        <v>8.0</v>
      </c>
      <c r="M508" s="497" t="s">
        <v>6334</v>
      </c>
      <c r="N508" s="497" t="s">
        <v>6335</v>
      </c>
      <c r="O508" s="498">
        <v>342.0</v>
      </c>
      <c r="P508" s="497" t="s">
        <v>6336</v>
      </c>
      <c r="Q508" s="499"/>
      <c r="R508" s="500"/>
      <c r="S508" s="500"/>
      <c r="T508" s="500"/>
      <c r="U508" s="500"/>
      <c r="V508" s="500"/>
      <c r="W508" s="500"/>
      <c r="X508" s="500"/>
      <c r="Y508" s="500"/>
      <c r="Z508" s="500"/>
      <c r="AA508" s="500"/>
      <c r="AB508" s="500"/>
      <c r="AC508" s="500"/>
      <c r="AD508" s="500"/>
      <c r="AE508" s="497"/>
    </row>
    <row r="509">
      <c r="A509" s="525" t="s">
        <v>2278</v>
      </c>
      <c r="B509" s="518" t="str">
        <f>HYPERLINK("https://celebrity.okezone.com/read/2019/08/18/205/2093582/gebrak-panggung-nyalakanindonesia-ran-ajak-penonton-bernyanyi?page=2","Okezone")</f>
        <v>Okezone</v>
      </c>
      <c r="C509" s="467" t="s">
        <v>5671</v>
      </c>
      <c r="D509" s="467" t="s">
        <v>5719</v>
      </c>
      <c r="E509" s="467" t="s">
        <v>5727</v>
      </c>
      <c r="F509" s="271" t="s">
        <v>6308</v>
      </c>
      <c r="G509" s="451"/>
      <c r="H509" s="451"/>
      <c r="I509" s="451"/>
      <c r="J509" s="451"/>
      <c r="K509" s="451"/>
      <c r="L509" s="451"/>
      <c r="M509" s="451"/>
      <c r="N509" s="451"/>
      <c r="O509" s="451"/>
      <c r="P509" s="451"/>
      <c r="Q509" s="451"/>
      <c r="R509" s="451"/>
      <c r="S509" s="451"/>
      <c r="T509" s="451"/>
      <c r="U509" s="451"/>
      <c r="V509" s="451"/>
      <c r="W509" s="451"/>
      <c r="X509" s="451"/>
      <c r="Y509" s="451"/>
      <c r="Z509" s="451"/>
      <c r="AA509" s="451"/>
      <c r="AB509" s="451"/>
      <c r="AC509" s="451"/>
      <c r="AD509" s="451"/>
    </row>
    <row r="510">
      <c r="A510" s="525" t="s">
        <v>6337</v>
      </c>
      <c r="B510" s="518" t="str">
        <f>HYPERLINK("https://www.suara.com/entertainment/2019/08/18/195906/usai-gundala-ini-7-film-superhero-asli-indonesia-yang-bakal-digarap","Suara")</f>
        <v>Suara</v>
      </c>
      <c r="C510" s="467" t="s">
        <v>5671</v>
      </c>
      <c r="D510" s="467" t="s">
        <v>5719</v>
      </c>
      <c r="E510" s="467" t="s">
        <v>5727</v>
      </c>
      <c r="F510" s="497" t="s">
        <v>2279</v>
      </c>
      <c r="G510" s="498">
        <v>2.0</v>
      </c>
      <c r="H510" s="497" t="s">
        <v>5728</v>
      </c>
      <c r="I510" s="497" t="s">
        <v>2698</v>
      </c>
      <c r="J510" s="497" t="s">
        <v>6219</v>
      </c>
      <c r="K510" s="497" t="s">
        <v>5729</v>
      </c>
      <c r="L510" s="498">
        <v>8.0</v>
      </c>
      <c r="M510" s="497" t="s">
        <v>5763</v>
      </c>
      <c r="N510" s="497" t="s">
        <v>6338</v>
      </c>
      <c r="O510" s="498">
        <v>435.0</v>
      </c>
      <c r="P510" s="497" t="s">
        <v>6339</v>
      </c>
      <c r="Q510" s="499"/>
      <c r="R510" s="500"/>
      <c r="S510" s="500"/>
      <c r="T510" s="500"/>
      <c r="U510" s="500"/>
      <c r="V510" s="500"/>
      <c r="W510" s="500"/>
      <c r="X510" s="500"/>
      <c r="Y510" s="500"/>
      <c r="Z510" s="500"/>
      <c r="AA510" s="500"/>
      <c r="AB510" s="500"/>
      <c r="AC510" s="500"/>
      <c r="AD510" s="500"/>
      <c r="AE510" s="497"/>
    </row>
    <row r="511">
      <c r="A511" s="525" t="s">
        <v>6340</v>
      </c>
      <c r="B511" s="518" t="str">
        <f>HYPERLINK("https://hot.liputan6.com/read/4041098/7-kelakuan-absurd-saat-orang-gabut-ini-bikin-tepuk-jidat","Liputan6")</f>
        <v>Liputan6</v>
      </c>
      <c r="C511" s="467" t="s">
        <v>5682</v>
      </c>
      <c r="D511" s="467" t="s">
        <v>5719</v>
      </c>
      <c r="E511" s="467" t="s">
        <v>5727</v>
      </c>
      <c r="F511" s="497" t="s">
        <v>2281</v>
      </c>
      <c r="G511" s="498">
        <v>2.0</v>
      </c>
      <c r="H511" s="497" t="s">
        <v>5728</v>
      </c>
      <c r="I511" s="497" t="s">
        <v>2692</v>
      </c>
      <c r="J511" s="497" t="s">
        <v>6223</v>
      </c>
      <c r="K511" s="497" t="s">
        <v>5721</v>
      </c>
      <c r="L511" s="498">
        <v>8.0</v>
      </c>
      <c r="M511" s="497" t="s">
        <v>5763</v>
      </c>
      <c r="N511" s="497" t="s">
        <v>6341</v>
      </c>
      <c r="O511" s="498">
        <v>1162.0</v>
      </c>
      <c r="P511" s="497" t="s">
        <v>6342</v>
      </c>
      <c r="Q511" s="499"/>
      <c r="R511" s="500"/>
      <c r="S511" s="500"/>
      <c r="T511" s="500"/>
      <c r="U511" s="500"/>
      <c r="V511" s="500"/>
      <c r="W511" s="500"/>
      <c r="X511" s="500"/>
      <c r="Y511" s="500"/>
      <c r="Z511" s="500"/>
      <c r="AA511" s="500"/>
      <c r="AB511" s="500"/>
      <c r="AC511" s="500"/>
      <c r="AD511" s="500"/>
      <c r="AE511" s="497"/>
    </row>
    <row r="512">
      <c r="A512" s="525" t="s">
        <v>6343</v>
      </c>
      <c r="B512" s="518" t="str">
        <f>HYPERLINK("https://www.liputan6.com/showbiz/read/4046469/apa-kata-tom-holland-soal-spider-man-keluar-dari-mcu","Liputan6")</f>
        <v>Liputan6</v>
      </c>
      <c r="C512" s="467" t="s">
        <v>5670</v>
      </c>
      <c r="D512" s="467" t="s">
        <v>5719</v>
      </c>
      <c r="E512" s="467" t="s">
        <v>5727</v>
      </c>
      <c r="F512" s="497" t="s">
        <v>2285</v>
      </c>
      <c r="G512" s="498">
        <v>2.0</v>
      </c>
      <c r="H512" s="497" t="s">
        <v>5728</v>
      </c>
      <c r="I512" s="497" t="s">
        <v>2692</v>
      </c>
      <c r="J512" s="497" t="s">
        <v>6344</v>
      </c>
      <c r="K512" s="497" t="s">
        <v>5786</v>
      </c>
      <c r="L512" s="498">
        <v>8.0</v>
      </c>
      <c r="M512" s="497" t="s">
        <v>5763</v>
      </c>
      <c r="N512" s="497" t="s">
        <v>6345</v>
      </c>
      <c r="O512" s="498">
        <v>383.0</v>
      </c>
      <c r="P512" s="497" t="s">
        <v>6346</v>
      </c>
      <c r="Q512" s="499"/>
      <c r="R512" s="500"/>
      <c r="S512" s="500"/>
      <c r="T512" s="500"/>
      <c r="U512" s="500"/>
      <c r="V512" s="500"/>
      <c r="W512" s="500"/>
      <c r="X512" s="500"/>
      <c r="Y512" s="500"/>
      <c r="Z512" s="500"/>
      <c r="AA512" s="500"/>
      <c r="AB512" s="500"/>
      <c r="AC512" s="500"/>
      <c r="AD512" s="500"/>
      <c r="AE512" s="497"/>
    </row>
    <row r="513">
      <c r="A513" s="525" t="s">
        <v>6347</v>
      </c>
      <c r="B513" s="518" t="str">
        <f>HYPERLINK("https://tirto.id/daftar-film-indonesia-rilis-september-danur-3-hingga-warkop-dki-ehjl","Tirto")</f>
        <v>Tirto</v>
      </c>
      <c r="C513" s="467" t="s">
        <v>5670</v>
      </c>
      <c r="D513" s="467" t="s">
        <v>5719</v>
      </c>
      <c r="E513" s="467" t="s">
        <v>5727</v>
      </c>
      <c r="F513" s="497" t="s">
        <v>2287</v>
      </c>
      <c r="G513" s="498">
        <v>2.0</v>
      </c>
      <c r="H513" s="497" t="s">
        <v>5728</v>
      </c>
      <c r="I513" s="497" t="s">
        <v>2704</v>
      </c>
      <c r="J513" s="497" t="s">
        <v>6348</v>
      </c>
      <c r="K513" s="497" t="s">
        <v>5786</v>
      </c>
      <c r="L513" s="498">
        <v>8.0</v>
      </c>
      <c r="M513" s="497" t="s">
        <v>6322</v>
      </c>
      <c r="N513" s="497" t="s">
        <v>6349</v>
      </c>
      <c r="O513" s="498">
        <v>319.0</v>
      </c>
      <c r="P513" s="497" t="s">
        <v>6350</v>
      </c>
      <c r="Q513" s="499"/>
      <c r="R513" s="500"/>
      <c r="S513" s="500"/>
      <c r="T513" s="500"/>
      <c r="U513" s="500"/>
      <c r="V513" s="500"/>
      <c r="W513" s="500"/>
      <c r="X513" s="500"/>
      <c r="Y513" s="500"/>
      <c r="Z513" s="500"/>
      <c r="AA513" s="500"/>
      <c r="AB513" s="500"/>
      <c r="AC513" s="500"/>
      <c r="AD513" s="500"/>
      <c r="AE513" s="497"/>
    </row>
    <row r="514">
      <c r="A514" s="525" t="s">
        <v>2293</v>
      </c>
      <c r="B514" s="518" t="str">
        <f>HYPERLINK("https://hot.detik.com/art/d-4692801/setelah-jokowi-juga-ahok-agan-harahap-ingin-manipulasi-donald-trump","Detik")</f>
        <v>Detik</v>
      </c>
      <c r="C514" s="467" t="s">
        <v>5657</v>
      </c>
      <c r="D514" s="467" t="s">
        <v>5725</v>
      </c>
      <c r="E514" s="467" t="s">
        <v>5727</v>
      </c>
      <c r="F514" s="271" t="s">
        <v>6308</v>
      </c>
      <c r="G514" s="451"/>
      <c r="H514" s="451"/>
      <c r="I514" s="451"/>
      <c r="J514" s="451"/>
      <c r="K514" s="451"/>
      <c r="L514" s="451"/>
      <c r="M514" s="451"/>
      <c r="N514" s="451"/>
      <c r="O514" s="451"/>
      <c r="P514" s="451"/>
      <c r="Q514" s="451"/>
      <c r="R514" s="451"/>
      <c r="S514" s="451"/>
      <c r="T514" s="451"/>
      <c r="U514" s="451"/>
      <c r="V514" s="451"/>
      <c r="W514" s="451"/>
      <c r="X514" s="451"/>
      <c r="Y514" s="451"/>
      <c r="Z514" s="451"/>
      <c r="AA514" s="451"/>
      <c r="AB514" s="451"/>
      <c r="AC514" s="451"/>
      <c r="AD514" s="451"/>
    </row>
    <row r="515">
      <c r="A515" s="525" t="s">
        <v>6351</v>
      </c>
      <c r="B515" s="518" t="str">
        <f>HYPERLINK("https://www.cnnindonesia.com/teknologi/20190404193946-185-383534/cashback-cara-gojek-pancing-pengguna-agar-pakai-gopay","CNN")</f>
        <v>CNN</v>
      </c>
      <c r="C515" s="467" t="s">
        <v>5667</v>
      </c>
      <c r="D515" s="467" t="s">
        <v>5683</v>
      </c>
      <c r="E515" s="467" t="s">
        <v>5727</v>
      </c>
      <c r="F515" s="497" t="s">
        <v>2183</v>
      </c>
      <c r="G515" s="498">
        <v>2.0</v>
      </c>
      <c r="H515" s="497" t="s">
        <v>5728</v>
      </c>
      <c r="I515" s="497" t="s">
        <v>2695</v>
      </c>
      <c r="J515" s="497" t="s">
        <v>6352</v>
      </c>
      <c r="K515" s="497" t="s">
        <v>5734</v>
      </c>
      <c r="L515" s="498">
        <v>4.0</v>
      </c>
      <c r="M515" s="497" t="s">
        <v>6270</v>
      </c>
      <c r="N515" s="497" t="s">
        <v>6353</v>
      </c>
      <c r="O515" s="498">
        <v>364.0</v>
      </c>
      <c r="P515" s="497" t="s">
        <v>6354</v>
      </c>
      <c r="Q515" s="500"/>
      <c r="R515" s="500"/>
      <c r="S515" s="500"/>
      <c r="T515" s="500"/>
      <c r="U515" s="500"/>
      <c r="V515" s="500"/>
      <c r="W515" s="500"/>
      <c r="X515" s="500"/>
      <c r="Y515" s="500"/>
      <c r="Z515" s="500"/>
      <c r="AA515" s="500"/>
      <c r="AB515" s="500"/>
      <c r="AC515" s="500"/>
      <c r="AD515" s="500"/>
      <c r="AE515" s="497"/>
    </row>
    <row r="516">
      <c r="A516" s="525" t="s">
        <v>2300</v>
      </c>
      <c r="B516" s="466" t="s">
        <v>5699</v>
      </c>
      <c r="C516" s="467" t="s">
        <v>5682</v>
      </c>
      <c r="D516" s="467" t="s">
        <v>5658</v>
      </c>
      <c r="E516" s="467" t="s">
        <v>6241</v>
      </c>
      <c r="F516" s="271" t="s">
        <v>6308</v>
      </c>
      <c r="G516" s="451"/>
      <c r="H516" s="451"/>
      <c r="I516" s="451"/>
      <c r="J516" s="451"/>
      <c r="K516" s="451"/>
      <c r="L516" s="451"/>
      <c r="M516" s="451"/>
      <c r="N516" s="451"/>
      <c r="O516" s="451"/>
      <c r="P516" s="451"/>
      <c r="Q516" s="451"/>
      <c r="R516" s="451"/>
      <c r="S516" s="451"/>
      <c r="T516" s="451"/>
      <c r="U516" s="451"/>
      <c r="V516" s="451"/>
      <c r="W516" s="451"/>
      <c r="X516" s="451"/>
      <c r="Y516" s="451"/>
      <c r="Z516" s="451"/>
      <c r="AA516" s="451"/>
      <c r="AB516" s="451"/>
      <c r="AC516" s="451"/>
      <c r="AD516" s="451"/>
    </row>
    <row r="517">
      <c r="A517" s="525" t="s">
        <v>2300</v>
      </c>
      <c r="B517" s="518" t="str">
        <f>HYPERLINK("https://www.liputan6.com/news/read/3874856/tak-kuat-menahan-sampah-jaring-besi-di-kali-bencong-ambruk","Liputan6")</f>
        <v>Liputan6</v>
      </c>
      <c r="C517" s="467" t="s">
        <v>5670</v>
      </c>
      <c r="D517" s="467" t="s">
        <v>5658</v>
      </c>
      <c r="E517" s="467" t="s">
        <v>6241</v>
      </c>
      <c r="F517" s="271" t="s">
        <v>6308</v>
      </c>
      <c r="G517" s="451"/>
      <c r="H517" s="451"/>
      <c r="I517" s="451"/>
      <c r="J517" s="451"/>
      <c r="K517" s="451"/>
      <c r="L517" s="451"/>
      <c r="M517" s="451"/>
      <c r="N517" s="451"/>
      <c r="O517" s="451"/>
      <c r="P517" s="451"/>
      <c r="Q517" s="451"/>
      <c r="R517" s="451"/>
      <c r="S517" s="451"/>
      <c r="T517" s="451"/>
      <c r="U517" s="451"/>
      <c r="V517" s="451"/>
      <c r="W517" s="451"/>
      <c r="X517" s="451"/>
      <c r="Y517" s="451"/>
      <c r="Z517" s="451"/>
      <c r="AA517" s="451"/>
      <c r="AB517" s="451"/>
      <c r="AC517" s="451"/>
      <c r="AD517" s="451"/>
    </row>
    <row r="518">
      <c r="A518" s="525" t="s">
        <v>2320</v>
      </c>
      <c r="B518" s="518" t="str">
        <f>HYPERLINK("https://www.cnnindonesia.com/hiburan/20190202182458-227-365999/rela-habiskan-jutaan-demi-senang-ala-fan-k-pop","CNN")</f>
        <v>CNN</v>
      </c>
      <c r="C518" s="467" t="s">
        <v>5671</v>
      </c>
      <c r="D518" s="467" t="s">
        <v>5668</v>
      </c>
      <c r="E518" s="467" t="s">
        <v>6241</v>
      </c>
      <c r="F518" s="271" t="s">
        <v>6308</v>
      </c>
      <c r="G518" s="451"/>
      <c r="H518" s="451"/>
      <c r="I518" s="451"/>
      <c r="J518" s="451"/>
      <c r="K518" s="451"/>
      <c r="L518" s="451"/>
      <c r="M518" s="451"/>
      <c r="N518" s="451"/>
      <c r="O518" s="451"/>
      <c r="P518" s="451"/>
      <c r="Q518" s="451"/>
      <c r="R518" s="451"/>
      <c r="S518" s="451"/>
      <c r="T518" s="451"/>
      <c r="U518" s="451"/>
      <c r="V518" s="451"/>
      <c r="W518" s="451"/>
      <c r="X518" s="451"/>
      <c r="Y518" s="451"/>
      <c r="Z518" s="451"/>
      <c r="AA518" s="451"/>
      <c r="AB518" s="451"/>
      <c r="AC518" s="451"/>
      <c r="AD518" s="451"/>
    </row>
    <row r="519">
      <c r="A519" s="525" t="s">
        <v>6355</v>
      </c>
      <c r="B519" s="518" t="str">
        <f>HYPERLINK("https://tirto.id/valencia-vs-real-betis-di-copa-del-rey-prediksi-skor-h2h-dhUd","Tirto")</f>
        <v>Tirto</v>
      </c>
      <c r="C519" s="467" t="s">
        <v>5664</v>
      </c>
      <c r="D519" s="467" t="s">
        <v>5668</v>
      </c>
      <c r="E519" s="467" t="s">
        <v>6241</v>
      </c>
      <c r="F519" s="497" t="s">
        <v>2336</v>
      </c>
      <c r="G519" s="498">
        <v>2.0</v>
      </c>
      <c r="H519" s="497" t="s">
        <v>6243</v>
      </c>
      <c r="I519" s="497" t="s">
        <v>2704</v>
      </c>
      <c r="J519" s="497" t="s">
        <v>6356</v>
      </c>
      <c r="K519" s="497" t="s">
        <v>5754</v>
      </c>
      <c r="L519" s="498">
        <v>2.0</v>
      </c>
      <c r="M519" s="497" t="s">
        <v>6357</v>
      </c>
      <c r="N519" s="497" t="s">
        <v>6358</v>
      </c>
      <c r="O519" s="498">
        <v>562.0</v>
      </c>
      <c r="P519" s="497" t="s">
        <v>6359</v>
      </c>
      <c r="Q519" s="499"/>
      <c r="R519" s="500"/>
      <c r="S519" s="500"/>
      <c r="T519" s="500"/>
      <c r="U519" s="500"/>
      <c r="V519" s="500"/>
      <c r="W519" s="500"/>
      <c r="X519" s="500"/>
      <c r="Y519" s="500"/>
      <c r="Z519" s="500"/>
      <c r="AA519" s="500"/>
      <c r="AB519" s="500"/>
      <c r="AC519" s="500"/>
      <c r="AD519" s="500"/>
      <c r="AE519" s="497"/>
    </row>
    <row r="520">
      <c r="A520" s="525" t="s">
        <v>2341</v>
      </c>
      <c r="B520" s="518" t="str">
        <f>HYPERLINK("https://lifestyle.okezone.com/read/2019/03/04/194/2025563/6-zodiak-yang-paling-stylish-gayanya-bisa-jadi-trendsetter","Okezone")</f>
        <v>Okezone</v>
      </c>
      <c r="C520" s="467" t="s">
        <v>5682</v>
      </c>
      <c r="D520" s="467" t="s">
        <v>5675</v>
      </c>
      <c r="E520" s="467" t="s">
        <v>6241</v>
      </c>
      <c r="F520" s="271" t="s">
        <v>6308</v>
      </c>
      <c r="G520" s="451"/>
      <c r="H520" s="451"/>
      <c r="I520" s="451"/>
      <c r="J520" s="451"/>
      <c r="K520" s="451"/>
      <c r="L520" s="451"/>
      <c r="M520" s="451"/>
      <c r="N520" s="451"/>
      <c r="O520" s="451"/>
      <c r="P520" s="451"/>
      <c r="Q520" s="451"/>
      <c r="R520" s="451"/>
      <c r="S520" s="451"/>
      <c r="T520" s="451"/>
      <c r="U520" s="451"/>
      <c r="V520" s="451"/>
      <c r="W520" s="451"/>
      <c r="X520" s="451"/>
      <c r="Y520" s="451"/>
      <c r="Z520" s="451"/>
      <c r="AA520" s="451"/>
      <c r="AB520" s="451"/>
      <c r="AC520" s="451"/>
      <c r="AD520" s="451"/>
    </row>
    <row r="521">
      <c r="A521" s="525" t="s">
        <v>2196</v>
      </c>
      <c r="B521" s="518" t="str">
        <f>HYPERLINK("https://www.cnnindonesia.com/teknologi/20190423183928-384-388972/tesla-sering-terbakar-blue-bird-klaim-taksi-listrik-aman","CNN")</f>
        <v>CNN</v>
      </c>
      <c r="C521" s="467" t="s">
        <v>5681</v>
      </c>
      <c r="D521" s="467" t="s">
        <v>5683</v>
      </c>
      <c r="E521" s="467" t="s">
        <v>5727</v>
      </c>
      <c r="F521" s="271" t="s">
        <v>6308</v>
      </c>
      <c r="G521" s="451"/>
      <c r="H521" s="451"/>
      <c r="I521" s="451"/>
      <c r="J521" s="451"/>
      <c r="K521" s="451"/>
      <c r="L521" s="451"/>
      <c r="M521" s="451"/>
      <c r="N521" s="451"/>
      <c r="O521" s="451"/>
      <c r="P521" s="451"/>
      <c r="Q521" s="451"/>
      <c r="R521" s="451"/>
      <c r="S521" s="451"/>
      <c r="T521" s="451"/>
      <c r="U521" s="451"/>
      <c r="V521" s="451"/>
      <c r="W521" s="451"/>
      <c r="X521" s="451"/>
      <c r="Y521" s="451"/>
      <c r="Z521" s="451"/>
      <c r="AA521" s="451"/>
      <c r="AB521" s="451"/>
      <c r="AC521" s="451"/>
      <c r="AD521" s="451"/>
    </row>
    <row r="522">
      <c r="A522" s="525" t="s">
        <v>5173</v>
      </c>
      <c r="B522" s="518" t="str">
        <f>HYPERLINK("https://travel.kompas.com/read/2019/03/08/110900127/5-destinasi-wisata-sejarah-di-etopia","Kompas")</f>
        <v>Kompas</v>
      </c>
      <c r="C522" s="467" t="s">
        <v>5667</v>
      </c>
      <c r="D522" s="467" t="s">
        <v>5675</v>
      </c>
      <c r="E522" s="467" t="s">
        <v>6241</v>
      </c>
      <c r="F522" s="497" t="s">
        <v>2342</v>
      </c>
      <c r="G522" s="498">
        <v>2.0</v>
      </c>
      <c r="H522" s="497" t="s">
        <v>6243</v>
      </c>
      <c r="I522" s="497" t="s">
        <v>2724</v>
      </c>
      <c r="J522" s="497" t="s">
        <v>1521</v>
      </c>
      <c r="K522" s="497" t="s">
        <v>5734</v>
      </c>
      <c r="L522" s="498">
        <v>5.0</v>
      </c>
      <c r="M522" s="497" t="s">
        <v>5879</v>
      </c>
      <c r="N522" s="497" t="s">
        <v>6360</v>
      </c>
      <c r="O522" s="498">
        <v>300.0</v>
      </c>
      <c r="P522" s="497" t="s">
        <v>6361</v>
      </c>
      <c r="Q522" s="499"/>
      <c r="R522" s="500"/>
      <c r="S522" s="500"/>
      <c r="T522" s="500"/>
      <c r="U522" s="500"/>
      <c r="V522" s="500"/>
      <c r="W522" s="500"/>
      <c r="X522" s="500"/>
      <c r="Y522" s="500"/>
      <c r="Z522" s="500"/>
      <c r="AA522" s="500"/>
      <c r="AB522" s="500"/>
      <c r="AC522" s="500"/>
      <c r="AD522" s="500"/>
      <c r="AE522" s="497"/>
    </row>
    <row r="523">
      <c r="A523" s="501" t="s">
        <v>4043</v>
      </c>
      <c r="B523" s="466" t="s">
        <v>6226</v>
      </c>
      <c r="C523" s="467" t="s">
        <v>5664</v>
      </c>
      <c r="D523" s="467" t="s">
        <v>5658</v>
      </c>
      <c r="E523" s="467" t="s">
        <v>5659</v>
      </c>
      <c r="F523" s="271" t="s">
        <v>6308</v>
      </c>
      <c r="G523" s="451"/>
      <c r="H523" s="451"/>
      <c r="I523" s="451"/>
      <c r="J523" s="451"/>
      <c r="K523" s="451"/>
      <c r="L523" s="451"/>
      <c r="M523" s="451"/>
      <c r="N523" s="451"/>
      <c r="O523" s="451"/>
      <c r="P523" s="451"/>
      <c r="Q523" s="451"/>
      <c r="R523" s="451"/>
      <c r="S523" s="451"/>
      <c r="T523" s="451"/>
      <c r="U523" s="451"/>
      <c r="V523" s="451"/>
      <c r="W523" s="451"/>
      <c r="X523" s="451"/>
      <c r="Y523" s="451"/>
      <c r="Z523" s="451"/>
      <c r="AA523" s="451"/>
      <c r="AB523" s="451"/>
      <c r="AC523" s="451"/>
      <c r="AD523" s="451"/>
    </row>
    <row r="524">
      <c r="A524" s="501" t="s">
        <v>6362</v>
      </c>
      <c r="B524" s="466" t="s">
        <v>6039</v>
      </c>
      <c r="C524" s="467" t="s">
        <v>5667</v>
      </c>
      <c r="D524" s="467" t="s">
        <v>5675</v>
      </c>
      <c r="E524" s="467" t="s">
        <v>5727</v>
      </c>
      <c r="F524" s="497" t="s">
        <v>4167</v>
      </c>
      <c r="G524" s="498">
        <v>2.0</v>
      </c>
      <c r="H524" s="497" t="s">
        <v>5728</v>
      </c>
      <c r="I524" s="497" t="s">
        <v>2704</v>
      </c>
      <c r="J524" s="497" t="s">
        <v>6363</v>
      </c>
      <c r="K524" s="497" t="s">
        <v>5734</v>
      </c>
      <c r="L524" s="498">
        <v>3.0</v>
      </c>
      <c r="M524" s="497" t="s">
        <v>6322</v>
      </c>
      <c r="N524" s="497" t="s">
        <v>6364</v>
      </c>
      <c r="O524" s="498">
        <v>270.0</v>
      </c>
      <c r="P524" s="497" t="s">
        <v>6365</v>
      </c>
      <c r="Q524" s="499"/>
      <c r="R524" s="500"/>
      <c r="S524" s="500"/>
      <c r="T524" s="500"/>
      <c r="U524" s="500"/>
      <c r="V524" s="500"/>
      <c r="W524" s="500"/>
      <c r="X524" s="500"/>
      <c r="Y524" s="500"/>
      <c r="Z524" s="500"/>
      <c r="AA524" s="500"/>
      <c r="AB524" s="500"/>
      <c r="AC524" s="500"/>
      <c r="AD524" s="500"/>
      <c r="AE524" s="497"/>
    </row>
    <row r="525">
      <c r="A525" s="501" t="s">
        <v>4169</v>
      </c>
      <c r="B525" s="466" t="s">
        <v>6039</v>
      </c>
      <c r="C525" s="467" t="s">
        <v>5670</v>
      </c>
      <c r="D525" s="467" t="s">
        <v>5675</v>
      </c>
      <c r="E525" s="467" t="s">
        <v>5727</v>
      </c>
      <c r="F525" s="271" t="s">
        <v>6308</v>
      </c>
      <c r="G525" s="451"/>
      <c r="H525" s="451"/>
      <c r="I525" s="451"/>
      <c r="J525" s="451"/>
      <c r="K525" s="451"/>
      <c r="L525" s="451"/>
      <c r="M525" s="451"/>
      <c r="N525" s="451"/>
      <c r="O525" s="451"/>
      <c r="P525" s="451"/>
      <c r="Q525" s="451"/>
      <c r="R525" s="451"/>
      <c r="S525" s="451"/>
      <c r="T525" s="451"/>
      <c r="U525" s="451"/>
      <c r="V525" s="451"/>
      <c r="W525" s="451"/>
      <c r="X525" s="451"/>
      <c r="Y525" s="451"/>
      <c r="Z525" s="451"/>
      <c r="AA525" s="451"/>
      <c r="AB525" s="451"/>
      <c r="AC525" s="451"/>
      <c r="AD525" s="451"/>
    </row>
    <row r="526">
      <c r="A526" s="501" t="s">
        <v>6366</v>
      </c>
      <c r="B526" s="466" t="s">
        <v>5749</v>
      </c>
      <c r="C526" s="467" t="s">
        <v>5670</v>
      </c>
      <c r="D526" s="467" t="s">
        <v>5675</v>
      </c>
      <c r="E526" s="467" t="s">
        <v>5727</v>
      </c>
      <c r="F526" s="502" t="s">
        <v>4170</v>
      </c>
      <c r="G526" s="503">
        <v>2.0</v>
      </c>
      <c r="H526" s="502" t="s">
        <v>5728</v>
      </c>
      <c r="I526" s="502" t="s">
        <v>2715</v>
      </c>
      <c r="J526" s="502" t="s">
        <v>6022</v>
      </c>
      <c r="K526" s="502" t="s">
        <v>5786</v>
      </c>
      <c r="L526" s="503">
        <v>3.0</v>
      </c>
      <c r="M526" s="502" t="s">
        <v>5839</v>
      </c>
      <c r="N526" s="502" t="s">
        <v>6367</v>
      </c>
      <c r="O526" s="503">
        <v>223.0</v>
      </c>
      <c r="P526" s="502" t="s">
        <v>6368</v>
      </c>
      <c r="Q526" s="504"/>
      <c r="R526" s="505"/>
      <c r="S526" s="505"/>
      <c r="T526" s="505"/>
      <c r="U526" s="505"/>
      <c r="V526" s="505"/>
      <c r="W526" s="505"/>
      <c r="X526" s="505"/>
      <c r="Y526" s="505"/>
      <c r="Z526" s="505"/>
      <c r="AA526" s="505"/>
      <c r="AB526" s="505"/>
      <c r="AC526" s="505"/>
      <c r="AD526" s="505"/>
      <c r="AE526" s="502"/>
    </row>
    <row r="527">
      <c r="A527" s="501" t="s">
        <v>6369</v>
      </c>
      <c r="B527" s="466" t="s">
        <v>5684</v>
      </c>
      <c r="C527" s="467" t="s">
        <v>5664</v>
      </c>
      <c r="D527" s="467" t="s">
        <v>5675</v>
      </c>
      <c r="E527" s="467" t="s">
        <v>5727</v>
      </c>
      <c r="F527" s="497" t="s">
        <v>4172</v>
      </c>
      <c r="G527" s="498">
        <v>2.0</v>
      </c>
      <c r="H527" s="497" t="s">
        <v>5728</v>
      </c>
      <c r="I527" s="497" t="s">
        <v>2707</v>
      </c>
      <c r="J527" s="497" t="s">
        <v>5943</v>
      </c>
      <c r="K527" s="497" t="s">
        <v>5754</v>
      </c>
      <c r="L527" s="498">
        <v>3.0</v>
      </c>
      <c r="M527" s="497" t="s">
        <v>6113</v>
      </c>
      <c r="N527" s="497" t="s">
        <v>6370</v>
      </c>
      <c r="O527" s="498">
        <v>226.0</v>
      </c>
      <c r="P527" s="497" t="s">
        <v>6371</v>
      </c>
      <c r="Q527" s="499"/>
      <c r="R527" s="500"/>
      <c r="S527" s="500"/>
      <c r="T527" s="500"/>
      <c r="U527" s="500"/>
      <c r="V527" s="500"/>
      <c r="W527" s="500"/>
      <c r="X527" s="500"/>
      <c r="Y527" s="500"/>
      <c r="Z527" s="500"/>
      <c r="AA527" s="500"/>
      <c r="AB527" s="500"/>
      <c r="AC527" s="500"/>
      <c r="AD527" s="500"/>
      <c r="AE527" s="497"/>
    </row>
    <row r="528">
      <c r="A528" s="501" t="s">
        <v>4176</v>
      </c>
      <c r="B528" s="466" t="s">
        <v>6038</v>
      </c>
      <c r="C528" s="467" t="s">
        <v>5681</v>
      </c>
      <c r="D528" s="467" t="s">
        <v>5675</v>
      </c>
      <c r="E528" s="467" t="s">
        <v>5727</v>
      </c>
      <c r="F528" s="271" t="s">
        <v>6308</v>
      </c>
      <c r="G528" s="451"/>
      <c r="H528" s="451"/>
      <c r="I528" s="451"/>
      <c r="J528" s="451"/>
      <c r="K528" s="451"/>
      <c r="L528" s="451"/>
      <c r="M528" s="451"/>
      <c r="N528" s="451"/>
      <c r="O528" s="451"/>
      <c r="P528" s="451"/>
      <c r="Q528" s="451"/>
      <c r="R528" s="451"/>
      <c r="S528" s="451"/>
      <c r="T528" s="451"/>
      <c r="U528" s="451"/>
      <c r="V528" s="451"/>
      <c r="W528" s="451"/>
      <c r="X528" s="451"/>
      <c r="Y528" s="451"/>
      <c r="Z528" s="451"/>
      <c r="AA528" s="451"/>
      <c r="AB528" s="451"/>
      <c r="AC528" s="451"/>
      <c r="AD528" s="451"/>
    </row>
    <row r="529">
      <c r="A529" s="501" t="s">
        <v>4183</v>
      </c>
      <c r="B529" s="466" t="s">
        <v>5663</v>
      </c>
      <c r="C529" s="467" t="s">
        <v>5664</v>
      </c>
      <c r="D529" s="467" t="s">
        <v>5683</v>
      </c>
      <c r="E529" s="467" t="s">
        <v>5727</v>
      </c>
      <c r="F529" s="271" t="s">
        <v>6308</v>
      </c>
      <c r="G529" s="451"/>
      <c r="H529" s="451"/>
      <c r="I529" s="451"/>
      <c r="J529" s="451"/>
      <c r="K529" s="451"/>
      <c r="L529" s="451"/>
      <c r="M529" s="451"/>
      <c r="N529" s="451"/>
      <c r="O529" s="451"/>
      <c r="P529" s="451"/>
      <c r="Q529" s="451"/>
      <c r="R529" s="451"/>
      <c r="S529" s="451"/>
      <c r="T529" s="451"/>
      <c r="U529" s="451"/>
      <c r="V529" s="451"/>
      <c r="W529" s="451"/>
      <c r="X529" s="451"/>
      <c r="Y529" s="451"/>
      <c r="Z529" s="451"/>
      <c r="AA529" s="451"/>
      <c r="AB529" s="451"/>
      <c r="AC529" s="451"/>
      <c r="AD529" s="451"/>
    </row>
    <row r="530">
      <c r="A530" s="501" t="s">
        <v>4184</v>
      </c>
      <c r="B530" s="466" t="s">
        <v>5663</v>
      </c>
      <c r="C530" s="467" t="s">
        <v>5670</v>
      </c>
      <c r="D530" s="467" t="s">
        <v>5683</v>
      </c>
      <c r="E530" s="467" t="s">
        <v>5727</v>
      </c>
      <c r="F530" s="271" t="s">
        <v>6308</v>
      </c>
      <c r="G530" s="451"/>
      <c r="H530" s="451"/>
      <c r="I530" s="451"/>
      <c r="J530" s="451"/>
      <c r="K530" s="451"/>
      <c r="L530" s="451"/>
      <c r="M530" s="451"/>
      <c r="N530" s="451"/>
      <c r="O530" s="451"/>
      <c r="P530" s="451"/>
      <c r="Q530" s="451"/>
      <c r="R530" s="451"/>
      <c r="S530" s="451"/>
      <c r="T530" s="451"/>
      <c r="U530" s="451"/>
      <c r="V530" s="451"/>
      <c r="W530" s="451"/>
      <c r="X530" s="451"/>
      <c r="Y530" s="451"/>
      <c r="Z530" s="451"/>
      <c r="AA530" s="451"/>
      <c r="AB530" s="451"/>
      <c r="AC530" s="451"/>
      <c r="AD530" s="451"/>
    </row>
    <row r="531">
      <c r="A531" s="501" t="s">
        <v>4185</v>
      </c>
      <c r="B531" s="466" t="s">
        <v>5663</v>
      </c>
      <c r="C531" s="467" t="s">
        <v>5667</v>
      </c>
      <c r="D531" s="467" t="s">
        <v>5683</v>
      </c>
      <c r="E531" s="467" t="s">
        <v>5727</v>
      </c>
      <c r="F531" s="271" t="s">
        <v>6308</v>
      </c>
      <c r="G531" s="451"/>
      <c r="H531" s="451"/>
      <c r="I531" s="451"/>
      <c r="J531" s="451"/>
      <c r="K531" s="451"/>
      <c r="L531" s="451"/>
      <c r="M531" s="451"/>
      <c r="N531" s="451"/>
      <c r="O531" s="451"/>
      <c r="P531" s="451"/>
      <c r="Q531" s="451"/>
      <c r="R531" s="451"/>
      <c r="S531" s="451"/>
      <c r="T531" s="451"/>
      <c r="U531" s="451"/>
      <c r="V531" s="451"/>
      <c r="W531" s="451"/>
      <c r="X531" s="451"/>
      <c r="Y531" s="451"/>
      <c r="Z531" s="451"/>
      <c r="AA531" s="451"/>
      <c r="AB531" s="451"/>
      <c r="AC531" s="451"/>
      <c r="AD531" s="451"/>
    </row>
    <row r="532">
      <c r="A532" s="495" t="s">
        <v>1414</v>
      </c>
      <c r="B532" s="466" t="s">
        <v>5663</v>
      </c>
      <c r="C532" s="467" t="s">
        <v>5667</v>
      </c>
      <c r="D532" s="467" t="s">
        <v>5658</v>
      </c>
      <c r="E532" s="467" t="s">
        <v>6241</v>
      </c>
      <c r="F532" s="271" t="s">
        <v>6308</v>
      </c>
      <c r="G532" s="451"/>
      <c r="H532" s="451"/>
      <c r="I532" s="451"/>
      <c r="J532" s="451"/>
      <c r="K532" s="451"/>
      <c r="L532" s="451"/>
      <c r="M532" s="451"/>
      <c r="N532" s="451"/>
      <c r="O532" s="451"/>
      <c r="P532" s="451"/>
      <c r="Q532" s="451"/>
      <c r="R532" s="451"/>
      <c r="S532" s="451"/>
      <c r="T532" s="451"/>
      <c r="U532" s="451"/>
      <c r="V532" s="451"/>
      <c r="W532" s="451"/>
      <c r="X532" s="451"/>
      <c r="Y532" s="451"/>
      <c r="Z532" s="451"/>
      <c r="AA532" s="451"/>
      <c r="AB532" s="451"/>
      <c r="AC532" s="451"/>
      <c r="AD532" s="451"/>
    </row>
    <row r="533">
      <c r="A533" s="495" t="s">
        <v>6372</v>
      </c>
      <c r="B533" s="466" t="s">
        <v>5663</v>
      </c>
      <c r="C533" s="467" t="s">
        <v>5664</v>
      </c>
      <c r="D533" s="467" t="s">
        <v>5658</v>
      </c>
      <c r="E533" s="467" t="s">
        <v>6241</v>
      </c>
      <c r="F533" s="497" t="s">
        <v>1423</v>
      </c>
      <c r="G533" s="498">
        <v>2.0</v>
      </c>
      <c r="H533" s="497" t="s">
        <v>6243</v>
      </c>
      <c r="I533" s="497" t="s">
        <v>2709</v>
      </c>
      <c r="J533" s="497" t="s">
        <v>6373</v>
      </c>
      <c r="K533" s="497" t="s">
        <v>5754</v>
      </c>
      <c r="L533" s="498">
        <v>1.0</v>
      </c>
      <c r="M533" s="497" t="s">
        <v>5735</v>
      </c>
      <c r="N533" s="497" t="s">
        <v>6374</v>
      </c>
      <c r="O533" s="498">
        <v>394.0</v>
      </c>
      <c r="P533" s="497" t="s">
        <v>6375</v>
      </c>
      <c r="Q533" s="499"/>
      <c r="R533" s="500"/>
      <c r="S533" s="500"/>
      <c r="T533" s="500"/>
      <c r="U533" s="500"/>
      <c r="V533" s="500"/>
      <c r="W533" s="500"/>
      <c r="X533" s="500"/>
      <c r="Y533" s="500"/>
      <c r="Z533" s="500"/>
      <c r="AA533" s="500"/>
      <c r="AB533" s="500"/>
      <c r="AC533" s="500"/>
      <c r="AD533" s="500"/>
      <c r="AE533" s="497"/>
    </row>
    <row r="534">
      <c r="A534" s="526" t="s">
        <v>5166</v>
      </c>
      <c r="B534" s="518" t="str">
        <f>HYPERLINK("https://www.suara.com/news/2019/02/22/012723/munajat-212-ungkit-kasus-buni-yani-ahmad-dhani-dan-habib-bahar-bin-smith","Suara")</f>
        <v>Suara</v>
      </c>
      <c r="C534" s="467" t="s">
        <v>5667</v>
      </c>
      <c r="D534" s="467" t="s">
        <v>5668</v>
      </c>
      <c r="E534" s="467" t="s">
        <v>6241</v>
      </c>
      <c r="F534" s="497" t="s">
        <v>6376</v>
      </c>
      <c r="G534" s="498">
        <v>2.0</v>
      </c>
      <c r="H534" s="497" t="s">
        <v>6243</v>
      </c>
      <c r="I534" s="497" t="s">
        <v>2698</v>
      </c>
      <c r="J534" s="497" t="s">
        <v>6233</v>
      </c>
      <c r="K534" s="497" t="s">
        <v>5734</v>
      </c>
      <c r="L534" s="498">
        <v>2.0</v>
      </c>
      <c r="M534" s="497" t="s">
        <v>6377</v>
      </c>
      <c r="N534" s="497" t="s">
        <v>6378</v>
      </c>
      <c r="O534" s="498">
        <v>287.0</v>
      </c>
      <c r="P534" s="497" t="s">
        <v>6379</v>
      </c>
      <c r="Q534" s="499"/>
      <c r="R534" s="500"/>
      <c r="S534" s="500"/>
      <c r="T534" s="500"/>
      <c r="U534" s="500"/>
      <c r="V534" s="500"/>
      <c r="W534" s="500"/>
      <c r="X534" s="500"/>
      <c r="Y534" s="500"/>
      <c r="Z534" s="500"/>
      <c r="AA534" s="500"/>
      <c r="AB534" s="500"/>
      <c r="AC534" s="500"/>
      <c r="AD534" s="500"/>
      <c r="AE534" s="497"/>
    </row>
    <row r="535">
      <c r="A535" s="495" t="s">
        <v>6380</v>
      </c>
      <c r="B535" s="466" t="s">
        <v>5701</v>
      </c>
      <c r="C535" s="467" t="s">
        <v>5682</v>
      </c>
      <c r="D535" s="467" t="s">
        <v>5668</v>
      </c>
      <c r="E535" s="467" t="s">
        <v>6241</v>
      </c>
      <c r="F535" s="497" t="s">
        <v>1432</v>
      </c>
      <c r="G535" s="498">
        <v>2.0</v>
      </c>
      <c r="H535" s="497" t="s">
        <v>6243</v>
      </c>
      <c r="I535" s="497" t="s">
        <v>2740</v>
      </c>
      <c r="J535" s="497" t="s">
        <v>6381</v>
      </c>
      <c r="K535" s="497" t="s">
        <v>5721</v>
      </c>
      <c r="L535" s="498">
        <v>2.0</v>
      </c>
      <c r="M535" s="497" t="s">
        <v>5712</v>
      </c>
      <c r="N535" s="497" t="s">
        <v>6382</v>
      </c>
      <c r="O535" s="498">
        <v>260.0</v>
      </c>
      <c r="P535" s="497" t="s">
        <v>6383</v>
      </c>
      <c r="Q535" s="500"/>
      <c r="R535" s="500"/>
      <c r="S535" s="500"/>
      <c r="T535" s="500"/>
      <c r="U535" s="500"/>
      <c r="V535" s="500"/>
      <c r="W535" s="500"/>
      <c r="X535" s="500"/>
      <c r="Y535" s="500"/>
      <c r="Z535" s="500"/>
      <c r="AA535" s="500"/>
      <c r="AB535" s="500"/>
      <c r="AC535" s="500"/>
      <c r="AD535" s="500"/>
      <c r="AE535" s="497"/>
    </row>
    <row r="536">
      <c r="A536" s="526" t="s">
        <v>5168</v>
      </c>
      <c r="B536" s="518" t="str">
        <f>HYPERLINK("https://kolom.tempo.co/read/1178941/ratu-anne-dan-kedua-perempuan-di-sisinya","Tempo.co")</f>
        <v>Tempo.co</v>
      </c>
      <c r="C536" s="467" t="s">
        <v>5671</v>
      </c>
      <c r="D536" s="467" t="s">
        <v>5668</v>
      </c>
      <c r="E536" s="467" t="s">
        <v>6241</v>
      </c>
      <c r="F536" s="497" t="s">
        <v>6384</v>
      </c>
      <c r="G536" s="498">
        <v>2.0</v>
      </c>
      <c r="H536" s="497" t="s">
        <v>6243</v>
      </c>
      <c r="I536" s="497" t="s">
        <v>2702</v>
      </c>
      <c r="J536" s="497" t="s">
        <v>6073</v>
      </c>
      <c r="K536" s="497" t="s">
        <v>5729</v>
      </c>
      <c r="L536" s="498">
        <v>2.0</v>
      </c>
      <c r="M536" s="497" t="s">
        <v>5742</v>
      </c>
      <c r="N536" s="497" t="s">
        <v>6385</v>
      </c>
      <c r="O536" s="498">
        <v>378.0</v>
      </c>
      <c r="P536" s="497" t="s">
        <v>6386</v>
      </c>
      <c r="Q536" s="499"/>
      <c r="R536" s="500"/>
      <c r="S536" s="500"/>
      <c r="T536" s="500"/>
      <c r="U536" s="500"/>
      <c r="V536" s="500"/>
      <c r="W536" s="500"/>
      <c r="X536" s="500"/>
      <c r="Y536" s="500"/>
      <c r="Z536" s="500"/>
      <c r="AA536" s="500"/>
      <c r="AB536" s="500"/>
      <c r="AC536" s="500"/>
      <c r="AD536" s="500"/>
      <c r="AE536" s="497"/>
    </row>
    <row r="537">
      <c r="A537" s="501" t="s">
        <v>5170</v>
      </c>
      <c r="B537" s="467" t="s">
        <v>6110</v>
      </c>
      <c r="C537" s="467" t="s">
        <v>5681</v>
      </c>
      <c r="D537" s="467" t="s">
        <v>5668</v>
      </c>
      <c r="E537" s="467" t="s">
        <v>6241</v>
      </c>
      <c r="F537" s="497" t="s">
        <v>1436</v>
      </c>
      <c r="G537" s="498">
        <v>2.0</v>
      </c>
      <c r="H537" s="497" t="s">
        <v>6243</v>
      </c>
      <c r="I537" s="497" t="s">
        <v>2698</v>
      </c>
      <c r="J537" s="497" t="s">
        <v>1437</v>
      </c>
      <c r="K537" s="497" t="s">
        <v>5750</v>
      </c>
      <c r="L537" s="498">
        <v>2.0</v>
      </c>
      <c r="M537" s="497" t="s">
        <v>5763</v>
      </c>
      <c r="N537" s="497" t="s">
        <v>6387</v>
      </c>
      <c r="O537" s="498">
        <v>127.0</v>
      </c>
      <c r="P537" s="497" t="s">
        <v>6388</v>
      </c>
      <c r="Q537" s="499"/>
      <c r="R537" s="500"/>
      <c r="S537" s="500"/>
      <c r="T537" s="500"/>
      <c r="U537" s="500"/>
      <c r="V537" s="500"/>
      <c r="W537" s="500"/>
      <c r="X537" s="500"/>
      <c r="Y537" s="500"/>
      <c r="Z537" s="500"/>
      <c r="AA537" s="500"/>
      <c r="AB537" s="500"/>
      <c r="AC537" s="500"/>
      <c r="AD537" s="500"/>
      <c r="AE537" s="497"/>
    </row>
    <row r="538">
      <c r="A538" s="526" t="s">
        <v>5172</v>
      </c>
      <c r="B538" s="518" t="str">
        <f>HYPERLINK("https://lifestyle.okezone.com/read/2019/03/05/194/2025973/terciduk-gigi-dan-bella-hadid-pakai-kaos-kaki-sama-saling-pinjam","Okezone.com")</f>
        <v>Okezone.com</v>
      </c>
      <c r="C538" s="467" t="s">
        <v>5681</v>
      </c>
      <c r="D538" s="467" t="s">
        <v>5675</v>
      </c>
      <c r="E538" s="467" t="s">
        <v>6241</v>
      </c>
      <c r="F538" s="497" t="s">
        <v>6389</v>
      </c>
      <c r="G538" s="498">
        <v>2.0</v>
      </c>
      <c r="H538" s="497" t="s">
        <v>6243</v>
      </c>
      <c r="I538" s="497" t="s">
        <v>2709</v>
      </c>
      <c r="J538" s="497" t="s">
        <v>6084</v>
      </c>
      <c r="K538" s="497" t="s">
        <v>5750</v>
      </c>
      <c r="L538" s="498">
        <v>3.0</v>
      </c>
      <c r="M538" s="497" t="s">
        <v>5987</v>
      </c>
      <c r="N538" s="497" t="s">
        <v>6390</v>
      </c>
      <c r="O538" s="498">
        <v>281.0</v>
      </c>
      <c r="P538" s="497" t="s">
        <v>6391</v>
      </c>
      <c r="Q538" s="499"/>
      <c r="R538" s="500"/>
      <c r="S538" s="500"/>
      <c r="T538" s="500"/>
      <c r="U538" s="500"/>
      <c r="V538" s="500"/>
      <c r="W538" s="500"/>
      <c r="X538" s="500"/>
      <c r="Y538" s="500"/>
      <c r="Z538" s="500"/>
      <c r="AA538" s="500"/>
      <c r="AB538" s="500"/>
      <c r="AC538" s="500"/>
      <c r="AD538" s="500"/>
      <c r="AE538" s="497"/>
    </row>
    <row r="539">
      <c r="A539" s="526" t="s">
        <v>5175</v>
      </c>
      <c r="B539" s="518" t="str">
        <f>HYPERLINK("https://nasional.republika.co.id/berita/nasional/politik/po1h8l409/kampanye-di-lampung-jokowi-kembali-tepis-isu-larangan-azan","Republika")</f>
        <v>Republika</v>
      </c>
      <c r="C539" s="467" t="s">
        <v>5667</v>
      </c>
      <c r="D539" s="467" t="s">
        <v>5675</v>
      </c>
      <c r="E539" s="467" t="s">
        <v>6241</v>
      </c>
      <c r="F539" s="271" t="s">
        <v>5951</v>
      </c>
      <c r="G539" s="451"/>
      <c r="H539" s="451"/>
      <c r="I539" s="451"/>
      <c r="J539" s="451"/>
      <c r="K539" s="451"/>
      <c r="L539" s="451"/>
      <c r="M539" s="451"/>
      <c r="N539" s="451"/>
      <c r="O539" s="451"/>
      <c r="P539" s="451"/>
      <c r="Q539" s="451"/>
      <c r="R539" s="451"/>
      <c r="S539" s="451"/>
      <c r="T539" s="451"/>
      <c r="U539" s="451"/>
      <c r="V539" s="451"/>
      <c r="W539" s="451"/>
      <c r="X539" s="451"/>
      <c r="Y539" s="451"/>
      <c r="Z539" s="451"/>
      <c r="AA539" s="451"/>
      <c r="AB539" s="451"/>
      <c r="AC539" s="451"/>
      <c r="AD539" s="451"/>
    </row>
    <row r="540">
      <c r="A540" s="526" t="s">
        <v>5180</v>
      </c>
      <c r="B540" s="518" t="str">
        <f>HYPERLINK("https://lifestyle.okezone.com/read/2019/03/13/194/2029432/5-penampilan-shanina-shaik-model-victoria-s-secret-yang-dihujat-karena-tampil-bugil","Okezone.com")</f>
        <v>Okezone.com</v>
      </c>
      <c r="C540" s="467" t="s">
        <v>5657</v>
      </c>
      <c r="D540" s="467" t="s">
        <v>5675</v>
      </c>
      <c r="E540" s="467" t="s">
        <v>6241</v>
      </c>
      <c r="F540" s="497" t="s">
        <v>6392</v>
      </c>
      <c r="G540" s="498">
        <v>2.0</v>
      </c>
      <c r="H540" s="497" t="s">
        <v>6243</v>
      </c>
      <c r="I540" s="497" t="s">
        <v>2709</v>
      </c>
      <c r="J540" s="497" t="s">
        <v>1272</v>
      </c>
      <c r="K540" s="497" t="s">
        <v>5711</v>
      </c>
      <c r="L540" s="498">
        <v>3.0</v>
      </c>
      <c r="M540" s="497" t="s">
        <v>5850</v>
      </c>
      <c r="N540" s="497" t="s">
        <v>6393</v>
      </c>
      <c r="O540" s="498">
        <v>329.0</v>
      </c>
      <c r="P540" s="497" t="s">
        <v>6394</v>
      </c>
      <c r="Q540" s="499"/>
      <c r="R540" s="500"/>
      <c r="S540" s="500"/>
      <c r="T540" s="500"/>
      <c r="U540" s="500"/>
      <c r="V540" s="500"/>
      <c r="W540" s="500"/>
      <c r="X540" s="500"/>
      <c r="Y540" s="500"/>
      <c r="Z540" s="500"/>
      <c r="AA540" s="500"/>
      <c r="AB540" s="500"/>
      <c r="AC540" s="500"/>
      <c r="AD540" s="500"/>
      <c r="AE540" s="497"/>
    </row>
    <row r="541">
      <c r="A541" s="501" t="s">
        <v>5185</v>
      </c>
      <c r="B541" s="518" t="str">
        <f>HYPERLINK("https://news.detik.com/berita/d-4468213/habib-bahar-serang-jokowi-dari-lidah-pedas-hingga-banci","Detik")</f>
        <v>Detik</v>
      </c>
      <c r="C541" s="467" t="s">
        <v>5667</v>
      </c>
      <c r="D541" s="467" t="s">
        <v>5675</v>
      </c>
      <c r="E541" s="467" t="s">
        <v>6241</v>
      </c>
      <c r="F541" s="497" t="s">
        <v>6395</v>
      </c>
      <c r="G541" s="498">
        <v>2.0</v>
      </c>
      <c r="H541" s="497" t="s">
        <v>6243</v>
      </c>
      <c r="I541" s="497" t="s">
        <v>2740</v>
      </c>
      <c r="J541" s="497" t="s">
        <v>6396</v>
      </c>
      <c r="K541" s="497" t="s">
        <v>5734</v>
      </c>
      <c r="L541" s="498">
        <v>5.0</v>
      </c>
      <c r="M541" s="497" t="s">
        <v>5712</v>
      </c>
      <c r="N541" s="497" t="s">
        <v>6397</v>
      </c>
      <c r="O541" s="498">
        <v>521.0</v>
      </c>
      <c r="P541" s="497" t="s">
        <v>6398</v>
      </c>
      <c r="Q541" s="500"/>
      <c r="R541" s="500"/>
      <c r="S541" s="500"/>
      <c r="T541" s="500"/>
      <c r="U541" s="500"/>
      <c r="V541" s="500"/>
      <c r="W541" s="500"/>
      <c r="X541" s="500"/>
      <c r="Y541" s="500"/>
      <c r="Z541" s="500"/>
      <c r="AA541" s="500"/>
      <c r="AB541" s="500"/>
      <c r="AC541" s="500"/>
      <c r="AD541" s="500"/>
      <c r="AE541" s="497"/>
    </row>
    <row r="542">
      <c r="A542" s="501" t="s">
        <v>5187</v>
      </c>
      <c r="B542" s="518" t="str">
        <f>HYPERLINK("https://lifestyle.okezone.com/read/2019/03/17/481/2031134/berkaca-dari-lucinta-luna-bisakah-menstruasi-di-tanggal-yang-sama-tiap-bulan","Okezone")</f>
        <v>Okezone</v>
      </c>
      <c r="C542" s="467" t="s">
        <v>5671</v>
      </c>
      <c r="D542" s="467" t="s">
        <v>5675</v>
      </c>
      <c r="E542" s="467" t="s">
        <v>6241</v>
      </c>
      <c r="F542" s="497" t="s">
        <v>6399</v>
      </c>
      <c r="G542" s="498">
        <v>2.0</v>
      </c>
      <c r="H542" s="497" t="s">
        <v>6243</v>
      </c>
      <c r="I542" s="497" t="s">
        <v>2709</v>
      </c>
      <c r="J542" s="497" t="s">
        <v>6400</v>
      </c>
      <c r="K542" s="497" t="s">
        <v>5729</v>
      </c>
      <c r="L542" s="498">
        <v>3.0</v>
      </c>
      <c r="M542" s="497" t="s">
        <v>6401</v>
      </c>
      <c r="N542" s="497" t="s">
        <v>6402</v>
      </c>
      <c r="O542" s="498">
        <v>375.0</v>
      </c>
      <c r="P542" s="497" t="s">
        <v>6403</v>
      </c>
      <c r="Q542" s="499"/>
      <c r="R542" s="500"/>
      <c r="S542" s="500"/>
      <c r="T542" s="500"/>
      <c r="U542" s="500"/>
      <c r="V542" s="500"/>
      <c r="W542" s="500"/>
      <c r="X542" s="500"/>
      <c r="Y542" s="500"/>
      <c r="Z542" s="500"/>
      <c r="AA542" s="500"/>
      <c r="AB542" s="500"/>
      <c r="AC542" s="500"/>
      <c r="AD542" s="500"/>
      <c r="AE542" s="497"/>
    </row>
    <row r="543">
      <c r="A543" s="526" t="s">
        <v>5194</v>
      </c>
      <c r="B543" s="518" t="str">
        <f>HYPERLINK("https://tirto.id/wiranto-kembali-bantah-jokowi-akan-larang-azan-bila-menang-pilpres-dkn8","Tirto")</f>
        <v>Tirto</v>
      </c>
      <c r="C543" s="467" t="s">
        <v>5657</v>
      </c>
      <c r="D543" s="467" t="s">
        <v>5675</v>
      </c>
      <c r="E543" s="467" t="s">
        <v>6241</v>
      </c>
      <c r="F543" s="497" t="s">
        <v>1470</v>
      </c>
      <c r="G543" s="498">
        <v>2.0</v>
      </c>
      <c r="H543" s="497" t="s">
        <v>6243</v>
      </c>
      <c r="I543" s="497" t="s">
        <v>2704</v>
      </c>
      <c r="J543" s="497" t="s">
        <v>6404</v>
      </c>
      <c r="K543" s="497" t="s">
        <v>5711</v>
      </c>
      <c r="L543" s="498">
        <v>3.0</v>
      </c>
      <c r="M543" s="497" t="s">
        <v>6322</v>
      </c>
      <c r="N543" s="497" t="s">
        <v>6405</v>
      </c>
      <c r="O543" s="498">
        <v>1562.0</v>
      </c>
      <c r="P543" s="497" t="s">
        <v>6406</v>
      </c>
      <c r="Q543" s="499"/>
      <c r="R543" s="500"/>
      <c r="S543" s="500"/>
      <c r="T543" s="500"/>
      <c r="U543" s="500"/>
      <c r="V543" s="500"/>
      <c r="W543" s="500"/>
      <c r="X543" s="500"/>
      <c r="Y543" s="500"/>
      <c r="Z543" s="500"/>
      <c r="AA543" s="500"/>
      <c r="AB543" s="500"/>
      <c r="AC543" s="500"/>
      <c r="AD543" s="500"/>
      <c r="AE543" s="497"/>
    </row>
    <row r="544">
      <c r="A544" s="526" t="s">
        <v>5198</v>
      </c>
      <c r="B544" s="518" t="str">
        <f>HYPERLINK("https://internasional.kompas.com/read//042019/01/21505461/biografi-tokoh-dunia-marvin-gaye-penyanyi-as-berjuluk-pangeran-soul","Kompas")</f>
        <v>Kompas</v>
      </c>
      <c r="C544" s="467" t="s">
        <v>5682</v>
      </c>
      <c r="D544" s="467" t="s">
        <v>5683</v>
      </c>
      <c r="E544" s="467" t="s">
        <v>6241</v>
      </c>
      <c r="F544" s="497" t="s">
        <v>6407</v>
      </c>
      <c r="G544" s="498">
        <v>2.0</v>
      </c>
      <c r="H544" s="497" t="s">
        <v>6243</v>
      </c>
      <c r="I544" s="497" t="s">
        <v>2724</v>
      </c>
      <c r="J544" s="497" t="s">
        <v>6408</v>
      </c>
      <c r="K544" s="497" t="s">
        <v>5721</v>
      </c>
      <c r="L544" s="498">
        <v>4.0</v>
      </c>
      <c r="M544" s="497" t="s">
        <v>5879</v>
      </c>
      <c r="N544" s="497" t="s">
        <v>6409</v>
      </c>
      <c r="O544" s="498">
        <v>330.0</v>
      </c>
      <c r="P544" s="497" t="s">
        <v>6410</v>
      </c>
      <c r="Q544" s="499"/>
      <c r="R544" s="500"/>
      <c r="S544" s="500"/>
      <c r="T544" s="500"/>
      <c r="U544" s="500"/>
      <c r="V544" s="500"/>
      <c r="W544" s="500"/>
      <c r="X544" s="500"/>
      <c r="Y544" s="500"/>
      <c r="Z544" s="500"/>
      <c r="AA544" s="500"/>
      <c r="AB544" s="500"/>
      <c r="AC544" s="500"/>
      <c r="AD544" s="500"/>
      <c r="AE544" s="497"/>
    </row>
    <row r="545">
      <c r="A545" s="526" t="s">
        <v>5200</v>
      </c>
      <c r="B545" s="518" t="str">
        <f>HYPERLINK("https://internasional.republika.co.id/berita/internasional/asia/ppdq8z423/junta-militer-thailand-ajukan-gugatan-terhadap-ketua-partai","Republika")</f>
        <v>Republika</v>
      </c>
      <c r="C545" s="467" t="s">
        <v>5657</v>
      </c>
      <c r="D545" s="467" t="s">
        <v>5683</v>
      </c>
      <c r="E545" s="467" t="s">
        <v>6241</v>
      </c>
      <c r="F545" s="271" t="s">
        <v>5951</v>
      </c>
      <c r="G545" s="451"/>
      <c r="H545" s="451"/>
      <c r="I545" s="451"/>
      <c r="J545" s="451"/>
      <c r="K545" s="451"/>
      <c r="L545" s="451"/>
      <c r="M545" s="451"/>
      <c r="N545" s="451"/>
      <c r="O545" s="451"/>
      <c r="P545" s="451"/>
      <c r="Q545" s="451"/>
      <c r="R545" s="451"/>
      <c r="S545" s="451"/>
      <c r="T545" s="451"/>
      <c r="U545" s="451"/>
      <c r="V545" s="451"/>
      <c r="W545" s="451"/>
      <c r="X545" s="451"/>
      <c r="Y545" s="451"/>
      <c r="Z545" s="451"/>
      <c r="AA545" s="451"/>
      <c r="AB545" s="451"/>
      <c r="AC545" s="451"/>
      <c r="AD545" s="451"/>
    </row>
    <row r="546">
      <c r="A546" s="526" t="s">
        <v>5205</v>
      </c>
      <c r="B546" s="518" t="str">
        <f>HYPERLINK("https://nasional.republika.co.id/berita/nasional/umum/ppwbkt383/bkn-catat-ada-990-kasus-pelanggaran-netralitas-asn","Republika")</f>
        <v>Republika</v>
      </c>
      <c r="C546" s="467" t="s">
        <v>5670</v>
      </c>
      <c r="D546" s="467" t="s">
        <v>5683</v>
      </c>
      <c r="E546" s="467" t="s">
        <v>6241</v>
      </c>
      <c r="F546" s="271" t="s">
        <v>5951</v>
      </c>
      <c r="G546" s="451"/>
      <c r="H546" s="451"/>
      <c r="I546" s="451"/>
      <c r="J546" s="451"/>
      <c r="K546" s="451"/>
      <c r="L546" s="451"/>
      <c r="M546" s="451"/>
      <c r="N546" s="451"/>
      <c r="O546" s="451"/>
      <c r="P546" s="451"/>
      <c r="Q546" s="451"/>
      <c r="R546" s="451"/>
      <c r="S546" s="451"/>
      <c r="T546" s="451"/>
      <c r="U546" s="451"/>
      <c r="V546" s="451"/>
      <c r="W546" s="451"/>
      <c r="X546" s="451"/>
      <c r="Y546" s="451"/>
      <c r="Z546" s="451"/>
      <c r="AA546" s="451"/>
      <c r="AB546" s="451"/>
      <c r="AC546" s="451"/>
      <c r="AD546" s="451"/>
    </row>
    <row r="547">
      <c r="A547" s="526" t="s">
        <v>5208</v>
      </c>
      <c r="B547" s="518" t="str">
        <f>HYPERLINK("https://www.cnnindonesia.com/olahraga/20190415220312-156-386669/rossi-persaingan-motogp-sengit-hanya-karena-marquez-jatuh","CNN")</f>
        <v>CNN</v>
      </c>
      <c r="C547" s="467" t="s">
        <v>5681</v>
      </c>
      <c r="D547" s="467" t="s">
        <v>5683</v>
      </c>
      <c r="E547" s="467" t="s">
        <v>6241</v>
      </c>
      <c r="F547" s="497" t="s">
        <v>6411</v>
      </c>
      <c r="G547" s="498">
        <v>2.0</v>
      </c>
      <c r="H547" s="497" t="s">
        <v>6243</v>
      </c>
      <c r="I547" s="497" t="s">
        <v>2695</v>
      </c>
      <c r="J547" s="497" t="s">
        <v>6412</v>
      </c>
      <c r="K547" s="497" t="s">
        <v>5750</v>
      </c>
      <c r="L547" s="498">
        <v>4.0</v>
      </c>
      <c r="M547" s="497" t="s">
        <v>5879</v>
      </c>
      <c r="N547" s="497" t="s">
        <v>6413</v>
      </c>
      <c r="O547" s="498">
        <v>421.0</v>
      </c>
      <c r="P547" s="497" t="s">
        <v>6414</v>
      </c>
      <c r="Q547" s="500"/>
      <c r="R547" s="500"/>
      <c r="S547" s="500"/>
      <c r="T547" s="500"/>
      <c r="U547" s="500"/>
      <c r="V547" s="500"/>
      <c r="W547" s="500"/>
      <c r="X547" s="500"/>
      <c r="Y547" s="500"/>
      <c r="Z547" s="500"/>
      <c r="AA547" s="500"/>
      <c r="AB547" s="500"/>
      <c r="AC547" s="500"/>
      <c r="AD547" s="500"/>
      <c r="AE547" s="497"/>
    </row>
    <row r="548">
      <c r="A548" s="526" t="s">
        <v>5215</v>
      </c>
      <c r="B548" s="518" t="str">
        <f>HYPERLINK("https://seleb.tempo.co/read/1198935/dj-butterfly-melahirkan-bayi-perempuan-netizen-halo-mbah-mijan/full&amp;view=ok","Tempo.co")</f>
        <v>Tempo.co</v>
      </c>
      <c r="C548" s="467" t="s">
        <v>5657</v>
      </c>
      <c r="D548" s="467" t="s">
        <v>5683</v>
      </c>
      <c r="E548" s="467" t="s">
        <v>6241</v>
      </c>
      <c r="F548" s="497" t="s">
        <v>1506</v>
      </c>
      <c r="G548" s="498">
        <v>2.0</v>
      </c>
      <c r="H548" s="497" t="s">
        <v>6243</v>
      </c>
      <c r="I548" s="497" t="s">
        <v>2702</v>
      </c>
      <c r="J548" s="497" t="s">
        <v>5935</v>
      </c>
      <c r="K548" s="497" t="s">
        <v>5711</v>
      </c>
      <c r="L548" s="498">
        <v>4.0</v>
      </c>
      <c r="M548" s="497" t="s">
        <v>6415</v>
      </c>
      <c r="N548" s="497" t="s">
        <v>6416</v>
      </c>
      <c r="O548" s="498">
        <v>514.0</v>
      </c>
      <c r="P548" s="497" t="s">
        <v>6417</v>
      </c>
      <c r="Q548" s="499"/>
      <c r="R548" s="500"/>
      <c r="S548" s="500"/>
      <c r="T548" s="500"/>
      <c r="U548" s="500"/>
      <c r="V548" s="500"/>
      <c r="W548" s="500"/>
      <c r="X548" s="500"/>
      <c r="Y548" s="500"/>
      <c r="Z548" s="500"/>
      <c r="AA548" s="500"/>
      <c r="AB548" s="500"/>
      <c r="AC548" s="500"/>
      <c r="AD548" s="500"/>
      <c r="AE548" s="497"/>
    </row>
    <row r="549">
      <c r="A549" s="461" t="s">
        <v>6418</v>
      </c>
      <c r="B549" s="466" t="s">
        <v>5701</v>
      </c>
      <c r="C549" s="467" t="s">
        <v>5664</v>
      </c>
      <c r="D549" s="467" t="s">
        <v>5683</v>
      </c>
      <c r="E549" s="467" t="s">
        <v>5727</v>
      </c>
      <c r="F549" s="497" t="s">
        <v>568</v>
      </c>
      <c r="G549" s="498">
        <v>2.0</v>
      </c>
      <c r="H549" s="497" t="s">
        <v>5728</v>
      </c>
      <c r="I549" s="497" t="s">
        <v>2740</v>
      </c>
      <c r="J549" s="497" t="s">
        <v>6419</v>
      </c>
      <c r="K549" s="497" t="s">
        <v>5754</v>
      </c>
      <c r="L549" s="498">
        <v>4.0</v>
      </c>
      <c r="M549" s="497" t="s">
        <v>6070</v>
      </c>
      <c r="N549" s="497" t="s">
        <v>6420</v>
      </c>
      <c r="O549" s="498">
        <v>410.0</v>
      </c>
      <c r="P549" s="497" t="s">
        <v>6421</v>
      </c>
      <c r="Q549" s="500"/>
      <c r="R549" s="500"/>
      <c r="S549" s="500"/>
      <c r="T549" s="500"/>
      <c r="U549" s="500"/>
      <c r="V549" s="500"/>
      <c r="W549" s="500"/>
      <c r="X549" s="500"/>
      <c r="Y549" s="500"/>
      <c r="Z549" s="500"/>
      <c r="AA549" s="500"/>
      <c r="AB549" s="500"/>
      <c r="AC549" s="500"/>
      <c r="AD549" s="500"/>
      <c r="AE549" s="497"/>
    </row>
    <row r="550">
      <c r="A550" s="461" t="s">
        <v>571</v>
      </c>
      <c r="B550" s="467" t="s">
        <v>2707</v>
      </c>
      <c r="C550" s="467" t="s">
        <v>5664</v>
      </c>
      <c r="D550" s="467" t="s">
        <v>5683</v>
      </c>
      <c r="E550" s="467" t="s">
        <v>5727</v>
      </c>
      <c r="F550" s="271" t="s">
        <v>6308</v>
      </c>
      <c r="G550" s="451"/>
      <c r="H550" s="451"/>
      <c r="I550" s="451"/>
      <c r="J550" s="451"/>
      <c r="K550" s="451"/>
      <c r="L550" s="451"/>
      <c r="M550" s="451"/>
      <c r="N550" s="451"/>
      <c r="O550" s="451"/>
      <c r="P550" s="451"/>
      <c r="Q550" s="451"/>
      <c r="R550" s="451"/>
      <c r="S550" s="451"/>
      <c r="T550" s="451"/>
      <c r="U550" s="451"/>
      <c r="V550" s="451"/>
      <c r="W550" s="451"/>
      <c r="X550" s="451"/>
      <c r="Y550" s="451"/>
      <c r="Z550" s="451"/>
      <c r="AA550" s="451"/>
      <c r="AB550" s="451"/>
      <c r="AC550" s="451"/>
      <c r="AD550" s="451"/>
    </row>
    <row r="551">
      <c r="A551" s="461" t="s">
        <v>6422</v>
      </c>
      <c r="B551" s="467" t="s">
        <v>2698</v>
      </c>
      <c r="C551" s="467" t="s">
        <v>5664</v>
      </c>
      <c r="D551" s="467" t="s">
        <v>5683</v>
      </c>
      <c r="E551" s="467" t="s">
        <v>5727</v>
      </c>
      <c r="F551" s="497" t="s">
        <v>572</v>
      </c>
      <c r="G551" s="498">
        <v>2.0</v>
      </c>
      <c r="H551" s="497" t="s">
        <v>5728</v>
      </c>
      <c r="I551" s="497" t="s">
        <v>2698</v>
      </c>
      <c r="J551" s="497" t="s">
        <v>6423</v>
      </c>
      <c r="K551" s="497" t="s">
        <v>5754</v>
      </c>
      <c r="L551" s="498">
        <v>4.0</v>
      </c>
      <c r="M551" s="497" t="s">
        <v>6023</v>
      </c>
      <c r="N551" s="497" t="s">
        <v>6424</v>
      </c>
      <c r="O551" s="498">
        <v>347.0</v>
      </c>
      <c r="P551" s="497" t="s">
        <v>6425</v>
      </c>
      <c r="Q551" s="499"/>
      <c r="R551" s="500"/>
      <c r="S551" s="500"/>
      <c r="T551" s="500"/>
      <c r="U551" s="500"/>
      <c r="V551" s="500"/>
      <c r="W551" s="500"/>
      <c r="X551" s="500"/>
      <c r="Y551" s="500"/>
      <c r="Z551" s="500"/>
      <c r="AA551" s="500"/>
      <c r="AB551" s="500"/>
      <c r="AC551" s="500"/>
      <c r="AD551" s="500"/>
      <c r="AE551" s="497"/>
    </row>
    <row r="552">
      <c r="A552" s="526" t="s">
        <v>5221</v>
      </c>
      <c r="B552" s="466" t="s">
        <v>6426</v>
      </c>
      <c r="C552" s="467" t="s">
        <v>5664</v>
      </c>
      <c r="D552" s="467" t="s">
        <v>5692</v>
      </c>
      <c r="E552" s="467" t="s">
        <v>6241</v>
      </c>
      <c r="F552" s="497" t="s">
        <v>6427</v>
      </c>
      <c r="G552" s="498">
        <v>2.0</v>
      </c>
      <c r="H552" s="497" t="s">
        <v>6243</v>
      </c>
      <c r="I552" s="497" t="s">
        <v>2724</v>
      </c>
      <c r="J552" s="497" t="s">
        <v>6428</v>
      </c>
      <c r="K552" s="497" t="s">
        <v>5754</v>
      </c>
      <c r="L552" s="498">
        <v>5.0</v>
      </c>
      <c r="M552" s="497" t="s">
        <v>5828</v>
      </c>
      <c r="N552" s="497" t="s">
        <v>6429</v>
      </c>
      <c r="O552" s="498">
        <v>230.0</v>
      </c>
      <c r="P552" s="497" t="s">
        <v>6430</v>
      </c>
      <c r="Q552" s="500"/>
      <c r="R552" s="500"/>
      <c r="S552" s="500"/>
      <c r="T552" s="500"/>
      <c r="U552" s="500"/>
      <c r="V552" s="500"/>
      <c r="W552" s="500"/>
      <c r="X552" s="500"/>
      <c r="Y552" s="500"/>
      <c r="Z552" s="500"/>
      <c r="AA552" s="500"/>
      <c r="AB552" s="500"/>
      <c r="AC552" s="500"/>
      <c r="AD552" s="500"/>
      <c r="AE552" s="497"/>
    </row>
    <row r="553">
      <c r="A553" s="526" t="s">
        <v>5223</v>
      </c>
      <c r="B553" s="466" t="s">
        <v>6426</v>
      </c>
      <c r="C553" s="467" t="s">
        <v>5671</v>
      </c>
      <c r="D553" s="467" t="s">
        <v>5692</v>
      </c>
      <c r="E553" s="467" t="s">
        <v>6241</v>
      </c>
      <c r="F553" s="497" t="s">
        <v>6431</v>
      </c>
      <c r="G553" s="498">
        <v>2.0</v>
      </c>
      <c r="H553" s="497" t="s">
        <v>6243</v>
      </c>
      <c r="I553" s="497" t="s">
        <v>2724</v>
      </c>
      <c r="J553" s="497" t="s">
        <v>6432</v>
      </c>
      <c r="K553" s="497" t="s">
        <v>5729</v>
      </c>
      <c r="L553" s="498">
        <v>5.0</v>
      </c>
      <c r="M553" s="497" t="s">
        <v>5879</v>
      </c>
      <c r="N553" s="497" t="s">
        <v>6433</v>
      </c>
      <c r="O553" s="498">
        <v>314.0</v>
      </c>
      <c r="P553" s="497" t="s">
        <v>6434</v>
      </c>
      <c r="Q553" s="500"/>
      <c r="R553" s="500"/>
      <c r="S553" s="500"/>
      <c r="T553" s="500"/>
      <c r="U553" s="500"/>
      <c r="V553" s="500"/>
      <c r="W553" s="500"/>
      <c r="X553" s="500"/>
      <c r="Y553" s="500"/>
      <c r="Z553" s="500"/>
      <c r="AA553" s="500"/>
      <c r="AB553" s="500"/>
      <c r="AC553" s="500"/>
      <c r="AD553" s="500"/>
      <c r="AE553" s="497"/>
    </row>
    <row r="554">
      <c r="A554" s="526" t="s">
        <v>5230</v>
      </c>
      <c r="B554" s="518" t="str">
        <f>HYPERLINK("https://www.cnnindonesia.com/nasional/20190523183732-20-397900/ylbhi-sebut-pola-kericuhan-aksi-22-mei-mirip-kerusuhan-1998","CNN")</f>
        <v>CNN</v>
      </c>
      <c r="C554" s="467" t="s">
        <v>5664</v>
      </c>
      <c r="D554" s="467" t="s">
        <v>5692</v>
      </c>
      <c r="E554" s="467" t="s">
        <v>6241</v>
      </c>
      <c r="F554" s="497" t="s">
        <v>6435</v>
      </c>
      <c r="G554" s="498">
        <v>2.0</v>
      </c>
      <c r="H554" s="497" t="s">
        <v>6243</v>
      </c>
      <c r="I554" s="497" t="s">
        <v>2695</v>
      </c>
      <c r="J554" s="497" t="s">
        <v>6436</v>
      </c>
      <c r="K554" s="497" t="s">
        <v>5754</v>
      </c>
      <c r="L554" s="498">
        <v>5.0</v>
      </c>
      <c r="M554" s="497" t="s">
        <v>6270</v>
      </c>
      <c r="N554" s="497" t="s">
        <v>6437</v>
      </c>
      <c r="O554" s="498">
        <v>891.0</v>
      </c>
      <c r="P554" s="497" t="s">
        <v>6438</v>
      </c>
      <c r="Q554" s="500"/>
      <c r="R554" s="500"/>
      <c r="S554" s="500"/>
      <c r="T554" s="500"/>
      <c r="U554" s="500"/>
      <c r="V554" s="500"/>
      <c r="W554" s="500"/>
      <c r="X554" s="500"/>
      <c r="Y554" s="500"/>
      <c r="Z554" s="500"/>
      <c r="AA554" s="500"/>
      <c r="AB554" s="500"/>
      <c r="AC554" s="500"/>
      <c r="AD554" s="500"/>
      <c r="AE554" s="497"/>
    </row>
    <row r="555">
      <c r="A555" s="526" t="s">
        <v>5234</v>
      </c>
      <c r="B555" s="518" t="str">
        <f>HYPERLINK("https://tirto.id/strong-girl-bong-soon-episode-6-trans-tv-sore-ini-bong-soon-pindah-ecvq","Tirto")</f>
        <v>Tirto</v>
      </c>
      <c r="C555" s="467" t="s">
        <v>5682</v>
      </c>
      <c r="D555" s="467" t="s">
        <v>5692</v>
      </c>
      <c r="E555" s="467" t="s">
        <v>6241</v>
      </c>
      <c r="F555" s="497" t="s">
        <v>6439</v>
      </c>
      <c r="G555" s="498">
        <v>2.0</v>
      </c>
      <c r="H555" s="497" t="s">
        <v>6243</v>
      </c>
      <c r="I555" s="497" t="s">
        <v>2704</v>
      </c>
      <c r="J555" s="497" t="s">
        <v>6440</v>
      </c>
      <c r="K555" s="497" t="s">
        <v>5721</v>
      </c>
      <c r="L555" s="498">
        <v>5.0</v>
      </c>
      <c r="M555" s="497" t="s">
        <v>5993</v>
      </c>
      <c r="N555" s="497" t="s">
        <v>6441</v>
      </c>
      <c r="O555" s="498">
        <v>218.0</v>
      </c>
      <c r="P555" s="497" t="s">
        <v>6442</v>
      </c>
      <c r="Q555" s="499"/>
      <c r="R555" s="500"/>
      <c r="S555" s="500"/>
      <c r="T555" s="500"/>
      <c r="U555" s="500"/>
      <c r="V555" s="500"/>
      <c r="W555" s="500"/>
      <c r="X555" s="500"/>
      <c r="Y555" s="500"/>
      <c r="Z555" s="500"/>
      <c r="AA555" s="500"/>
      <c r="AB555" s="500"/>
      <c r="AC555" s="500"/>
      <c r="AD555" s="500"/>
      <c r="AE555" s="497"/>
    </row>
    <row r="556">
      <c r="A556" s="526" t="s">
        <v>5236</v>
      </c>
      <c r="B556" s="467" t="s">
        <v>6109</v>
      </c>
      <c r="C556" s="467" t="s">
        <v>5667</v>
      </c>
      <c r="D556" s="467" t="s">
        <v>5705</v>
      </c>
      <c r="E556" s="467" t="s">
        <v>6241</v>
      </c>
      <c r="F556" s="271" t="s">
        <v>6308</v>
      </c>
      <c r="G556" s="451"/>
      <c r="H556" s="451"/>
      <c r="I556" s="451"/>
      <c r="J556" s="451"/>
      <c r="K556" s="451"/>
      <c r="L556" s="451"/>
      <c r="M556" s="451"/>
      <c r="N556" s="451"/>
      <c r="O556" s="451"/>
      <c r="P556" s="451"/>
      <c r="Q556" s="451"/>
      <c r="R556" s="451"/>
      <c r="S556" s="451"/>
      <c r="T556" s="451"/>
      <c r="U556" s="451"/>
      <c r="V556" s="451"/>
      <c r="W556" s="451"/>
      <c r="X556" s="451"/>
      <c r="Y556" s="451"/>
      <c r="Z556" s="451"/>
      <c r="AA556" s="451"/>
      <c r="AB556" s="451"/>
      <c r="AC556" s="451"/>
      <c r="AD556" s="451"/>
    </row>
    <row r="557">
      <c r="A557" s="526" t="s">
        <v>5237</v>
      </c>
      <c r="B557" s="466" t="s">
        <v>5699</v>
      </c>
      <c r="C557" s="467" t="s">
        <v>5682</v>
      </c>
      <c r="D557" s="467" t="s">
        <v>5705</v>
      </c>
      <c r="E557" s="467" t="s">
        <v>6241</v>
      </c>
      <c r="F557" s="271" t="s">
        <v>6308</v>
      </c>
      <c r="G557" s="451"/>
      <c r="H557" s="451"/>
      <c r="I557" s="451"/>
      <c r="J557" s="451"/>
      <c r="K557" s="451"/>
      <c r="L557" s="451"/>
      <c r="M557" s="451"/>
      <c r="N557" s="451"/>
      <c r="O557" s="451"/>
      <c r="P557" s="451"/>
      <c r="Q557" s="451"/>
      <c r="R557" s="451"/>
      <c r="S557" s="451"/>
      <c r="T557" s="451"/>
      <c r="U557" s="451"/>
      <c r="V557" s="451"/>
      <c r="W557" s="451"/>
      <c r="X557" s="451"/>
      <c r="Y557" s="451"/>
      <c r="Z557" s="451"/>
      <c r="AA557" s="451"/>
      <c r="AB557" s="451"/>
      <c r="AC557" s="451"/>
      <c r="AD557" s="451"/>
    </row>
    <row r="558">
      <c r="A558" s="526" t="s">
        <v>5244</v>
      </c>
      <c r="B558" s="518" t="str">
        <f>HYPERLINK("https://gayahidup.republika.co.id/berita/gaya-hidup/kuliner/ptt358328/mengintip-jajanan-lezat-di-festival-makanan-singapura","Republika")</f>
        <v>Republika</v>
      </c>
      <c r="C558" s="467" t="s">
        <v>5667</v>
      </c>
      <c r="D558" s="467" t="s">
        <v>5705</v>
      </c>
      <c r="E558" s="467" t="s">
        <v>6241</v>
      </c>
      <c r="F558" s="271" t="s">
        <v>6308</v>
      </c>
      <c r="G558" s="451"/>
      <c r="H558" s="451"/>
      <c r="I558" s="451"/>
      <c r="J558" s="451"/>
      <c r="K558" s="451"/>
      <c r="L558" s="451"/>
      <c r="M558" s="451"/>
      <c r="N558" s="451"/>
      <c r="O558" s="451"/>
      <c r="P558" s="451"/>
      <c r="Q558" s="451"/>
      <c r="R558" s="451"/>
      <c r="S558" s="451"/>
      <c r="T558" s="451"/>
      <c r="U558" s="451"/>
      <c r="V558" s="451"/>
      <c r="W558" s="451"/>
      <c r="X558" s="451"/>
      <c r="Y558" s="451"/>
      <c r="Z558" s="451"/>
      <c r="AA558" s="451"/>
      <c r="AB558" s="451"/>
      <c r="AC558" s="451"/>
      <c r="AD558" s="451"/>
    </row>
    <row r="559">
      <c r="A559" s="526" t="s">
        <v>5245</v>
      </c>
      <c r="B559" s="467" t="s">
        <v>6109</v>
      </c>
      <c r="C559" s="467" t="s">
        <v>5670</v>
      </c>
      <c r="D559" s="467" t="s">
        <v>5705</v>
      </c>
      <c r="E559" s="467" t="s">
        <v>6241</v>
      </c>
      <c r="F559" s="497" t="s">
        <v>6443</v>
      </c>
      <c r="G559" s="498">
        <v>2.0</v>
      </c>
      <c r="H559" s="497" t="s">
        <v>6243</v>
      </c>
      <c r="I559" s="497" t="s">
        <v>2695</v>
      </c>
      <c r="J559" s="497" t="s">
        <v>6444</v>
      </c>
      <c r="K559" s="497" t="s">
        <v>5786</v>
      </c>
      <c r="L559" s="498">
        <v>6.0</v>
      </c>
      <c r="M559" s="497" t="s">
        <v>6270</v>
      </c>
      <c r="N559" s="497" t="s">
        <v>6445</v>
      </c>
      <c r="O559" s="498">
        <v>341.0</v>
      </c>
      <c r="P559" s="497" t="s">
        <v>6446</v>
      </c>
      <c r="Q559" s="500"/>
      <c r="R559" s="500"/>
      <c r="S559" s="500"/>
      <c r="T559" s="500"/>
      <c r="U559" s="500"/>
      <c r="V559" s="500"/>
      <c r="W559" s="500"/>
      <c r="X559" s="500"/>
      <c r="Y559" s="500"/>
      <c r="Z559" s="500"/>
      <c r="AA559" s="500"/>
      <c r="AB559" s="500"/>
      <c r="AC559" s="500"/>
      <c r="AD559" s="500"/>
      <c r="AE559" s="497"/>
    </row>
    <row r="560">
      <c r="A560" s="526" t="s">
        <v>5250</v>
      </c>
      <c r="B560" s="518" t="str">
        <f>HYPERLINK("https://gayahidup.republika.co.id/berita/pu1st0459/135-juta-warga-china-terdaftar-sebagai-donor-organ","Republika")</f>
        <v>Republika</v>
      </c>
      <c r="C560" s="467" t="s">
        <v>5657</v>
      </c>
      <c r="D560" s="467" t="s">
        <v>5716</v>
      </c>
      <c r="E560" s="467" t="s">
        <v>6241</v>
      </c>
      <c r="F560" s="497" t="s">
        <v>6447</v>
      </c>
      <c r="G560" s="498">
        <v>2.0</v>
      </c>
      <c r="H560" s="497" t="s">
        <v>6243</v>
      </c>
      <c r="I560" s="497" t="s">
        <v>2707</v>
      </c>
      <c r="J560" s="497" t="s">
        <v>6448</v>
      </c>
      <c r="K560" s="497" t="s">
        <v>5711</v>
      </c>
      <c r="L560" s="498">
        <v>7.0</v>
      </c>
      <c r="M560" s="497" t="s">
        <v>6449</v>
      </c>
      <c r="N560" s="497" t="s">
        <v>6450</v>
      </c>
      <c r="O560" s="498">
        <v>434.0</v>
      </c>
      <c r="P560" s="497" t="s">
        <v>6451</v>
      </c>
      <c r="Q560" s="499"/>
      <c r="R560" s="500"/>
      <c r="S560" s="500"/>
      <c r="T560" s="500"/>
      <c r="U560" s="500"/>
      <c r="V560" s="500"/>
      <c r="W560" s="500"/>
      <c r="X560" s="500"/>
      <c r="Y560" s="500"/>
      <c r="Z560" s="500"/>
      <c r="AA560" s="500"/>
      <c r="AB560" s="500"/>
      <c r="AC560" s="500"/>
      <c r="AD560" s="500"/>
      <c r="AE560" s="497"/>
    </row>
    <row r="561">
      <c r="A561" s="527" t="s">
        <v>5254</v>
      </c>
      <c r="B561" s="518" t="str">
        <f>HYPERLINK("https://celebrity.okezone.com/read/2019/07/05/33/2075089/tampil-seseksi-mungkin-cara-fairuz-a-rafiq-puaskan-sonny-septian","Okezone")</f>
        <v>Okezone</v>
      </c>
      <c r="C561" s="467" t="s">
        <v>5670</v>
      </c>
      <c r="D561" s="467" t="s">
        <v>5716</v>
      </c>
      <c r="E561" s="467" t="s">
        <v>6241</v>
      </c>
      <c r="F561" s="497" t="s">
        <v>6452</v>
      </c>
      <c r="G561" s="498">
        <v>2.0</v>
      </c>
      <c r="H561" s="497" t="s">
        <v>6243</v>
      </c>
      <c r="I561" s="497" t="s">
        <v>2709</v>
      </c>
      <c r="J561" s="497" t="s">
        <v>1364</v>
      </c>
      <c r="K561" s="497" t="s">
        <v>5786</v>
      </c>
      <c r="L561" s="498">
        <v>7.0</v>
      </c>
      <c r="M561" s="497" t="s">
        <v>5987</v>
      </c>
      <c r="N561" s="497" t="s">
        <v>6453</v>
      </c>
      <c r="O561" s="498">
        <v>252.0</v>
      </c>
      <c r="P561" s="497" t="s">
        <v>6454</v>
      </c>
      <c r="Q561" s="499"/>
      <c r="R561" s="500"/>
      <c r="S561" s="500"/>
      <c r="T561" s="500"/>
      <c r="U561" s="500"/>
      <c r="V561" s="500"/>
      <c r="W561" s="500"/>
      <c r="X561" s="500"/>
      <c r="Y561" s="500"/>
      <c r="Z561" s="500"/>
      <c r="AA561" s="500"/>
      <c r="AB561" s="500"/>
      <c r="AC561" s="500"/>
      <c r="AD561" s="500"/>
      <c r="AE561" s="497"/>
    </row>
    <row r="562">
      <c r="A562" s="527" t="s">
        <v>5256</v>
      </c>
      <c r="B562" s="518" t="str">
        <f>HYPERLINK("https://tirto.id/temuan-manusia-purba-di-brebes-bisa-ubah-materi-sejarah-di-sekolah-eeaa","Tirto")</f>
        <v>Tirto</v>
      </c>
      <c r="C562" s="467" t="s">
        <v>5670</v>
      </c>
      <c r="D562" s="467" t="s">
        <v>5716</v>
      </c>
      <c r="E562" s="467" t="s">
        <v>6241</v>
      </c>
      <c r="F562" s="497" t="s">
        <v>2443</v>
      </c>
      <c r="G562" s="498">
        <v>2.0</v>
      </c>
      <c r="H562" s="497" t="s">
        <v>6243</v>
      </c>
      <c r="I562" s="497" t="s">
        <v>2704</v>
      </c>
      <c r="J562" s="497" t="s">
        <v>6455</v>
      </c>
      <c r="K562" s="497" t="s">
        <v>5786</v>
      </c>
      <c r="L562" s="498">
        <v>7.0</v>
      </c>
      <c r="M562" s="497" t="s">
        <v>6357</v>
      </c>
      <c r="N562" s="497" t="s">
        <v>6456</v>
      </c>
      <c r="O562" s="498">
        <v>1034.0</v>
      </c>
      <c r="P562" s="497" t="s">
        <v>6457</v>
      </c>
      <c r="Q562" s="499"/>
      <c r="R562" s="500"/>
      <c r="S562" s="500"/>
      <c r="T562" s="500"/>
      <c r="U562" s="500"/>
      <c r="V562" s="500"/>
      <c r="W562" s="500"/>
      <c r="X562" s="500"/>
      <c r="Y562" s="500"/>
      <c r="Z562" s="500"/>
      <c r="AA562" s="500"/>
      <c r="AB562" s="500"/>
      <c r="AC562" s="500"/>
      <c r="AD562" s="500"/>
      <c r="AE562" s="497"/>
    </row>
    <row r="563">
      <c r="A563" s="527" t="s">
        <v>5260</v>
      </c>
      <c r="B563" s="467" t="s">
        <v>6109</v>
      </c>
      <c r="C563" s="467" t="s">
        <v>5667</v>
      </c>
      <c r="D563" s="467" t="s">
        <v>5716</v>
      </c>
      <c r="E563" s="467" t="s">
        <v>6241</v>
      </c>
      <c r="F563" s="271" t="s">
        <v>6308</v>
      </c>
      <c r="G563" s="451"/>
      <c r="H563" s="451"/>
      <c r="I563" s="451"/>
      <c r="J563" s="451"/>
      <c r="K563" s="451"/>
      <c r="L563" s="451"/>
      <c r="M563" s="451"/>
      <c r="N563" s="451"/>
      <c r="O563" s="451"/>
      <c r="P563" s="451"/>
      <c r="Q563" s="451"/>
      <c r="R563" s="451"/>
      <c r="S563" s="451"/>
      <c r="T563" s="451"/>
      <c r="U563" s="451"/>
      <c r="V563" s="451"/>
      <c r="W563" s="451"/>
      <c r="X563" s="451"/>
      <c r="Y563" s="451"/>
      <c r="Z563" s="451"/>
      <c r="AA563" s="451"/>
      <c r="AB563" s="451"/>
      <c r="AC563" s="451"/>
      <c r="AD563" s="451"/>
    </row>
    <row r="564">
      <c r="A564" s="527" t="s">
        <v>5264</v>
      </c>
      <c r="B564" s="518" t="str">
        <f>HYPERLINK("https://regional.kompas.com/read/2019/07/28/08000031/granat-ditemukan-di-galian-tambang-kalsel","Kompas")</f>
        <v>Kompas</v>
      </c>
      <c r="C564" s="467" t="s">
        <v>5671</v>
      </c>
      <c r="D564" s="467" t="s">
        <v>5716</v>
      </c>
      <c r="E564" s="467" t="s">
        <v>6241</v>
      </c>
      <c r="F564" s="497" t="s">
        <v>6458</v>
      </c>
      <c r="G564" s="498">
        <v>2.0</v>
      </c>
      <c r="H564" s="497" t="s">
        <v>6243</v>
      </c>
      <c r="I564" s="497" t="s">
        <v>2724</v>
      </c>
      <c r="J564" s="497" t="s">
        <v>6135</v>
      </c>
      <c r="K564" s="497" t="s">
        <v>5729</v>
      </c>
      <c r="L564" s="498">
        <v>7.0</v>
      </c>
      <c r="M564" s="497" t="s">
        <v>6317</v>
      </c>
      <c r="N564" s="497" t="s">
        <v>6459</v>
      </c>
      <c r="O564" s="498">
        <v>379.0</v>
      </c>
      <c r="P564" s="497" t="s">
        <v>6460</v>
      </c>
      <c r="Q564" s="499"/>
      <c r="R564" s="500"/>
      <c r="S564" s="500"/>
      <c r="T564" s="500"/>
      <c r="U564" s="500"/>
      <c r="V564" s="500"/>
      <c r="W564" s="500"/>
      <c r="X564" s="500"/>
      <c r="Y564" s="500"/>
      <c r="Z564" s="500"/>
      <c r="AA564" s="500"/>
      <c r="AB564" s="500"/>
      <c r="AC564" s="500"/>
      <c r="AD564" s="500"/>
      <c r="AE564" s="497"/>
    </row>
    <row r="565">
      <c r="A565" s="527" t="s">
        <v>5265</v>
      </c>
      <c r="B565" s="518" t="str">
        <f>HYPERLINK("https://travel.tempo.co/read/1229669/unesco-pun-terpesona-dengan-lokasi-wisata-di-indonesia-ini/full&amp;view=ok","Tempo.co")</f>
        <v>Tempo.co</v>
      </c>
      <c r="C565" s="467" t="s">
        <v>5682</v>
      </c>
      <c r="D565" s="467" t="s">
        <v>5716</v>
      </c>
      <c r="E565" s="467" t="s">
        <v>6241</v>
      </c>
      <c r="F565" s="497" t="s">
        <v>6461</v>
      </c>
      <c r="G565" s="498">
        <v>2.0</v>
      </c>
      <c r="H565" s="497" t="s">
        <v>6243</v>
      </c>
      <c r="I565" s="497" t="s">
        <v>2702</v>
      </c>
      <c r="J565" s="497" t="s">
        <v>6462</v>
      </c>
      <c r="K565" s="497" t="s">
        <v>5721</v>
      </c>
      <c r="L565" s="498">
        <v>7.0</v>
      </c>
      <c r="M565" s="497" t="s">
        <v>6463</v>
      </c>
      <c r="N565" s="497" t="s">
        <v>6464</v>
      </c>
      <c r="O565" s="498">
        <v>250.0</v>
      </c>
      <c r="P565" s="497" t="s">
        <v>6465</v>
      </c>
      <c r="Q565" s="499"/>
      <c r="R565" s="500"/>
      <c r="S565" s="500"/>
      <c r="T565" s="500"/>
      <c r="U565" s="500"/>
      <c r="V565" s="500"/>
      <c r="W565" s="500"/>
      <c r="X565" s="500"/>
      <c r="Y565" s="500"/>
      <c r="Z565" s="500"/>
      <c r="AA565" s="500"/>
      <c r="AB565" s="500"/>
      <c r="AC565" s="500"/>
      <c r="AD565" s="500"/>
      <c r="AE565" s="497"/>
    </row>
    <row r="566">
      <c r="A566" s="527" t="s">
        <v>5266</v>
      </c>
      <c r="B566" s="518" t="str">
        <f>HYPERLINK("https://tirto.id/pernyataan-jokowi-soal-fpi-bisa-berdampak-negatif-ke-kelompok-lain-efgz","Tirto")</f>
        <v>Tirto</v>
      </c>
      <c r="C566" s="467" t="s">
        <v>5681</v>
      </c>
      <c r="D566" s="467" t="s">
        <v>5716</v>
      </c>
      <c r="E566" s="467" t="s">
        <v>6241</v>
      </c>
      <c r="F566" s="497" t="s">
        <v>6466</v>
      </c>
      <c r="G566" s="498">
        <v>2.0</v>
      </c>
      <c r="H566" s="497" t="s">
        <v>6243</v>
      </c>
      <c r="I566" s="497" t="s">
        <v>2704</v>
      </c>
      <c r="J566" s="497" t="s">
        <v>5969</v>
      </c>
      <c r="K566" s="497" t="s">
        <v>5750</v>
      </c>
      <c r="L566" s="498">
        <v>7.0</v>
      </c>
      <c r="M566" s="497" t="s">
        <v>6317</v>
      </c>
      <c r="N566" s="497" t="s">
        <v>6467</v>
      </c>
      <c r="O566" s="498">
        <v>1034.0</v>
      </c>
      <c r="P566" s="497" t="s">
        <v>6468</v>
      </c>
      <c r="Q566" s="499"/>
      <c r="R566" s="500"/>
      <c r="S566" s="500"/>
      <c r="T566" s="500"/>
      <c r="U566" s="500"/>
      <c r="V566" s="500"/>
      <c r="W566" s="500"/>
      <c r="X566" s="500"/>
      <c r="Y566" s="500"/>
      <c r="Z566" s="500"/>
      <c r="AA566" s="500"/>
      <c r="AB566" s="500"/>
      <c r="AC566" s="500"/>
      <c r="AD566" s="500"/>
      <c r="AE566" s="497"/>
    </row>
    <row r="567">
      <c r="A567" s="527" t="s">
        <v>5268</v>
      </c>
      <c r="B567" s="518" t="str">
        <f>HYPERLINK("https://www.suara.com/lifestyle/2019/08/01/113500/demi-sahabat-pria-pria-ini-rela-pakai-piyama-pink-dan-jadi-bridesmaid","Suara")</f>
        <v>Suara</v>
      </c>
      <c r="C567" s="467" t="s">
        <v>5664</v>
      </c>
      <c r="D567" s="467" t="s">
        <v>5719</v>
      </c>
      <c r="E567" s="467" t="s">
        <v>6241</v>
      </c>
      <c r="F567" s="497" t="s">
        <v>2461</v>
      </c>
      <c r="G567" s="498">
        <v>2.0</v>
      </c>
      <c r="H567" s="497" t="s">
        <v>6243</v>
      </c>
      <c r="I567" s="497" t="s">
        <v>2698</v>
      </c>
      <c r="J567" s="497" t="s">
        <v>6469</v>
      </c>
      <c r="K567" s="497" t="s">
        <v>5754</v>
      </c>
      <c r="L567" s="498">
        <v>8.0</v>
      </c>
      <c r="M567" s="497" t="s">
        <v>5824</v>
      </c>
      <c r="N567" s="497" t="s">
        <v>6470</v>
      </c>
      <c r="O567" s="498">
        <v>307.0</v>
      </c>
      <c r="P567" s="497" t="s">
        <v>6471</v>
      </c>
      <c r="Q567" s="499"/>
      <c r="R567" s="500"/>
      <c r="S567" s="500"/>
      <c r="T567" s="500"/>
      <c r="U567" s="500"/>
      <c r="V567" s="500"/>
      <c r="W567" s="500"/>
      <c r="X567" s="500"/>
      <c r="Y567" s="500"/>
      <c r="Z567" s="500"/>
      <c r="AA567" s="500"/>
      <c r="AB567" s="500"/>
      <c r="AC567" s="500"/>
      <c r="AD567" s="500"/>
      <c r="AE567" s="497"/>
    </row>
    <row r="568">
      <c r="A568" s="527" t="s">
        <v>5272</v>
      </c>
      <c r="B568" s="518" t="str">
        <f>HYPERLINK("https://www.tribunnews.com/nasional/2019/08/10/made-urip-anggota-dpr-ri-asal-bali-kembali-jadi-pengurus-dpd-pdip-ketua-bidang-pertanian?page=all","Tribun")</f>
        <v>Tribun</v>
      </c>
      <c r="C568" s="467" t="s">
        <v>5670</v>
      </c>
      <c r="D568" s="467" t="s">
        <v>5719</v>
      </c>
      <c r="E568" s="467" t="s">
        <v>6241</v>
      </c>
      <c r="F568" s="271" t="s">
        <v>6472</v>
      </c>
      <c r="G568" s="451"/>
      <c r="H568" s="451"/>
      <c r="I568" s="451"/>
      <c r="J568" s="451"/>
      <c r="K568" s="451"/>
      <c r="L568" s="451"/>
      <c r="M568" s="451"/>
      <c r="N568" s="451"/>
      <c r="O568" s="451"/>
      <c r="P568" s="451"/>
      <c r="Q568" s="451"/>
      <c r="R568" s="451"/>
      <c r="S568" s="451"/>
      <c r="T568" s="451"/>
      <c r="U568" s="451"/>
      <c r="V568" s="451"/>
      <c r="W568" s="451"/>
      <c r="X568" s="451"/>
      <c r="Y568" s="451"/>
      <c r="Z568" s="451"/>
      <c r="AA568" s="451"/>
      <c r="AB568" s="451"/>
      <c r="AC568" s="451"/>
      <c r="AD568" s="451"/>
    </row>
    <row r="569">
      <c r="A569" s="528" t="s">
        <v>6473</v>
      </c>
      <c r="B569" s="518" t="str">
        <f>HYPERLINK("https://news.detik.com/berita/d-4508689/massa-jokowi-maruf-mulai-padati-stadion-utama-gbk","Detik")</f>
        <v>Detik</v>
      </c>
      <c r="C569" s="467" t="s">
        <v>5670</v>
      </c>
      <c r="D569" s="467" t="s">
        <v>5683</v>
      </c>
      <c r="E569" s="467" t="s">
        <v>5727</v>
      </c>
      <c r="F569" s="497" t="s">
        <v>4188</v>
      </c>
      <c r="G569" s="498">
        <v>2.0</v>
      </c>
      <c r="H569" s="497" t="s">
        <v>5728</v>
      </c>
      <c r="I569" s="497" t="s">
        <v>2740</v>
      </c>
      <c r="J569" s="497" t="s">
        <v>6474</v>
      </c>
      <c r="K569" s="497" t="s">
        <v>5786</v>
      </c>
      <c r="L569" s="498">
        <v>4.0</v>
      </c>
      <c r="M569" s="497" t="s">
        <v>6070</v>
      </c>
      <c r="N569" s="497" t="s">
        <v>6475</v>
      </c>
      <c r="O569" s="498">
        <v>258.0</v>
      </c>
      <c r="P569" s="497" t="s">
        <v>6476</v>
      </c>
      <c r="Q569" s="500"/>
      <c r="R569" s="500"/>
      <c r="S569" s="500"/>
      <c r="T569" s="500"/>
      <c r="U569" s="500"/>
      <c r="V569" s="500"/>
      <c r="W569" s="500"/>
      <c r="X569" s="500"/>
      <c r="Y569" s="500"/>
      <c r="Z569" s="500"/>
      <c r="AA569" s="500"/>
      <c r="AB569" s="500"/>
      <c r="AC569" s="500"/>
      <c r="AD569" s="500"/>
      <c r="AE569" s="497"/>
    </row>
    <row r="570">
      <c r="A570" s="528" t="s">
        <v>4189</v>
      </c>
      <c r="B570" s="518" t="str">
        <f>HYPERLINK("https://lifestyle.okezone.com/read/2019/04/14/611/2043468/kenang-game-of-thrones-para-fans-buat-tato-para-karakter","Okezone")</f>
        <v>Okezone</v>
      </c>
      <c r="C570" s="467" t="s">
        <v>5671</v>
      </c>
      <c r="D570" s="467" t="s">
        <v>5683</v>
      </c>
      <c r="E570" s="467" t="s">
        <v>5727</v>
      </c>
      <c r="F570" s="271" t="s">
        <v>6472</v>
      </c>
      <c r="G570" s="451"/>
      <c r="H570" s="451"/>
      <c r="I570" s="451"/>
      <c r="J570" s="451"/>
      <c r="K570" s="451"/>
      <c r="L570" s="451"/>
      <c r="M570" s="451"/>
      <c r="N570" s="451"/>
      <c r="O570" s="451"/>
      <c r="P570" s="451"/>
      <c r="Q570" s="451"/>
      <c r="R570" s="451"/>
      <c r="S570" s="451"/>
      <c r="T570" s="451"/>
      <c r="U570" s="451"/>
      <c r="V570" s="451"/>
      <c r="W570" s="451"/>
      <c r="X570" s="451"/>
      <c r="Y570" s="451"/>
      <c r="Z570" s="451"/>
      <c r="AA570" s="451"/>
      <c r="AB570" s="451"/>
      <c r="AC570" s="451"/>
      <c r="AD570" s="451"/>
    </row>
    <row r="571">
      <c r="A571" s="528" t="s">
        <v>6477</v>
      </c>
      <c r="B571" s="518" t="str">
        <f>HYPERLINK("https://internasional.kompas.com/read/2019/04/20/08342131/terkait-penyerangan-kedubes-korut-mantan-marinir-as-ditangkap?page=2","kompas")</f>
        <v>kompas</v>
      </c>
      <c r="C571" s="467" t="s">
        <v>5670</v>
      </c>
      <c r="D571" s="467" t="s">
        <v>5683</v>
      </c>
      <c r="E571" s="467" t="s">
        <v>5727</v>
      </c>
      <c r="F571" s="497" t="s">
        <v>4194</v>
      </c>
      <c r="G571" s="498">
        <v>2.0</v>
      </c>
      <c r="H571" s="497" t="s">
        <v>5728</v>
      </c>
      <c r="I571" s="497" t="s">
        <v>2724</v>
      </c>
      <c r="J571" s="497" t="s">
        <v>6478</v>
      </c>
      <c r="K571" s="497" t="s">
        <v>5786</v>
      </c>
      <c r="L571" s="498">
        <v>4.0</v>
      </c>
      <c r="M571" s="497" t="s">
        <v>5828</v>
      </c>
      <c r="N571" s="497" t="s">
        <v>6479</v>
      </c>
      <c r="O571" s="498">
        <v>223.0</v>
      </c>
      <c r="P571" s="497" t="s">
        <v>6480</v>
      </c>
      <c r="Q571" s="499"/>
      <c r="R571" s="500"/>
      <c r="S571" s="500"/>
      <c r="T571" s="500"/>
      <c r="U571" s="500"/>
      <c r="V571" s="500"/>
      <c r="W571" s="500"/>
      <c r="X571" s="500"/>
      <c r="Y571" s="500"/>
      <c r="Z571" s="500"/>
      <c r="AA571" s="500"/>
      <c r="AB571" s="500"/>
      <c r="AC571" s="500"/>
      <c r="AD571" s="500"/>
      <c r="AE571" s="497"/>
    </row>
    <row r="572">
      <c r="A572" s="528" t="s">
        <v>4197</v>
      </c>
      <c r="B572" s="467" t="s">
        <v>6112</v>
      </c>
      <c r="C572" s="467" t="s">
        <v>5657</v>
      </c>
      <c r="D572" s="467" t="s">
        <v>5683</v>
      </c>
      <c r="E572" s="467" t="s">
        <v>5727</v>
      </c>
      <c r="F572" s="271" t="s">
        <v>6472</v>
      </c>
      <c r="G572" s="451"/>
      <c r="H572" s="451"/>
      <c r="I572" s="451"/>
      <c r="J572" s="451"/>
      <c r="K572" s="451"/>
      <c r="L572" s="451"/>
      <c r="M572" s="451"/>
      <c r="N572" s="451"/>
      <c r="O572" s="451"/>
      <c r="P572" s="451"/>
      <c r="Q572" s="451"/>
      <c r="R572" s="451"/>
      <c r="S572" s="451"/>
      <c r="T572" s="451"/>
      <c r="U572" s="451"/>
      <c r="V572" s="451"/>
      <c r="W572" s="451"/>
      <c r="X572" s="451"/>
      <c r="Y572" s="451"/>
      <c r="Z572" s="451"/>
      <c r="AA572" s="451"/>
      <c r="AB572" s="451"/>
      <c r="AC572" s="451"/>
      <c r="AD572" s="451"/>
    </row>
    <row r="573">
      <c r="A573" s="528" t="s">
        <v>6481</v>
      </c>
      <c r="B573" s="467" t="s">
        <v>6482</v>
      </c>
      <c r="C573" s="467" t="s">
        <v>5681</v>
      </c>
      <c r="D573" s="467" t="s">
        <v>5683</v>
      </c>
      <c r="E573" s="467" t="s">
        <v>5727</v>
      </c>
      <c r="F573" s="497" t="s">
        <v>4198</v>
      </c>
      <c r="G573" s="498">
        <v>2.0</v>
      </c>
      <c r="H573" s="497" t="s">
        <v>5728</v>
      </c>
      <c r="I573" s="497" t="s">
        <v>2715</v>
      </c>
      <c r="J573" s="497" t="s">
        <v>6483</v>
      </c>
      <c r="K573" s="497" t="s">
        <v>5750</v>
      </c>
      <c r="L573" s="498">
        <v>4.0</v>
      </c>
      <c r="M573" s="497" t="s">
        <v>6484</v>
      </c>
      <c r="N573" s="497" t="s">
        <v>6485</v>
      </c>
      <c r="O573" s="498">
        <v>261.0</v>
      </c>
      <c r="P573" s="497" t="s">
        <v>6486</v>
      </c>
      <c r="Q573" s="499"/>
      <c r="R573" s="500"/>
      <c r="S573" s="500"/>
      <c r="T573" s="500"/>
      <c r="U573" s="500"/>
      <c r="V573" s="500"/>
      <c r="W573" s="500"/>
      <c r="X573" s="500"/>
      <c r="Y573" s="500"/>
      <c r="Z573" s="500"/>
      <c r="AA573" s="500"/>
      <c r="AB573" s="500"/>
      <c r="AC573" s="500"/>
      <c r="AD573" s="500"/>
      <c r="AE573" s="497"/>
    </row>
    <row r="574">
      <c r="A574" s="528" t="s">
        <v>6487</v>
      </c>
      <c r="B574" s="467" t="s">
        <v>6488</v>
      </c>
      <c r="C574" s="467" t="s">
        <v>6489</v>
      </c>
      <c r="D574" s="467" t="s">
        <v>5692</v>
      </c>
      <c r="E574" s="467" t="s">
        <v>5727</v>
      </c>
      <c r="F574" s="497" t="s">
        <v>4202</v>
      </c>
      <c r="G574" s="498">
        <v>2.0</v>
      </c>
      <c r="H574" s="497" t="s">
        <v>5728</v>
      </c>
      <c r="I574" s="497" t="s">
        <v>2704</v>
      </c>
      <c r="J574" s="497" t="s">
        <v>1313</v>
      </c>
      <c r="K574" s="497" t="s">
        <v>5754</v>
      </c>
      <c r="L574" s="498">
        <v>5.0</v>
      </c>
      <c r="M574" s="497" t="s">
        <v>6490</v>
      </c>
      <c r="N574" s="497" t="s">
        <v>6491</v>
      </c>
      <c r="O574" s="498">
        <v>859.0</v>
      </c>
      <c r="P574" s="497" t="s">
        <v>6492</v>
      </c>
      <c r="Q574" s="499"/>
      <c r="R574" s="500"/>
      <c r="S574" s="500"/>
      <c r="T574" s="500"/>
      <c r="U574" s="500"/>
      <c r="V574" s="500"/>
      <c r="W574" s="500"/>
      <c r="X574" s="500"/>
      <c r="Y574" s="500"/>
      <c r="Z574" s="500"/>
      <c r="AA574" s="500"/>
      <c r="AB574" s="500"/>
      <c r="AC574" s="500"/>
      <c r="AD574" s="500"/>
      <c r="AE574" s="497"/>
    </row>
    <row r="575">
      <c r="A575" s="501" t="s">
        <v>4206</v>
      </c>
      <c r="B575" s="466" t="s">
        <v>5699</v>
      </c>
      <c r="C575" s="467" t="s">
        <v>5670</v>
      </c>
      <c r="D575" s="467" t="s">
        <v>6493</v>
      </c>
      <c r="E575" s="467" t="s">
        <v>5727</v>
      </c>
      <c r="F575" s="271" t="s">
        <v>6472</v>
      </c>
      <c r="G575" s="451"/>
      <c r="H575" s="451"/>
      <c r="I575" s="451"/>
      <c r="J575" s="451"/>
      <c r="K575" s="451"/>
      <c r="L575" s="451"/>
      <c r="M575" s="451"/>
      <c r="N575" s="451"/>
      <c r="O575" s="451"/>
      <c r="P575" s="451"/>
      <c r="Q575" s="451"/>
      <c r="R575" s="451"/>
      <c r="S575" s="451"/>
      <c r="T575" s="451"/>
      <c r="U575" s="451"/>
      <c r="V575" s="451"/>
      <c r="W575" s="451"/>
      <c r="X575" s="451"/>
      <c r="Y575" s="451"/>
      <c r="Z575" s="451"/>
      <c r="AA575" s="451"/>
      <c r="AB575" s="451"/>
      <c r="AC575" s="451"/>
      <c r="AD575" s="451"/>
    </row>
    <row r="576">
      <c r="A576" s="528" t="s">
        <v>6494</v>
      </c>
      <c r="B576" s="518" t="str">
        <f>HYPERLINK("https://www.liputan6.com/showbiz/read/3959652/sinopsis-sinetron-cinta-buta-episode-selasa-7-mei-2019-aslan-merasa-aneh-saat-bertemu-aulia","Liputan6")</f>
        <v>Liputan6</v>
      </c>
      <c r="C576" s="467" t="s">
        <v>5681</v>
      </c>
      <c r="D576" s="467" t="s">
        <v>6493</v>
      </c>
      <c r="E576" s="467" t="s">
        <v>5727</v>
      </c>
      <c r="F576" s="497" t="s">
        <v>4207</v>
      </c>
      <c r="G576" s="498">
        <v>2.0</v>
      </c>
      <c r="H576" s="497" t="s">
        <v>5728</v>
      </c>
      <c r="I576" s="497" t="s">
        <v>2692</v>
      </c>
      <c r="J576" s="497" t="s">
        <v>6495</v>
      </c>
      <c r="K576" s="497" t="s">
        <v>5750</v>
      </c>
      <c r="L576" s="498">
        <v>5.0</v>
      </c>
      <c r="M576" s="497" t="s">
        <v>5790</v>
      </c>
      <c r="N576" s="497" t="s">
        <v>6496</v>
      </c>
      <c r="O576" s="498">
        <v>350.0</v>
      </c>
      <c r="P576" s="497" t="s">
        <v>6497</v>
      </c>
      <c r="Q576" s="499"/>
      <c r="R576" s="500"/>
      <c r="S576" s="500"/>
      <c r="T576" s="500"/>
      <c r="U576" s="500"/>
      <c r="V576" s="500"/>
      <c r="W576" s="500"/>
      <c r="X576" s="500"/>
      <c r="Y576" s="500"/>
      <c r="Z576" s="500"/>
      <c r="AA576" s="500"/>
      <c r="AB576" s="500"/>
      <c r="AC576" s="500"/>
      <c r="AD576" s="500"/>
      <c r="AE576" s="497"/>
    </row>
    <row r="577">
      <c r="A577" s="528" t="s">
        <v>6498</v>
      </c>
      <c r="B577" s="467" t="s">
        <v>6096</v>
      </c>
      <c r="C577" s="467" t="s">
        <v>5670</v>
      </c>
      <c r="D577" s="467" t="s">
        <v>5692</v>
      </c>
      <c r="E577" s="467" t="s">
        <v>5727</v>
      </c>
      <c r="F577" s="497" t="s">
        <v>4209</v>
      </c>
      <c r="G577" s="498">
        <v>2.0</v>
      </c>
      <c r="H577" s="497" t="s">
        <v>5728</v>
      </c>
      <c r="I577" s="497" t="s">
        <v>2709</v>
      </c>
      <c r="J577" s="497" t="s">
        <v>1524</v>
      </c>
      <c r="K577" s="497" t="s">
        <v>5786</v>
      </c>
      <c r="L577" s="498">
        <v>5.0</v>
      </c>
      <c r="M577" s="497" t="s">
        <v>6401</v>
      </c>
      <c r="N577" s="497" t="s">
        <v>6499</v>
      </c>
      <c r="O577" s="498">
        <v>25.0</v>
      </c>
      <c r="P577" s="497" t="s">
        <v>6500</v>
      </c>
      <c r="Q577" s="499" t="s">
        <v>6501</v>
      </c>
      <c r="R577" s="500"/>
      <c r="S577" s="500"/>
      <c r="T577" s="500"/>
      <c r="U577" s="500"/>
      <c r="V577" s="500"/>
      <c r="W577" s="500"/>
      <c r="X577" s="500"/>
      <c r="Y577" s="500"/>
      <c r="Z577" s="500"/>
      <c r="AA577" s="500"/>
      <c r="AB577" s="500"/>
      <c r="AC577" s="500"/>
      <c r="AD577" s="500"/>
      <c r="AE577" s="497"/>
    </row>
    <row r="578">
      <c r="A578" s="528" t="s">
        <v>4217</v>
      </c>
      <c r="B578" s="467" t="s">
        <v>6110</v>
      </c>
      <c r="C578" s="467" t="s">
        <v>5667</v>
      </c>
      <c r="D578" s="467" t="s">
        <v>5692</v>
      </c>
      <c r="E578" s="467" t="s">
        <v>5727</v>
      </c>
      <c r="F578" s="271" t="s">
        <v>6472</v>
      </c>
      <c r="G578" s="451"/>
      <c r="H578" s="451"/>
      <c r="I578" s="451"/>
      <c r="J578" s="451"/>
      <c r="K578" s="451"/>
      <c r="L578" s="451"/>
      <c r="M578" s="451"/>
      <c r="N578" s="451"/>
      <c r="O578" s="451"/>
      <c r="P578" s="451"/>
      <c r="Q578" s="451"/>
      <c r="R578" s="451"/>
      <c r="S578" s="451"/>
      <c r="T578" s="451"/>
      <c r="U578" s="451"/>
      <c r="V578" s="451"/>
      <c r="W578" s="451"/>
      <c r="X578" s="451"/>
      <c r="Y578" s="451"/>
      <c r="Z578" s="451"/>
      <c r="AA578" s="451"/>
      <c r="AB578" s="451"/>
      <c r="AC578" s="451"/>
      <c r="AD578" s="451"/>
    </row>
    <row r="579">
      <c r="A579" s="528" t="s">
        <v>4218</v>
      </c>
      <c r="B579" s="518" t="str">
        <f>HYPERLINK("https://www.suara.com/news/2019/05/21/123555/setara-institute-nilai-aksi-people-power-ke-jalan-cacat-prosedural","Suara")</f>
        <v>Suara</v>
      </c>
      <c r="C579" s="467" t="s">
        <v>5681</v>
      </c>
      <c r="D579" s="467" t="s">
        <v>5692</v>
      </c>
      <c r="E579" s="467" t="s">
        <v>5727</v>
      </c>
      <c r="F579" s="271" t="s">
        <v>6472</v>
      </c>
      <c r="G579" s="451"/>
      <c r="H579" s="451"/>
      <c r="I579" s="451"/>
      <c r="J579" s="451"/>
      <c r="K579" s="451"/>
      <c r="L579" s="451"/>
      <c r="M579" s="451"/>
      <c r="N579" s="451"/>
      <c r="O579" s="451"/>
      <c r="P579" s="451"/>
      <c r="Q579" s="451"/>
      <c r="R579" s="451"/>
      <c r="S579" s="451"/>
      <c r="T579" s="451"/>
      <c r="U579" s="451"/>
      <c r="V579" s="451"/>
      <c r="W579" s="451"/>
      <c r="X579" s="451"/>
      <c r="Y579" s="451"/>
      <c r="Z579" s="451"/>
      <c r="AA579" s="451"/>
      <c r="AB579" s="451"/>
      <c r="AC579" s="451"/>
      <c r="AD579" s="451"/>
    </row>
    <row r="580">
      <c r="A580" s="528" t="s">
        <v>4221</v>
      </c>
      <c r="B580" s="467" t="s">
        <v>6116</v>
      </c>
      <c r="C580" s="467" t="s">
        <v>5667</v>
      </c>
      <c r="D580" s="467" t="s">
        <v>5692</v>
      </c>
      <c r="E580" s="467" t="s">
        <v>5727</v>
      </c>
      <c r="F580" s="271" t="s">
        <v>6472</v>
      </c>
      <c r="G580" s="451"/>
      <c r="H580" s="451"/>
      <c r="I580" s="451"/>
      <c r="J580" s="451"/>
      <c r="K580" s="451"/>
      <c r="L580" s="451"/>
      <c r="M580" s="451"/>
      <c r="N580" s="451"/>
      <c r="O580" s="451"/>
      <c r="P580" s="451"/>
      <c r="Q580" s="451"/>
      <c r="R580" s="451"/>
      <c r="S580" s="451"/>
      <c r="T580" s="451"/>
      <c r="U580" s="451"/>
      <c r="V580" s="451"/>
      <c r="W580" s="451"/>
      <c r="X580" s="451"/>
      <c r="Y580" s="451"/>
      <c r="Z580" s="451"/>
      <c r="AA580" s="451"/>
      <c r="AB580" s="451"/>
      <c r="AC580" s="451"/>
      <c r="AD580" s="451"/>
    </row>
    <row r="581">
      <c r="A581" s="528" t="s">
        <v>4222</v>
      </c>
      <c r="B581" s="467" t="s">
        <v>6110</v>
      </c>
      <c r="C581" s="467" t="s">
        <v>5670</v>
      </c>
      <c r="D581" s="467" t="s">
        <v>5705</v>
      </c>
      <c r="E581" s="467" t="s">
        <v>5727</v>
      </c>
      <c r="F581" s="271" t="s">
        <v>6472</v>
      </c>
      <c r="G581" s="451"/>
      <c r="H581" s="451"/>
      <c r="I581" s="451"/>
      <c r="J581" s="451"/>
      <c r="K581" s="451"/>
      <c r="L581" s="451"/>
      <c r="M581" s="451"/>
      <c r="N581" s="451"/>
      <c r="O581" s="451"/>
      <c r="P581" s="451"/>
      <c r="Q581" s="451"/>
      <c r="R581" s="451"/>
      <c r="S581" s="451"/>
      <c r="T581" s="451"/>
      <c r="U581" s="451"/>
      <c r="V581" s="451"/>
      <c r="W581" s="451"/>
      <c r="X581" s="451"/>
      <c r="Y581" s="451"/>
      <c r="Z581" s="451"/>
      <c r="AA581" s="451"/>
      <c r="AB581" s="451"/>
      <c r="AC581" s="451"/>
      <c r="AD581" s="451"/>
    </row>
    <row r="582">
      <c r="A582" s="528" t="s">
        <v>4224</v>
      </c>
      <c r="B582" s="518" t="str">
        <f>HYPERLINK("https://tirto.id/jppi-ptn-seharusnya-tak-do-mahasiswa-yang-terpapar-radikalisme-ecgk","Tirto")</f>
        <v>Tirto</v>
      </c>
      <c r="C582" s="467" t="s">
        <v>5657</v>
      </c>
      <c r="D582" s="467" t="s">
        <v>5705</v>
      </c>
      <c r="E582" s="467" t="s">
        <v>5727</v>
      </c>
      <c r="F582" s="271" t="s">
        <v>6472</v>
      </c>
      <c r="G582" s="451"/>
      <c r="H582" s="451"/>
      <c r="I582" s="451"/>
      <c r="J582" s="451"/>
      <c r="K582" s="451"/>
      <c r="L582" s="451"/>
      <c r="M582" s="451"/>
      <c r="N582" s="451"/>
      <c r="O582" s="451"/>
      <c r="P582" s="451"/>
      <c r="Q582" s="451"/>
      <c r="R582" s="451"/>
      <c r="S582" s="451"/>
      <c r="T582" s="451"/>
      <c r="U582" s="451"/>
      <c r="V582" s="451"/>
      <c r="W582" s="451"/>
      <c r="X582" s="451"/>
      <c r="Y582" s="451"/>
      <c r="Z582" s="451"/>
      <c r="AA582" s="451"/>
      <c r="AB582" s="451"/>
      <c r="AC582" s="451"/>
      <c r="AD582" s="451"/>
    </row>
    <row r="583">
      <c r="A583" s="528" t="s">
        <v>6502</v>
      </c>
      <c r="B583" s="518" t="str">
        <f>HYPERLINK("https://nasional.republika.co.id/berita/nasional/hukum/pt6c45354/nasib-setnov-di-gunung-sindur-tunggu-pemeriksaan-ditjenpas","Republika")</f>
        <v>Republika</v>
      </c>
      <c r="C583" s="467" t="s">
        <v>5671</v>
      </c>
      <c r="D583" s="467" t="s">
        <v>5705</v>
      </c>
      <c r="E583" s="467" t="s">
        <v>5727</v>
      </c>
      <c r="F583" s="497" t="s">
        <v>3186</v>
      </c>
      <c r="G583" s="498">
        <v>2.0</v>
      </c>
      <c r="H583" s="497" t="s">
        <v>5728</v>
      </c>
      <c r="I583" s="497" t="s">
        <v>2707</v>
      </c>
      <c r="J583" s="497" t="s">
        <v>6503</v>
      </c>
      <c r="K583" s="497" t="s">
        <v>5729</v>
      </c>
      <c r="L583" s="498">
        <v>6.0</v>
      </c>
      <c r="M583" s="497" t="s">
        <v>6113</v>
      </c>
      <c r="N583" s="497" t="s">
        <v>6504</v>
      </c>
      <c r="O583" s="498">
        <v>234.0</v>
      </c>
      <c r="P583" s="497" t="s">
        <v>6505</v>
      </c>
      <c r="Q583" s="499"/>
      <c r="R583" s="500"/>
      <c r="S583" s="500"/>
      <c r="T583" s="500"/>
      <c r="U583" s="500"/>
      <c r="V583" s="500"/>
      <c r="W583" s="500"/>
      <c r="X583" s="500"/>
      <c r="Y583" s="500"/>
      <c r="Z583" s="500"/>
      <c r="AA583" s="500"/>
      <c r="AB583" s="500"/>
      <c r="AC583" s="500"/>
      <c r="AD583" s="500"/>
      <c r="AE583" s="497"/>
    </row>
    <row r="584">
      <c r="A584" s="528" t="s">
        <v>603</v>
      </c>
      <c r="B584" s="467" t="s">
        <v>6482</v>
      </c>
      <c r="C584" s="467" t="s">
        <v>5682</v>
      </c>
      <c r="D584" s="467" t="s">
        <v>5705</v>
      </c>
      <c r="E584" s="467" t="s">
        <v>5727</v>
      </c>
      <c r="F584" s="497" t="s">
        <v>4228</v>
      </c>
      <c r="G584" s="498">
        <v>2.0</v>
      </c>
      <c r="H584" s="497" t="s">
        <v>5728</v>
      </c>
      <c r="I584" s="497" t="s">
        <v>2715</v>
      </c>
      <c r="J584" s="497" t="s">
        <v>1348</v>
      </c>
      <c r="K584" s="497" t="s">
        <v>5721</v>
      </c>
      <c r="L584" s="498">
        <v>6.0</v>
      </c>
      <c r="M584" s="497" t="s">
        <v>5828</v>
      </c>
      <c r="N584" s="497" t="s">
        <v>6506</v>
      </c>
      <c r="O584" s="498">
        <v>235.0</v>
      </c>
      <c r="P584" s="497" t="s">
        <v>6507</v>
      </c>
      <c r="Q584" s="499"/>
      <c r="R584" s="500"/>
      <c r="S584" s="500"/>
      <c r="T584" s="500"/>
      <c r="U584" s="500"/>
      <c r="V584" s="500"/>
      <c r="W584" s="500"/>
      <c r="X584" s="500"/>
      <c r="Y584" s="500"/>
      <c r="Z584" s="500"/>
      <c r="AA584" s="500"/>
      <c r="AB584" s="500"/>
      <c r="AC584" s="500"/>
      <c r="AD584" s="500"/>
      <c r="AE584" s="497"/>
    </row>
    <row r="585">
      <c r="A585" s="528" t="s">
        <v>609</v>
      </c>
      <c r="B585" s="467" t="s">
        <v>6112</v>
      </c>
      <c r="C585" s="467" t="s">
        <v>5667</v>
      </c>
      <c r="D585" s="467" t="s">
        <v>5705</v>
      </c>
      <c r="E585" s="467" t="s">
        <v>5727</v>
      </c>
      <c r="F585" s="271" t="s">
        <v>6472</v>
      </c>
      <c r="G585" s="451"/>
      <c r="H585" s="451"/>
      <c r="I585" s="451"/>
      <c r="J585" s="451"/>
      <c r="K585" s="451"/>
      <c r="L585" s="451"/>
      <c r="M585" s="451"/>
      <c r="N585" s="451"/>
      <c r="O585" s="451"/>
      <c r="P585" s="451"/>
      <c r="Q585" s="451"/>
      <c r="R585" s="451"/>
      <c r="S585" s="451"/>
      <c r="T585" s="451"/>
      <c r="U585" s="451"/>
      <c r="V585" s="451"/>
      <c r="W585" s="451"/>
      <c r="X585" s="451"/>
      <c r="Y585" s="451"/>
      <c r="Z585" s="451"/>
      <c r="AA585" s="451"/>
      <c r="AB585" s="451"/>
      <c r="AC585" s="451"/>
      <c r="AD585" s="451"/>
    </row>
    <row r="586">
      <c r="A586" s="528" t="s">
        <v>4231</v>
      </c>
      <c r="B586" s="467" t="s">
        <v>2724</v>
      </c>
      <c r="C586" s="467" t="s">
        <v>5682</v>
      </c>
      <c r="D586" s="467" t="s">
        <v>5705</v>
      </c>
      <c r="E586" s="467" t="s">
        <v>5727</v>
      </c>
      <c r="F586" s="271" t="s">
        <v>6472</v>
      </c>
      <c r="G586" s="451"/>
      <c r="H586" s="451"/>
      <c r="I586" s="451"/>
      <c r="J586" s="451"/>
      <c r="K586" s="451"/>
      <c r="L586" s="451"/>
      <c r="M586" s="451"/>
      <c r="N586" s="451"/>
      <c r="O586" s="451"/>
      <c r="P586" s="451"/>
      <c r="Q586" s="451"/>
      <c r="R586" s="451"/>
      <c r="S586" s="451"/>
      <c r="T586" s="451"/>
      <c r="U586" s="451"/>
      <c r="V586" s="451"/>
      <c r="W586" s="451"/>
      <c r="X586" s="451"/>
      <c r="Y586" s="451"/>
      <c r="Z586" s="451"/>
      <c r="AA586" s="451"/>
      <c r="AB586" s="451"/>
      <c r="AC586" s="451"/>
      <c r="AD586" s="451"/>
    </row>
    <row r="587">
      <c r="A587" s="528" t="s">
        <v>6508</v>
      </c>
      <c r="B587" s="518" t="str">
        <f>HYPERLINK("https://celebrity.okezone.com/read/2019/06/24/33/2070041/hot-gosip-cara-kevin-aprilio-lunasi-utang-hingga-galih-ginanjar-ejek-fairuz?page=2","Okezone")</f>
        <v>Okezone</v>
      </c>
      <c r="C587" s="467" t="s">
        <v>5682</v>
      </c>
      <c r="D587" s="467" t="s">
        <v>5705</v>
      </c>
      <c r="E587" s="467" t="s">
        <v>5727</v>
      </c>
      <c r="F587" s="497" t="s">
        <v>4232</v>
      </c>
      <c r="G587" s="498">
        <v>2.0</v>
      </c>
      <c r="H587" s="497" t="s">
        <v>5728</v>
      </c>
      <c r="I587" s="497" t="s">
        <v>2709</v>
      </c>
      <c r="J587" s="497" t="s">
        <v>6509</v>
      </c>
      <c r="K587" s="497" t="s">
        <v>5721</v>
      </c>
      <c r="L587" s="498">
        <v>6.0</v>
      </c>
      <c r="M587" s="497" t="s">
        <v>5893</v>
      </c>
      <c r="N587" s="497" t="s">
        <v>6510</v>
      </c>
      <c r="O587" s="498">
        <v>432.0</v>
      </c>
      <c r="P587" s="497" t="s">
        <v>6511</v>
      </c>
      <c r="Q587" s="499"/>
      <c r="R587" s="500"/>
      <c r="S587" s="500"/>
      <c r="T587" s="500"/>
      <c r="U587" s="500"/>
      <c r="V587" s="500"/>
      <c r="W587" s="500"/>
      <c r="X587" s="500"/>
      <c r="Y587" s="500"/>
      <c r="Z587" s="500"/>
      <c r="AA587" s="500"/>
      <c r="AB587" s="500"/>
      <c r="AC587" s="500"/>
      <c r="AD587" s="500"/>
      <c r="AE587" s="497"/>
    </row>
    <row r="588">
      <c r="A588" s="528" t="s">
        <v>6512</v>
      </c>
      <c r="B588" s="518" t="str">
        <f>HYPERLINK("https://hot.liputan6.com/read/3997731/kisah-ibu-paksakan-diri-memasak-untuk-hidangan-hari-raya-ini-ujungnya-bikin-haru","Liputan6 ")</f>
        <v>Liputan6 </v>
      </c>
      <c r="C588" s="467" t="s">
        <v>5681</v>
      </c>
      <c r="D588" s="467" t="s">
        <v>5705</v>
      </c>
      <c r="E588" s="467" t="s">
        <v>5727</v>
      </c>
      <c r="F588" s="497" t="s">
        <v>4234</v>
      </c>
      <c r="G588" s="498">
        <v>2.0</v>
      </c>
      <c r="H588" s="497" t="s">
        <v>5728</v>
      </c>
      <c r="I588" s="497" t="s">
        <v>2692</v>
      </c>
      <c r="J588" s="497" t="s">
        <v>6513</v>
      </c>
      <c r="K588" s="497" t="s">
        <v>5750</v>
      </c>
      <c r="L588" s="498">
        <v>6.0</v>
      </c>
      <c r="M588" s="497" t="s">
        <v>5824</v>
      </c>
      <c r="N588" s="497" t="s">
        <v>6514</v>
      </c>
      <c r="O588" s="498">
        <v>305.0</v>
      </c>
      <c r="P588" s="497" t="s">
        <v>6515</v>
      </c>
      <c r="Q588" s="499"/>
      <c r="R588" s="500"/>
      <c r="S588" s="500"/>
      <c r="T588" s="500"/>
      <c r="U588" s="500"/>
      <c r="V588" s="500"/>
      <c r="W588" s="500"/>
      <c r="X588" s="500"/>
      <c r="Y588" s="500"/>
      <c r="Z588" s="500"/>
      <c r="AA588" s="500"/>
      <c r="AB588" s="500"/>
      <c r="AC588" s="500"/>
      <c r="AD588" s="500"/>
      <c r="AE588" s="497"/>
    </row>
    <row r="589">
      <c r="A589" s="528" t="s">
        <v>6516</v>
      </c>
      <c r="B589" s="518" t="str">
        <f>HYPERLINK("https://www.suara.com/news/2019/06/27/203253/respons-dalil-yang-ditolak-mk-kubu-prabowo-lagunya-mudah-ditebak","Suara")</f>
        <v>Suara</v>
      </c>
      <c r="C589" s="467" t="s">
        <v>6489</v>
      </c>
      <c r="D589" s="467" t="s">
        <v>5705</v>
      </c>
      <c r="E589" s="467" t="s">
        <v>5727</v>
      </c>
      <c r="F589" s="497" t="s">
        <v>4236</v>
      </c>
      <c r="G589" s="498">
        <v>2.0</v>
      </c>
      <c r="H589" s="497" t="s">
        <v>5728</v>
      </c>
      <c r="I589" s="497" t="s">
        <v>2698</v>
      </c>
      <c r="J589" s="497" t="s">
        <v>6517</v>
      </c>
      <c r="K589" s="497" t="s">
        <v>5754</v>
      </c>
      <c r="L589" s="498">
        <v>6.0</v>
      </c>
      <c r="M589" s="497" t="s">
        <v>5824</v>
      </c>
      <c r="N589" s="497" t="s">
        <v>6518</v>
      </c>
      <c r="O589" s="498">
        <v>755.0</v>
      </c>
      <c r="P589" s="497" t="s">
        <v>6519</v>
      </c>
      <c r="Q589" s="499"/>
      <c r="R589" s="500"/>
      <c r="S589" s="500"/>
      <c r="T589" s="500"/>
      <c r="U589" s="500"/>
      <c r="V589" s="500"/>
      <c r="W589" s="500"/>
      <c r="X589" s="500"/>
      <c r="Y589" s="500"/>
      <c r="Z589" s="500"/>
      <c r="AA589" s="500"/>
      <c r="AB589" s="500"/>
      <c r="AC589" s="500"/>
      <c r="AD589" s="500"/>
      <c r="AE589" s="497"/>
    </row>
    <row r="590">
      <c r="A590" s="528" t="s">
        <v>620</v>
      </c>
      <c r="B590" s="518" t="str">
        <f>HYPERLINK("https://dunia.tempo.co/read/1219790/festival-yulin-di-cina-saat-jutaan-anjing-dikonsumsi/full&amp;view=ok","Tempo.co")</f>
        <v>Tempo.co</v>
      </c>
      <c r="C590" s="467" t="s">
        <v>5671</v>
      </c>
      <c r="D590" s="467" t="s">
        <v>5705</v>
      </c>
      <c r="E590" s="467" t="s">
        <v>5727</v>
      </c>
      <c r="F590" s="271" t="s">
        <v>6472</v>
      </c>
      <c r="G590" s="451"/>
      <c r="H590" s="451"/>
      <c r="I590" s="451"/>
      <c r="J590" s="451"/>
      <c r="K590" s="451"/>
      <c r="L590" s="451"/>
      <c r="M590" s="451"/>
      <c r="N590" s="451"/>
      <c r="O590" s="451"/>
      <c r="P590" s="451"/>
      <c r="Q590" s="451"/>
      <c r="R590" s="451"/>
      <c r="S590" s="451"/>
      <c r="T590" s="451"/>
      <c r="U590" s="451"/>
      <c r="V590" s="451"/>
      <c r="W590" s="451"/>
      <c r="X590" s="451"/>
      <c r="Y590" s="451"/>
      <c r="Z590" s="451"/>
      <c r="AA590" s="451"/>
      <c r="AB590" s="451"/>
      <c r="AC590" s="451"/>
      <c r="AD590" s="451"/>
    </row>
    <row r="591">
      <c r="A591" s="528" t="s">
        <v>6520</v>
      </c>
      <c r="B591" s="467" t="s">
        <v>6096</v>
      </c>
      <c r="C591" s="467" t="s">
        <v>5682</v>
      </c>
      <c r="D591" s="467" t="s">
        <v>5716</v>
      </c>
      <c r="E591" s="467" t="s">
        <v>5727</v>
      </c>
      <c r="F591" s="497" t="s">
        <v>4238</v>
      </c>
      <c r="G591" s="498">
        <v>2.0</v>
      </c>
      <c r="H591" s="497" t="s">
        <v>5728</v>
      </c>
      <c r="I591" s="497" t="s">
        <v>2709</v>
      </c>
      <c r="J591" s="497" t="s">
        <v>6521</v>
      </c>
      <c r="K591" s="497" t="s">
        <v>5721</v>
      </c>
      <c r="L591" s="498">
        <v>7.0</v>
      </c>
      <c r="M591" s="497" t="s">
        <v>5909</v>
      </c>
      <c r="N591" s="497" t="s">
        <v>6522</v>
      </c>
      <c r="O591" s="498">
        <v>549.0</v>
      </c>
      <c r="P591" s="497" t="s">
        <v>6523</v>
      </c>
      <c r="Q591" s="499"/>
      <c r="R591" s="500"/>
      <c r="S591" s="500"/>
      <c r="T591" s="500"/>
      <c r="U591" s="500"/>
      <c r="V591" s="500"/>
      <c r="W591" s="500"/>
      <c r="X591" s="500"/>
      <c r="Y591" s="500"/>
      <c r="Z591" s="500"/>
      <c r="AA591" s="500"/>
      <c r="AB591" s="500"/>
      <c r="AC591" s="500"/>
      <c r="AD591" s="500"/>
      <c r="AE591" s="497"/>
    </row>
    <row r="592">
      <c r="A592" s="528" t="s">
        <v>6524</v>
      </c>
      <c r="B592" s="518" t="str">
        <f>HYPERLINK("https://edukasi.kompas.com/read/2019/07/05/20343551/serentak-di-5-lokasi-politeknik-pu-gelar-tes-akademik?page=2","Kompas")</f>
        <v>Kompas</v>
      </c>
      <c r="C592" s="467" t="s">
        <v>5667</v>
      </c>
      <c r="D592" s="467" t="s">
        <v>5716</v>
      </c>
      <c r="E592" s="467" t="s">
        <v>5727</v>
      </c>
      <c r="F592" s="497" t="s">
        <v>4241</v>
      </c>
      <c r="G592" s="498">
        <v>2.0</v>
      </c>
      <c r="H592" s="497" t="s">
        <v>5728</v>
      </c>
      <c r="I592" s="497" t="s">
        <v>2724</v>
      </c>
      <c r="J592" s="497" t="s">
        <v>6525</v>
      </c>
      <c r="K592" s="497" t="s">
        <v>5734</v>
      </c>
      <c r="L592" s="498">
        <v>7.0</v>
      </c>
      <c r="M592" s="497" t="s">
        <v>5828</v>
      </c>
      <c r="N592" s="497" t="s">
        <v>6526</v>
      </c>
      <c r="O592" s="498">
        <v>324.0</v>
      </c>
      <c r="P592" s="497" t="s">
        <v>6527</v>
      </c>
      <c r="Q592" s="500"/>
      <c r="R592" s="500"/>
      <c r="S592" s="500"/>
      <c r="T592" s="500"/>
      <c r="U592" s="500"/>
      <c r="V592" s="500"/>
      <c r="W592" s="500"/>
      <c r="X592" s="500"/>
      <c r="Y592" s="500"/>
      <c r="Z592" s="500"/>
      <c r="AA592" s="500"/>
      <c r="AB592" s="500"/>
      <c r="AC592" s="500"/>
      <c r="AD592" s="500"/>
      <c r="AE592" s="497"/>
    </row>
    <row r="593">
      <c r="A593" s="528" t="s">
        <v>6528</v>
      </c>
      <c r="B593" s="518" t="str">
        <f>HYPERLINK("https://tirto.id/seberapa-efektif-mengatasi-polusi-jakarta-dengan-wajib-uji-emisi-edGf","tirto")</f>
        <v>tirto</v>
      </c>
      <c r="C593" s="467" t="s">
        <v>5682</v>
      </c>
      <c r="D593" s="467" t="s">
        <v>5716</v>
      </c>
      <c r="E593" s="467" t="s">
        <v>5727</v>
      </c>
      <c r="F593" s="497" t="s">
        <v>4243</v>
      </c>
      <c r="G593" s="498">
        <v>2.0</v>
      </c>
      <c r="H593" s="497" t="s">
        <v>5728</v>
      </c>
      <c r="I593" s="497" t="s">
        <v>2704</v>
      </c>
      <c r="J593" s="497" t="s">
        <v>5975</v>
      </c>
      <c r="K593" s="497" t="s">
        <v>5721</v>
      </c>
      <c r="L593" s="498">
        <v>7.0</v>
      </c>
      <c r="M593" s="497" t="s">
        <v>5993</v>
      </c>
      <c r="N593" s="497" t="s">
        <v>6529</v>
      </c>
      <c r="O593" s="498">
        <v>260.0</v>
      </c>
      <c r="P593" s="497" t="s">
        <v>6530</v>
      </c>
      <c r="Q593" s="499"/>
      <c r="R593" s="500"/>
      <c r="S593" s="500"/>
      <c r="T593" s="500"/>
      <c r="U593" s="500"/>
      <c r="V593" s="500"/>
      <c r="W593" s="500"/>
      <c r="X593" s="500"/>
      <c r="Y593" s="500"/>
      <c r="Z593" s="500"/>
      <c r="AA593" s="500"/>
      <c r="AB593" s="500"/>
      <c r="AC593" s="500"/>
      <c r="AD593" s="500"/>
      <c r="AE593" s="497"/>
    </row>
    <row r="594">
      <c r="A594" s="528" t="s">
        <v>6531</v>
      </c>
      <c r="B594" s="467" t="s">
        <v>6532</v>
      </c>
      <c r="C594" s="467" t="s">
        <v>6489</v>
      </c>
      <c r="D594" s="467" t="s">
        <v>5716</v>
      </c>
      <c r="E594" s="467" t="s">
        <v>5727</v>
      </c>
      <c r="F594" s="497" t="s">
        <v>4245</v>
      </c>
      <c r="G594" s="498">
        <v>2.0</v>
      </c>
      <c r="H594" s="497" t="s">
        <v>5728</v>
      </c>
      <c r="I594" s="497" t="s">
        <v>2740</v>
      </c>
      <c r="J594" s="497" t="s">
        <v>6533</v>
      </c>
      <c r="K594" s="497" t="s">
        <v>5754</v>
      </c>
      <c r="L594" s="498">
        <v>7.0</v>
      </c>
      <c r="M594" s="497" t="s">
        <v>5746</v>
      </c>
      <c r="N594" s="497" t="s">
        <v>6534</v>
      </c>
      <c r="O594" s="498">
        <v>596.0</v>
      </c>
      <c r="P594" s="497" t="s">
        <v>6535</v>
      </c>
      <c r="Q594" s="500"/>
      <c r="R594" s="500"/>
      <c r="S594" s="500"/>
      <c r="T594" s="500"/>
      <c r="U594" s="500"/>
      <c r="V594" s="500"/>
      <c r="W594" s="500"/>
      <c r="X594" s="500"/>
      <c r="Y594" s="500"/>
      <c r="Z594" s="500"/>
      <c r="AA594" s="500"/>
      <c r="AB594" s="500"/>
      <c r="AC594" s="500"/>
      <c r="AD594" s="500"/>
      <c r="AE594" s="497"/>
    </row>
    <row r="595">
      <c r="A595" s="528" t="s">
        <v>4252</v>
      </c>
      <c r="B595" s="518" t="str">
        <f>HYPERLINK("https://bola.kompas.com/read/2019/07/15/14323248/harry-maguire-jadi-jaminan-kokohnya-pertahanan-manchester-united","Kompas")</f>
        <v>Kompas</v>
      </c>
      <c r="C595" s="467" t="s">
        <v>5682</v>
      </c>
      <c r="D595" s="467" t="s">
        <v>5716</v>
      </c>
      <c r="E595" s="467" t="s">
        <v>5727</v>
      </c>
      <c r="F595" s="271" t="s">
        <v>6472</v>
      </c>
      <c r="G595" s="451"/>
      <c r="H595" s="451"/>
      <c r="I595" s="451"/>
      <c r="J595" s="451"/>
      <c r="K595" s="451"/>
      <c r="L595" s="451"/>
      <c r="M595" s="451"/>
      <c r="N595" s="451"/>
      <c r="O595" s="451"/>
      <c r="P595" s="451"/>
      <c r="Q595" s="451"/>
      <c r="R595" s="451"/>
      <c r="S595" s="451"/>
      <c r="T595" s="451"/>
      <c r="U595" s="451"/>
      <c r="V595" s="451"/>
      <c r="W595" s="451"/>
      <c r="X595" s="451"/>
      <c r="Y595" s="451"/>
      <c r="Z595" s="451"/>
      <c r="AA595" s="451"/>
      <c r="AB595" s="451"/>
      <c r="AC595" s="451"/>
      <c r="AD595" s="451"/>
    </row>
    <row r="596">
      <c r="A596" s="528" t="s">
        <v>6536</v>
      </c>
      <c r="B596" s="518" t="str">
        <f>HYPERLINK("https://www.suara.com/news/2019/07/17/080604/para-lansia-menyambut-kunjungan-mensos-ke-balai-rehabsos-lansia-gowa","Suara")</f>
        <v>Suara</v>
      </c>
      <c r="C596" s="467" t="s">
        <v>5657</v>
      </c>
      <c r="D596" s="467" t="s">
        <v>5716</v>
      </c>
      <c r="E596" s="467" t="s">
        <v>6537</v>
      </c>
      <c r="F596" s="497" t="s">
        <v>4256</v>
      </c>
      <c r="G596" s="498">
        <v>2.0</v>
      </c>
      <c r="H596" s="497" t="s">
        <v>5728</v>
      </c>
      <c r="I596" s="497" t="s">
        <v>2698</v>
      </c>
      <c r="J596" s="497" t="s">
        <v>6448</v>
      </c>
      <c r="K596" s="497" t="s">
        <v>5711</v>
      </c>
      <c r="L596" s="498">
        <v>7.0</v>
      </c>
      <c r="M596" s="497" t="s">
        <v>5763</v>
      </c>
      <c r="N596" s="497" t="s">
        <v>6538</v>
      </c>
      <c r="O596" s="498">
        <v>280.0</v>
      </c>
      <c r="P596" s="497" t="s">
        <v>6539</v>
      </c>
      <c r="Q596" s="499"/>
      <c r="R596" s="500"/>
      <c r="S596" s="500"/>
      <c r="T596" s="500"/>
      <c r="U596" s="500"/>
      <c r="V596" s="500"/>
      <c r="W596" s="500"/>
      <c r="X596" s="500"/>
      <c r="Y596" s="500"/>
      <c r="Z596" s="500"/>
      <c r="AA596" s="500"/>
      <c r="AB596" s="500"/>
      <c r="AC596" s="500"/>
      <c r="AD596" s="500"/>
      <c r="AE596" s="497"/>
    </row>
    <row r="597">
      <c r="A597" s="528" t="s">
        <v>4267</v>
      </c>
      <c r="B597" s="518" t="str">
        <f>HYPERLINK("https://celebrity.okezone.com/read/2019/07/25/598/2083477/tayang-oktober-the-cw-bocorkan-penampakan-batwoman","Okezone")</f>
        <v>Okezone</v>
      </c>
      <c r="C597" s="467" t="s">
        <v>6489</v>
      </c>
      <c r="D597" s="467" t="s">
        <v>5716</v>
      </c>
      <c r="E597" s="467" t="s">
        <v>5727</v>
      </c>
      <c r="F597" s="271" t="s">
        <v>6472</v>
      </c>
      <c r="G597" s="451"/>
      <c r="H597" s="451"/>
      <c r="I597" s="451"/>
      <c r="J597" s="451"/>
      <c r="K597" s="451"/>
      <c r="L597" s="451"/>
      <c r="M597" s="451"/>
      <c r="N597" s="451"/>
      <c r="O597" s="451"/>
      <c r="P597" s="451"/>
      <c r="Q597" s="451"/>
      <c r="R597" s="451"/>
      <c r="S597" s="451"/>
      <c r="T597" s="451"/>
      <c r="U597" s="451"/>
      <c r="V597" s="451"/>
      <c r="W597" s="451"/>
      <c r="X597" s="451"/>
      <c r="Y597" s="451"/>
      <c r="Z597" s="451"/>
      <c r="AA597" s="451"/>
      <c r="AB597" s="451"/>
      <c r="AC597" s="451"/>
      <c r="AD597" s="451"/>
    </row>
    <row r="598">
      <c r="A598" s="528" t="s">
        <v>6540</v>
      </c>
      <c r="B598" s="467" t="s">
        <v>6112</v>
      </c>
      <c r="C598" s="467" t="s">
        <v>5671</v>
      </c>
      <c r="D598" s="467" t="s">
        <v>5716</v>
      </c>
      <c r="E598" s="467" t="s">
        <v>5727</v>
      </c>
      <c r="F598" s="497" t="s">
        <v>4270</v>
      </c>
      <c r="G598" s="498">
        <v>2.0</v>
      </c>
      <c r="H598" s="497" t="s">
        <v>5728</v>
      </c>
      <c r="I598" s="497" t="s">
        <v>2707</v>
      </c>
      <c r="J598" s="497" t="s">
        <v>6541</v>
      </c>
      <c r="K598" s="497" t="s">
        <v>5729</v>
      </c>
      <c r="L598" s="498">
        <v>7.0</v>
      </c>
      <c r="M598" s="497" t="s">
        <v>6542</v>
      </c>
      <c r="N598" s="497" t="s">
        <v>6543</v>
      </c>
      <c r="O598" s="498">
        <v>74.0</v>
      </c>
      <c r="P598" s="497" t="s">
        <v>6544</v>
      </c>
      <c r="Q598" s="499"/>
      <c r="R598" s="500"/>
      <c r="S598" s="500"/>
      <c r="T598" s="500"/>
      <c r="U598" s="500"/>
      <c r="V598" s="500"/>
      <c r="W598" s="500"/>
      <c r="X598" s="500"/>
      <c r="Y598" s="500"/>
      <c r="Z598" s="500"/>
      <c r="AA598" s="500"/>
      <c r="AB598" s="500"/>
      <c r="AC598" s="500"/>
      <c r="AD598" s="500"/>
      <c r="AE598" s="497"/>
    </row>
    <row r="599">
      <c r="A599" s="529" t="s">
        <v>4275</v>
      </c>
      <c r="B599" s="518" t="str">
        <f>HYPERLINK("https://www.tribunnews.com/nasional/2019/08/09/kisah-haru-nyai-heni-istri-mbah-moen-dilarang-masuk-mala-lihat-pemakaman-dari-balik-pagar-besi?page=all","Tribun")</f>
        <v>Tribun</v>
      </c>
      <c r="C599" s="467" t="s">
        <v>5667</v>
      </c>
      <c r="D599" s="467" t="s">
        <v>5719</v>
      </c>
      <c r="E599" s="467" t="s">
        <v>5727</v>
      </c>
      <c r="F599" s="271" t="s">
        <v>6472</v>
      </c>
      <c r="G599" s="451"/>
      <c r="H599" s="451"/>
      <c r="I599" s="451"/>
      <c r="J599" s="451"/>
      <c r="K599" s="451"/>
      <c r="L599" s="451"/>
      <c r="M599" s="451"/>
      <c r="N599" s="451"/>
      <c r="O599" s="451"/>
      <c r="P599" s="451"/>
      <c r="Q599" s="451"/>
      <c r="R599" s="451"/>
      <c r="S599" s="451"/>
      <c r="T599" s="451"/>
      <c r="U599" s="451"/>
      <c r="V599" s="451"/>
      <c r="W599" s="451"/>
      <c r="X599" s="451"/>
      <c r="Y599" s="451"/>
      <c r="Z599" s="451"/>
      <c r="AA599" s="451"/>
      <c r="AB599" s="451"/>
      <c r="AC599" s="451"/>
      <c r="AD599" s="451"/>
    </row>
    <row r="600">
      <c r="A600" s="528" t="s">
        <v>6545</v>
      </c>
      <c r="B600" s="518" t="str">
        <f>HYPERLINK("https://republika.co.id/berita/pvdhr5440/invisible-hands","Republika")</f>
        <v>Republika</v>
      </c>
      <c r="C600" s="467" t="s">
        <v>5682</v>
      </c>
      <c r="D600" s="467" t="s">
        <v>5716</v>
      </c>
      <c r="E600" s="467" t="s">
        <v>5727</v>
      </c>
      <c r="F600" s="497" t="s">
        <v>4272</v>
      </c>
      <c r="G600" s="498">
        <v>2.0</v>
      </c>
      <c r="H600" s="497" t="s">
        <v>5728</v>
      </c>
      <c r="I600" s="497" t="s">
        <v>2707</v>
      </c>
      <c r="J600" s="497" t="s">
        <v>6541</v>
      </c>
      <c r="K600" s="497" t="s">
        <v>5729</v>
      </c>
      <c r="L600" s="498">
        <v>7.0</v>
      </c>
      <c r="M600" s="497" t="s">
        <v>6546</v>
      </c>
      <c r="N600" s="497" t="s">
        <v>6547</v>
      </c>
      <c r="O600" s="498">
        <v>71.0</v>
      </c>
      <c r="P600" s="497" t="s">
        <v>6548</v>
      </c>
      <c r="Q600" s="499"/>
      <c r="R600" s="500"/>
      <c r="S600" s="500"/>
      <c r="T600" s="500"/>
      <c r="U600" s="500"/>
      <c r="V600" s="500"/>
      <c r="W600" s="500"/>
      <c r="X600" s="500"/>
      <c r="Y600" s="500"/>
      <c r="Z600" s="500"/>
      <c r="AA600" s="500"/>
      <c r="AB600" s="500"/>
      <c r="AC600" s="500"/>
      <c r="AD600" s="500"/>
      <c r="AE600" s="497"/>
    </row>
    <row r="601">
      <c r="A601" s="528" t="s">
        <v>6549</v>
      </c>
      <c r="B601" s="518" t="str">
        <f>HYPERLINK("https://www.suara.com/news/2019/08/10/133830/kongres-resmi-ditutup-ini-23-poin-sikap-politik-pdip","Suara")</f>
        <v>Suara</v>
      </c>
      <c r="C601" s="467" t="s">
        <v>5670</v>
      </c>
      <c r="D601" s="467" t="s">
        <v>5719</v>
      </c>
      <c r="E601" s="467" t="s">
        <v>5727</v>
      </c>
      <c r="F601" s="497" t="s">
        <v>4278</v>
      </c>
      <c r="G601" s="498">
        <v>2.0</v>
      </c>
      <c r="H601" s="497" t="s">
        <v>5728</v>
      </c>
      <c r="I601" s="497" t="s">
        <v>2698</v>
      </c>
      <c r="J601" s="497" t="s">
        <v>6344</v>
      </c>
      <c r="K601" s="497" t="s">
        <v>5786</v>
      </c>
      <c r="L601" s="498">
        <v>8.0</v>
      </c>
      <c r="M601" s="497" t="s">
        <v>5854</v>
      </c>
      <c r="N601" s="497" t="s">
        <v>6550</v>
      </c>
      <c r="O601" s="498">
        <v>326.0</v>
      </c>
      <c r="P601" s="497" t="s">
        <v>6551</v>
      </c>
      <c r="Q601" s="500"/>
      <c r="R601" s="500"/>
      <c r="S601" s="500"/>
      <c r="T601" s="500"/>
      <c r="U601" s="500"/>
      <c r="V601" s="500"/>
      <c r="W601" s="500"/>
      <c r="X601" s="500"/>
      <c r="Y601" s="500"/>
      <c r="Z601" s="500"/>
      <c r="AA601" s="500"/>
      <c r="AB601" s="500"/>
      <c r="AC601" s="500"/>
      <c r="AD601" s="500"/>
      <c r="AE601" s="497"/>
    </row>
    <row r="602">
      <c r="A602" s="528" t="s">
        <v>6552</v>
      </c>
      <c r="B602" s="518" t="str">
        <f>HYPERLINK("https://news.detik.com/berita/d-4676956/awas-mengaku-seolah-olah-insinyur-bisa-dipenjara","Detik")</f>
        <v>Detik</v>
      </c>
      <c r="C602" s="467" t="s">
        <v>6489</v>
      </c>
      <c r="D602" s="467" t="s">
        <v>5719</v>
      </c>
      <c r="E602" s="467" t="s">
        <v>5727</v>
      </c>
      <c r="F602" s="497" t="s">
        <v>4286</v>
      </c>
      <c r="G602" s="498">
        <v>2.0</v>
      </c>
      <c r="H602" s="497" t="s">
        <v>5728</v>
      </c>
      <c r="I602" s="497" t="s">
        <v>2740</v>
      </c>
      <c r="J602" s="497" t="s">
        <v>6553</v>
      </c>
      <c r="K602" s="497" t="s">
        <v>5754</v>
      </c>
      <c r="L602" s="498">
        <v>8.0</v>
      </c>
      <c r="M602" s="497" t="s">
        <v>5846</v>
      </c>
      <c r="N602" s="497" t="s">
        <v>6554</v>
      </c>
      <c r="O602" s="498">
        <v>190.0</v>
      </c>
      <c r="P602" s="497" t="s">
        <v>6555</v>
      </c>
      <c r="Q602" s="500"/>
      <c r="R602" s="500"/>
      <c r="S602" s="500"/>
      <c r="T602" s="500"/>
      <c r="U602" s="500"/>
      <c r="V602" s="500"/>
      <c r="W602" s="500"/>
      <c r="X602" s="500"/>
      <c r="Y602" s="500"/>
      <c r="Z602" s="500"/>
      <c r="AA602" s="500"/>
      <c r="AB602" s="500"/>
      <c r="AC602" s="500"/>
      <c r="AD602" s="500"/>
      <c r="AE602" s="497"/>
    </row>
    <row r="603">
      <c r="A603" s="529" t="s">
        <v>4291</v>
      </c>
      <c r="B603" s="518" t="str">
        <f>HYPERLINK("https://www.tribunnews.com/metropolitan/2019/08/24/viral-satpam-serpong-meninggal-digigit-ular-weling-kenali-ciri-waspada-habitatnya-ada-di-sekitar","Tribun")</f>
        <v>Tribun</v>
      </c>
      <c r="C603" s="467" t="s">
        <v>5670</v>
      </c>
      <c r="D603" s="467" t="s">
        <v>5719</v>
      </c>
      <c r="E603" s="467" t="s">
        <v>5727</v>
      </c>
      <c r="F603" s="271" t="s">
        <v>6472</v>
      </c>
      <c r="G603" s="451"/>
      <c r="H603" s="451"/>
      <c r="I603" s="451"/>
      <c r="J603" s="451"/>
      <c r="K603" s="451"/>
      <c r="L603" s="451"/>
      <c r="M603" s="451"/>
      <c r="N603" s="451"/>
      <c r="O603" s="451"/>
      <c r="P603" s="451"/>
      <c r="Q603" s="451"/>
      <c r="R603" s="451"/>
      <c r="S603" s="451"/>
      <c r="T603" s="451"/>
      <c r="U603" s="451"/>
      <c r="V603" s="451"/>
      <c r="W603" s="451"/>
      <c r="X603" s="451"/>
      <c r="Y603" s="451"/>
      <c r="Z603" s="451"/>
      <c r="AA603" s="451"/>
      <c r="AB603" s="451"/>
      <c r="AC603" s="451"/>
      <c r="AD603" s="451"/>
    </row>
    <row r="604">
      <c r="A604" s="528" t="s">
        <v>4294</v>
      </c>
      <c r="B604" s="518" t="str">
        <f>HYPERLINK("https://nasional.okezone.com/read/2019/08/27/337/2097310/tak-masuk-struktur-dpp-pkb-2019-2024-karding-biar-saja?page=2","Okezone")</f>
        <v>Okezone</v>
      </c>
      <c r="C604" s="467" t="s">
        <v>5681</v>
      </c>
      <c r="D604" s="467" t="s">
        <v>5719</v>
      </c>
      <c r="E604" s="467" t="s">
        <v>5727</v>
      </c>
      <c r="F604" s="271" t="s">
        <v>6472</v>
      </c>
      <c r="G604" s="451"/>
      <c r="H604" s="451"/>
      <c r="I604" s="451"/>
      <c r="J604" s="451"/>
      <c r="K604" s="451"/>
      <c r="L604" s="451"/>
      <c r="M604" s="451"/>
      <c r="N604" s="451"/>
      <c r="O604" s="451"/>
      <c r="P604" s="451"/>
      <c r="Q604" s="451"/>
      <c r="R604" s="451"/>
      <c r="S604" s="451"/>
      <c r="T604" s="451"/>
      <c r="U604" s="451"/>
      <c r="V604" s="451"/>
      <c r="W604" s="451"/>
      <c r="X604" s="451"/>
      <c r="Y604" s="451"/>
      <c r="Z604" s="451"/>
      <c r="AA604" s="451"/>
      <c r="AB604" s="451"/>
      <c r="AC604" s="451"/>
      <c r="AD604" s="451"/>
    </row>
    <row r="605">
      <c r="A605" s="528" t="s">
        <v>6556</v>
      </c>
      <c r="B605" s="467" t="s">
        <v>6488</v>
      </c>
      <c r="C605" s="467" t="s">
        <v>5681</v>
      </c>
      <c r="D605" s="467" t="s">
        <v>5719</v>
      </c>
      <c r="E605" s="467" t="s">
        <v>5727</v>
      </c>
      <c r="F605" s="516" t="s">
        <v>4295</v>
      </c>
      <c r="G605" s="498">
        <v>2.0</v>
      </c>
      <c r="H605" s="497" t="s">
        <v>5728</v>
      </c>
      <c r="I605" s="497" t="s">
        <v>2704</v>
      </c>
      <c r="J605" s="497" t="s">
        <v>6557</v>
      </c>
      <c r="K605" s="497" t="s">
        <v>5750</v>
      </c>
      <c r="L605" s="498">
        <v>8.0</v>
      </c>
      <c r="M605" s="497" t="s">
        <v>6322</v>
      </c>
      <c r="N605" s="497" t="s">
        <v>6558</v>
      </c>
      <c r="O605" s="498">
        <v>300.0</v>
      </c>
      <c r="P605" s="497" t="s">
        <v>6559</v>
      </c>
      <c r="Q605" s="499"/>
      <c r="R605" s="500"/>
      <c r="S605" s="500"/>
      <c r="T605" s="500"/>
      <c r="U605" s="500"/>
      <c r="V605" s="500"/>
      <c r="W605" s="500"/>
      <c r="X605" s="500"/>
      <c r="Y605" s="500"/>
      <c r="Z605" s="500"/>
      <c r="AA605" s="500"/>
      <c r="AB605" s="500"/>
      <c r="AC605" s="500"/>
      <c r="AD605" s="500"/>
      <c r="AE605" s="497"/>
    </row>
    <row r="606">
      <c r="A606" s="528" t="s">
        <v>6560</v>
      </c>
      <c r="B606" s="467" t="s">
        <v>6561</v>
      </c>
      <c r="C606" s="467" t="s">
        <v>5671</v>
      </c>
      <c r="D606" s="467" t="s">
        <v>5725</v>
      </c>
      <c r="E606" s="467" t="s">
        <v>5727</v>
      </c>
      <c r="F606" s="497" t="s">
        <v>4297</v>
      </c>
      <c r="G606" s="498">
        <v>2.0</v>
      </c>
      <c r="H606" s="497" t="s">
        <v>5728</v>
      </c>
      <c r="I606" s="497" t="s">
        <v>2724</v>
      </c>
      <c r="J606" s="497" t="s">
        <v>6147</v>
      </c>
      <c r="K606" s="497" t="s">
        <v>5729</v>
      </c>
      <c r="L606" s="498">
        <v>9.0</v>
      </c>
      <c r="M606" s="497" t="s">
        <v>5893</v>
      </c>
      <c r="N606" s="497" t="s">
        <v>6562</v>
      </c>
      <c r="O606" s="498">
        <v>276.0</v>
      </c>
      <c r="P606" s="497" t="s">
        <v>6563</v>
      </c>
      <c r="Q606" s="499"/>
      <c r="R606" s="500"/>
      <c r="S606" s="500"/>
      <c r="T606" s="500"/>
      <c r="U606" s="500"/>
      <c r="V606" s="500"/>
      <c r="W606" s="500"/>
      <c r="X606" s="500"/>
      <c r="Y606" s="500"/>
      <c r="Z606" s="500"/>
      <c r="AA606" s="500"/>
      <c r="AB606" s="500"/>
      <c r="AC606" s="500"/>
      <c r="AD606" s="500"/>
      <c r="AE606" s="497"/>
    </row>
    <row r="607">
      <c r="A607" s="528" t="s">
        <v>4301</v>
      </c>
      <c r="B607" s="518" t="str">
        <f>HYPERLINK("https://tirto.id/tiga-desa-di-pati-jawa-tengah-jadi-sasaran-penembakan-misterius-ehqj","Tirto")</f>
        <v>Tirto</v>
      </c>
      <c r="C607" s="467" t="s">
        <v>5682</v>
      </c>
      <c r="D607" s="467" t="s">
        <v>5725</v>
      </c>
      <c r="E607" s="467" t="s">
        <v>5727</v>
      </c>
      <c r="F607" s="271" t="s">
        <v>6472</v>
      </c>
      <c r="G607" s="451"/>
      <c r="H607" s="451"/>
      <c r="I607" s="451"/>
      <c r="J607" s="451"/>
      <c r="K607" s="451"/>
      <c r="L607" s="451"/>
      <c r="M607" s="451"/>
      <c r="N607" s="451"/>
      <c r="O607" s="451"/>
      <c r="P607" s="451"/>
      <c r="Q607" s="451"/>
      <c r="R607" s="451"/>
      <c r="S607" s="451"/>
      <c r="T607" s="451"/>
      <c r="U607" s="451"/>
      <c r="V607" s="451"/>
      <c r="W607" s="451"/>
      <c r="X607" s="451"/>
      <c r="Y607" s="451"/>
      <c r="Z607" s="451"/>
      <c r="AA607" s="451"/>
      <c r="AB607" s="451"/>
      <c r="AC607" s="451"/>
      <c r="AD607" s="451"/>
    </row>
    <row r="608">
      <c r="A608" s="528" t="s">
        <v>4302</v>
      </c>
      <c r="B608" s="518" t="str">
        <f>HYPERLINK("https://www.cnnindonesia.com/hiburan/20190903173535-220-427207/garap-ratu-ilmu-hitam-kimo-dan-joko-anwar-tanya-paranormal","CNN")</f>
        <v>CNN</v>
      </c>
      <c r="C608" s="467" t="s">
        <v>5681</v>
      </c>
      <c r="D608" s="467" t="s">
        <v>5725</v>
      </c>
      <c r="E608" s="467" t="s">
        <v>5727</v>
      </c>
      <c r="F608" s="271" t="s">
        <v>6472</v>
      </c>
      <c r="G608" s="451"/>
      <c r="H608" s="451"/>
      <c r="I608" s="451"/>
      <c r="J608" s="451"/>
      <c r="K608" s="451"/>
      <c r="L608" s="451"/>
      <c r="M608" s="451"/>
      <c r="N608" s="451"/>
      <c r="O608" s="451"/>
      <c r="P608" s="451"/>
      <c r="Q608" s="451"/>
      <c r="R608" s="451"/>
      <c r="S608" s="451"/>
      <c r="T608" s="451"/>
      <c r="U608" s="451"/>
      <c r="V608" s="451"/>
      <c r="W608" s="451"/>
      <c r="X608" s="451"/>
      <c r="Y608" s="451"/>
      <c r="Z608" s="451"/>
      <c r="AA608" s="451"/>
      <c r="AB608" s="451"/>
      <c r="AC608" s="451"/>
      <c r="AD608" s="451"/>
    </row>
    <row r="609">
      <c r="A609" s="528" t="s">
        <v>4303</v>
      </c>
      <c r="B609" s="518" t="str">
        <f>HYPERLINK("https://health.detik.com/diet/d-4691615/diet-junk-food-dituding-jadi-penyebab-kebutaan-remaja-ini","Detik")</f>
        <v>Detik</v>
      </c>
      <c r="C609" s="467" t="s">
        <v>5681</v>
      </c>
      <c r="D609" s="467" t="s">
        <v>5725</v>
      </c>
      <c r="E609" s="467" t="s">
        <v>5727</v>
      </c>
      <c r="F609" s="271" t="s">
        <v>6472</v>
      </c>
      <c r="G609" s="451"/>
      <c r="H609" s="451"/>
      <c r="I609" s="451"/>
      <c r="J609" s="451"/>
      <c r="K609" s="451"/>
      <c r="L609" s="451"/>
      <c r="M609" s="451"/>
      <c r="N609" s="451"/>
      <c r="O609" s="451"/>
      <c r="P609" s="451"/>
      <c r="Q609" s="451"/>
      <c r="R609" s="451"/>
      <c r="S609" s="451"/>
      <c r="T609" s="451"/>
      <c r="U609" s="451"/>
      <c r="V609" s="451"/>
      <c r="W609" s="451"/>
      <c r="X609" s="451"/>
      <c r="Y609" s="451"/>
      <c r="Z609" s="451"/>
      <c r="AA609" s="451"/>
      <c r="AB609" s="451"/>
      <c r="AC609" s="451"/>
      <c r="AD609" s="451"/>
    </row>
    <row r="610">
      <c r="A610" s="528" t="s">
        <v>4304</v>
      </c>
      <c r="B610" s="466" t="s">
        <v>5699</v>
      </c>
      <c r="C610" s="467" t="s">
        <v>5681</v>
      </c>
      <c r="D610" s="467" t="s">
        <v>5725</v>
      </c>
      <c r="E610" s="467" t="s">
        <v>5727</v>
      </c>
      <c r="F610" s="271" t="s">
        <v>6472</v>
      </c>
      <c r="G610" s="451"/>
      <c r="H610" s="451"/>
      <c r="I610" s="451"/>
      <c r="J610" s="451"/>
      <c r="K610" s="451"/>
      <c r="L610" s="451"/>
      <c r="M610" s="451"/>
      <c r="N610" s="451"/>
      <c r="O610" s="451"/>
      <c r="P610" s="451"/>
      <c r="Q610" s="451"/>
      <c r="R610" s="451"/>
      <c r="S610" s="451"/>
      <c r="T610" s="451"/>
      <c r="U610" s="451"/>
      <c r="V610" s="451"/>
      <c r="W610" s="451"/>
      <c r="X610" s="451"/>
      <c r="Y610" s="451"/>
      <c r="Z610" s="451"/>
      <c r="AA610" s="451"/>
      <c r="AB610" s="451"/>
      <c r="AC610" s="451"/>
      <c r="AD610" s="451"/>
    </row>
    <row r="611">
      <c r="A611" s="528" t="s">
        <v>4305</v>
      </c>
      <c r="B611" s="467" t="s">
        <v>6482</v>
      </c>
      <c r="C611" s="467" t="s">
        <v>5681</v>
      </c>
      <c r="D611" s="467" t="s">
        <v>5725</v>
      </c>
      <c r="E611" s="467" t="s">
        <v>5727</v>
      </c>
      <c r="F611" s="271" t="s">
        <v>6472</v>
      </c>
      <c r="G611" s="451"/>
      <c r="H611" s="451"/>
      <c r="I611" s="451"/>
      <c r="J611" s="451"/>
      <c r="K611" s="451"/>
      <c r="L611" s="451"/>
      <c r="M611" s="451"/>
      <c r="N611" s="451"/>
      <c r="O611" s="451"/>
      <c r="P611" s="451"/>
      <c r="Q611" s="451"/>
      <c r="R611" s="451"/>
      <c r="S611" s="451"/>
      <c r="T611" s="451"/>
      <c r="U611" s="451"/>
      <c r="V611" s="451"/>
      <c r="W611" s="451"/>
      <c r="X611" s="451"/>
      <c r="Y611" s="451"/>
      <c r="Z611" s="451"/>
      <c r="AA611" s="451"/>
      <c r="AB611" s="451"/>
      <c r="AC611" s="451"/>
      <c r="AD611" s="451"/>
    </row>
    <row r="612">
      <c r="A612" s="528" t="s">
        <v>6564</v>
      </c>
      <c r="B612" s="467" t="s">
        <v>6110</v>
      </c>
      <c r="C612" s="467" t="s">
        <v>5681</v>
      </c>
      <c r="D612" s="467" t="s">
        <v>5725</v>
      </c>
      <c r="E612" s="467" t="s">
        <v>5727</v>
      </c>
      <c r="F612" s="497" t="s">
        <v>4306</v>
      </c>
      <c r="G612" s="498">
        <v>2.0</v>
      </c>
      <c r="H612" s="497" t="s">
        <v>5728</v>
      </c>
      <c r="I612" s="497" t="s">
        <v>2698</v>
      </c>
      <c r="J612" s="497" t="s">
        <v>6557</v>
      </c>
      <c r="K612" s="497" t="s">
        <v>5750</v>
      </c>
      <c r="L612" s="498">
        <v>8.0</v>
      </c>
      <c r="M612" s="497" t="s">
        <v>5763</v>
      </c>
      <c r="N612" s="497" t="s">
        <v>6565</v>
      </c>
      <c r="O612" s="498">
        <v>541.0</v>
      </c>
      <c r="P612" s="497" t="s">
        <v>6566</v>
      </c>
      <c r="Q612" s="499"/>
      <c r="R612" s="500"/>
      <c r="S612" s="500"/>
      <c r="T612" s="500"/>
      <c r="U612" s="500"/>
      <c r="V612" s="500"/>
      <c r="W612" s="500"/>
      <c r="X612" s="500"/>
      <c r="Y612" s="500"/>
      <c r="Z612" s="500"/>
      <c r="AA612" s="500"/>
      <c r="AB612" s="500"/>
      <c r="AC612" s="500"/>
      <c r="AD612" s="500"/>
      <c r="AE612" s="497"/>
    </row>
    <row r="613">
      <c r="A613" s="461" t="s">
        <v>6567</v>
      </c>
      <c r="B613" s="518" t="str">
        <f>HYPERLINK("https://seleb.tempo.co/read/1253533/3-film-indonesia-diputar-di-festival-film-tokyo-2019/full&amp;view=ok","Tempo.co")</f>
        <v>Tempo.co</v>
      </c>
      <c r="C613" s="467" t="s">
        <v>5670</v>
      </c>
      <c r="D613" s="467" t="s">
        <v>5725</v>
      </c>
      <c r="E613" s="467" t="s">
        <v>5727</v>
      </c>
      <c r="F613" s="497" t="s">
        <v>4314</v>
      </c>
      <c r="G613" s="498">
        <v>2.0</v>
      </c>
      <c r="H613" s="497" t="s">
        <v>5728</v>
      </c>
      <c r="I613" s="497" t="s">
        <v>2702</v>
      </c>
      <c r="J613" s="497" t="s">
        <v>6155</v>
      </c>
      <c r="K613" s="497" t="s">
        <v>5786</v>
      </c>
      <c r="L613" s="498">
        <v>9.0</v>
      </c>
      <c r="M613" s="497" t="s">
        <v>5916</v>
      </c>
      <c r="N613" s="497" t="s">
        <v>6568</v>
      </c>
      <c r="O613" s="498">
        <v>276.0</v>
      </c>
      <c r="P613" s="497" t="s">
        <v>6569</v>
      </c>
      <c r="Q613" s="499"/>
      <c r="R613" s="500"/>
      <c r="S613" s="500"/>
      <c r="T613" s="500"/>
      <c r="U613" s="500"/>
      <c r="V613" s="500"/>
      <c r="W613" s="500"/>
      <c r="X613" s="500"/>
      <c r="Y613" s="500"/>
      <c r="Z613" s="500"/>
      <c r="AA613" s="500"/>
      <c r="AB613" s="500"/>
      <c r="AC613" s="500"/>
      <c r="AD613" s="500"/>
      <c r="AE613" s="497"/>
    </row>
    <row r="614">
      <c r="A614" s="461" t="s">
        <v>6570</v>
      </c>
      <c r="B614" s="518" t="str">
        <f>HYPERLINK("https://www.liputan6.com/showbiz/read/3866036/robert-de-niro-anggap-donald-trump-bencana-bagi-negara","Liputan6")</f>
        <v>Liputan6</v>
      </c>
      <c r="C614" s="467" t="s">
        <v>5657</v>
      </c>
      <c r="D614" s="467" t="s">
        <v>5658</v>
      </c>
      <c r="E614" s="467" t="s">
        <v>6241</v>
      </c>
      <c r="F614" s="497" t="s">
        <v>1905</v>
      </c>
      <c r="G614" s="498">
        <v>2.0</v>
      </c>
      <c r="H614" s="497" t="s">
        <v>6243</v>
      </c>
      <c r="I614" s="497" t="s">
        <v>2692</v>
      </c>
      <c r="J614" s="497" t="s">
        <v>6571</v>
      </c>
      <c r="K614" s="497" t="s">
        <v>5711</v>
      </c>
      <c r="L614" s="498">
        <v>1.0</v>
      </c>
      <c r="M614" s="497" t="s">
        <v>5828</v>
      </c>
      <c r="N614" s="497" t="s">
        <v>6572</v>
      </c>
      <c r="O614" s="498">
        <v>374.0</v>
      </c>
      <c r="P614" s="497" t="s">
        <v>6573</v>
      </c>
      <c r="Q614" s="499"/>
      <c r="R614" s="500"/>
      <c r="S614" s="500"/>
      <c r="T614" s="500"/>
      <c r="U614" s="500"/>
      <c r="V614" s="500"/>
      <c r="W614" s="500"/>
      <c r="X614" s="500"/>
      <c r="Y614" s="500"/>
      <c r="Z614" s="500"/>
      <c r="AA614" s="500"/>
      <c r="AB614" s="500"/>
      <c r="AC614" s="500"/>
      <c r="AD614" s="500"/>
      <c r="AE614" s="497"/>
    </row>
    <row r="615">
      <c r="A615" s="461" t="s">
        <v>4322</v>
      </c>
      <c r="B615" s="467" t="s">
        <v>6561</v>
      </c>
      <c r="C615" s="467" t="s">
        <v>5670</v>
      </c>
      <c r="D615" s="467" t="s">
        <v>5658</v>
      </c>
      <c r="E615" s="467" t="s">
        <v>6241</v>
      </c>
      <c r="F615" s="271" t="s">
        <v>6472</v>
      </c>
      <c r="G615" s="451"/>
      <c r="H615" s="451"/>
      <c r="I615" s="451"/>
      <c r="J615" s="451"/>
      <c r="K615" s="451"/>
      <c r="L615" s="451"/>
      <c r="M615" s="451"/>
      <c r="N615" s="451"/>
      <c r="O615" s="451"/>
      <c r="P615" s="451"/>
      <c r="Q615" s="451"/>
      <c r="R615" s="451"/>
      <c r="S615" s="451"/>
      <c r="T615" s="451"/>
      <c r="U615" s="451"/>
      <c r="V615" s="451"/>
      <c r="W615" s="451"/>
      <c r="X615" s="451"/>
      <c r="Y615" s="451"/>
      <c r="Z615" s="451"/>
      <c r="AA615" s="451"/>
      <c r="AB615" s="451"/>
      <c r="AC615" s="451"/>
      <c r="AD615" s="451"/>
    </row>
    <row r="616">
      <c r="A616" s="461" t="s">
        <v>6574</v>
      </c>
      <c r="B616" s="467" t="s">
        <v>2707</v>
      </c>
      <c r="C616" s="467" t="s">
        <v>5667</v>
      </c>
      <c r="D616" s="467" t="s">
        <v>5692</v>
      </c>
      <c r="E616" s="467" t="s">
        <v>5727</v>
      </c>
      <c r="F616" s="497" t="s">
        <v>575</v>
      </c>
      <c r="G616" s="498">
        <v>2.0</v>
      </c>
      <c r="H616" s="497" t="s">
        <v>5728</v>
      </c>
      <c r="I616" s="497" t="s">
        <v>2707</v>
      </c>
      <c r="J616" s="497" t="s">
        <v>6575</v>
      </c>
      <c r="K616" s="497" t="s">
        <v>5734</v>
      </c>
      <c r="L616" s="498">
        <v>5.0</v>
      </c>
      <c r="M616" s="497" t="s">
        <v>6576</v>
      </c>
      <c r="N616" s="497" t="s">
        <v>6577</v>
      </c>
      <c r="O616" s="498">
        <v>229.0</v>
      </c>
      <c r="P616" s="497" t="s">
        <v>6578</v>
      </c>
      <c r="Q616" s="499"/>
      <c r="R616" s="500"/>
      <c r="S616" s="500"/>
      <c r="T616" s="500"/>
      <c r="U616" s="500"/>
      <c r="V616" s="500"/>
      <c r="W616" s="500"/>
      <c r="X616" s="500"/>
      <c r="Y616" s="500"/>
      <c r="Z616" s="500"/>
      <c r="AA616" s="500"/>
      <c r="AB616" s="500"/>
      <c r="AC616" s="500"/>
      <c r="AD616" s="500"/>
      <c r="AE616" s="497"/>
    </row>
    <row r="617">
      <c r="A617" s="461" t="s">
        <v>577</v>
      </c>
      <c r="B617" s="467" t="s">
        <v>2707</v>
      </c>
      <c r="C617" s="467" t="s">
        <v>5682</v>
      </c>
      <c r="D617" s="467" t="s">
        <v>5692</v>
      </c>
      <c r="E617" s="467" t="s">
        <v>5727</v>
      </c>
      <c r="F617" s="271" t="s">
        <v>6472</v>
      </c>
      <c r="G617" s="451"/>
      <c r="H617" s="451"/>
      <c r="I617" s="451"/>
      <c r="J617" s="451"/>
      <c r="K617" s="451"/>
      <c r="L617" s="451"/>
      <c r="M617" s="451"/>
      <c r="N617" s="451"/>
      <c r="O617" s="451"/>
      <c r="P617" s="451"/>
      <c r="Q617" s="451"/>
      <c r="R617" s="451"/>
      <c r="S617" s="451"/>
      <c r="T617" s="451"/>
      <c r="U617" s="451"/>
      <c r="V617" s="451"/>
      <c r="W617" s="451"/>
      <c r="X617" s="451"/>
      <c r="Y617" s="451"/>
      <c r="Z617" s="451"/>
      <c r="AA617" s="451"/>
      <c r="AB617" s="451"/>
      <c r="AC617" s="451"/>
      <c r="AD617" s="451"/>
    </row>
    <row r="618">
      <c r="A618" s="461" t="s">
        <v>578</v>
      </c>
      <c r="B618" s="467" t="s">
        <v>2692</v>
      </c>
      <c r="C618" s="467" t="s">
        <v>5657</v>
      </c>
      <c r="D618" s="467" t="s">
        <v>5692</v>
      </c>
      <c r="E618" s="467" t="s">
        <v>5727</v>
      </c>
      <c r="F618" s="271" t="s">
        <v>6472</v>
      </c>
      <c r="G618" s="451"/>
      <c r="H618" s="451"/>
      <c r="I618" s="451"/>
      <c r="J618" s="451"/>
      <c r="K618" s="451"/>
      <c r="L618" s="451"/>
      <c r="M618" s="451"/>
      <c r="N618" s="451"/>
      <c r="O618" s="451"/>
      <c r="P618" s="451"/>
      <c r="Q618" s="451"/>
      <c r="R618" s="451"/>
      <c r="S618" s="451"/>
      <c r="T618" s="451"/>
      <c r="U618" s="451"/>
      <c r="V618" s="451"/>
      <c r="W618" s="451"/>
      <c r="X618" s="451"/>
      <c r="Y618" s="451"/>
      <c r="Z618" s="451"/>
      <c r="AA618" s="451"/>
      <c r="AB618" s="451"/>
      <c r="AC618" s="451"/>
      <c r="AD618" s="451"/>
    </row>
    <row r="619">
      <c r="A619" s="461" t="s">
        <v>579</v>
      </c>
      <c r="B619" s="467" t="s">
        <v>2707</v>
      </c>
      <c r="C619" s="467" t="s">
        <v>5657</v>
      </c>
      <c r="D619" s="467" t="s">
        <v>5692</v>
      </c>
      <c r="E619" s="467" t="s">
        <v>5727</v>
      </c>
      <c r="F619" s="271" t="s">
        <v>6472</v>
      </c>
      <c r="G619" s="451"/>
      <c r="H619" s="451"/>
      <c r="I619" s="451"/>
      <c r="J619" s="451"/>
      <c r="K619" s="451"/>
      <c r="L619" s="451"/>
      <c r="M619" s="451"/>
      <c r="N619" s="451"/>
      <c r="O619" s="451"/>
      <c r="P619" s="451"/>
      <c r="Q619" s="451"/>
      <c r="R619" s="451"/>
      <c r="S619" s="451"/>
      <c r="T619" s="451"/>
      <c r="U619" s="451"/>
      <c r="V619" s="451"/>
      <c r="W619" s="451"/>
      <c r="X619" s="451"/>
      <c r="Y619" s="451"/>
      <c r="Z619" s="451"/>
      <c r="AA619" s="451"/>
      <c r="AB619" s="451"/>
      <c r="AC619" s="451"/>
      <c r="AD619" s="451"/>
    </row>
    <row r="620">
      <c r="A620" s="461" t="s">
        <v>6579</v>
      </c>
      <c r="B620" s="466" t="s">
        <v>5749</v>
      </c>
      <c r="C620" s="467" t="s">
        <v>5681</v>
      </c>
      <c r="D620" s="467" t="s">
        <v>5692</v>
      </c>
      <c r="E620" s="467" t="s">
        <v>5727</v>
      </c>
      <c r="F620" s="497" t="s">
        <v>583</v>
      </c>
      <c r="G620" s="498">
        <v>2.0</v>
      </c>
      <c r="H620" s="497" t="s">
        <v>5728</v>
      </c>
      <c r="I620" s="497" t="s">
        <v>2715</v>
      </c>
      <c r="J620" s="497" t="s">
        <v>6580</v>
      </c>
      <c r="K620" s="497" t="s">
        <v>5750</v>
      </c>
      <c r="L620" s="498">
        <v>5.0</v>
      </c>
      <c r="M620" s="497" t="s">
        <v>5763</v>
      </c>
      <c r="N620" s="497" t="s">
        <v>6581</v>
      </c>
      <c r="O620" s="498">
        <v>219.0</v>
      </c>
      <c r="P620" s="497" t="s">
        <v>6582</v>
      </c>
      <c r="Q620" s="499"/>
      <c r="R620" s="500"/>
      <c r="S620" s="500"/>
      <c r="T620" s="500"/>
      <c r="U620" s="500"/>
      <c r="V620" s="500"/>
      <c r="W620" s="500"/>
      <c r="X620" s="500"/>
      <c r="Y620" s="500"/>
      <c r="Z620" s="500"/>
      <c r="AA620" s="500"/>
      <c r="AB620" s="500"/>
      <c r="AC620" s="500"/>
      <c r="AD620" s="500"/>
      <c r="AE620" s="497"/>
    </row>
    <row r="621">
      <c r="A621" s="461" t="s">
        <v>586</v>
      </c>
      <c r="B621" s="466" t="s">
        <v>5749</v>
      </c>
      <c r="C621" s="467" t="s">
        <v>5671</v>
      </c>
      <c r="D621" s="467" t="s">
        <v>5692</v>
      </c>
      <c r="E621" s="467" t="s">
        <v>5727</v>
      </c>
      <c r="F621" s="271" t="s">
        <v>6472</v>
      </c>
      <c r="G621" s="451"/>
      <c r="H621" s="451"/>
      <c r="I621" s="451"/>
      <c r="J621" s="451"/>
      <c r="K621" s="451"/>
      <c r="L621" s="451"/>
      <c r="M621" s="451"/>
      <c r="N621" s="451"/>
      <c r="O621" s="451"/>
      <c r="P621" s="451"/>
      <c r="Q621" s="451"/>
      <c r="R621" s="451"/>
      <c r="S621" s="451"/>
      <c r="T621" s="451"/>
      <c r="U621" s="451"/>
      <c r="V621" s="451"/>
      <c r="W621" s="451"/>
      <c r="X621" s="451"/>
      <c r="Y621" s="451"/>
      <c r="Z621" s="451"/>
      <c r="AA621" s="451"/>
      <c r="AB621" s="451"/>
      <c r="AC621" s="451"/>
      <c r="AD621" s="451"/>
    </row>
    <row r="622">
      <c r="A622" s="461" t="s">
        <v>587</v>
      </c>
      <c r="B622" s="466" t="s">
        <v>5699</v>
      </c>
      <c r="C622" s="467" t="s">
        <v>5657</v>
      </c>
      <c r="D622" s="467" t="s">
        <v>5692</v>
      </c>
      <c r="E622" s="467" t="s">
        <v>5727</v>
      </c>
      <c r="F622" s="271" t="s">
        <v>6472</v>
      </c>
      <c r="G622" s="451"/>
      <c r="H622" s="451"/>
      <c r="I622" s="451"/>
      <c r="J622" s="451"/>
      <c r="K622" s="451"/>
      <c r="L622" s="451"/>
      <c r="M622" s="451"/>
      <c r="N622" s="451"/>
      <c r="O622" s="451"/>
      <c r="P622" s="451"/>
      <c r="Q622" s="451"/>
      <c r="R622" s="451"/>
      <c r="S622" s="451"/>
      <c r="T622" s="451"/>
      <c r="U622" s="451"/>
      <c r="V622" s="451"/>
      <c r="W622" s="451"/>
      <c r="X622" s="451"/>
      <c r="Y622" s="451"/>
      <c r="Z622" s="451"/>
      <c r="AA622" s="451"/>
      <c r="AB622" s="451"/>
      <c r="AC622" s="451"/>
      <c r="AD622" s="451"/>
    </row>
    <row r="623">
      <c r="A623" s="461" t="s">
        <v>589</v>
      </c>
      <c r="B623" s="467" t="s">
        <v>6109</v>
      </c>
      <c r="C623" s="467" t="s">
        <v>5664</v>
      </c>
      <c r="D623" s="467" t="s">
        <v>5692</v>
      </c>
      <c r="E623" s="467" t="s">
        <v>5727</v>
      </c>
      <c r="F623" s="271" t="s">
        <v>6472</v>
      </c>
      <c r="G623" s="451"/>
      <c r="H623" s="451"/>
      <c r="I623" s="451"/>
      <c r="J623" s="451"/>
      <c r="K623" s="451"/>
      <c r="L623" s="451"/>
      <c r="M623" s="451"/>
      <c r="N623" s="451"/>
      <c r="O623" s="451"/>
      <c r="P623" s="451"/>
      <c r="Q623" s="451"/>
      <c r="R623" s="451"/>
      <c r="S623" s="451"/>
      <c r="T623" s="451"/>
      <c r="U623" s="451"/>
      <c r="V623" s="451"/>
      <c r="W623" s="451"/>
      <c r="X623" s="451"/>
      <c r="Y623" s="451"/>
      <c r="Z623" s="451"/>
      <c r="AA623" s="451"/>
      <c r="AB623" s="451"/>
      <c r="AC623" s="451"/>
      <c r="AD623" s="451"/>
    </row>
    <row r="624">
      <c r="A624" s="461" t="s">
        <v>6583</v>
      </c>
      <c r="B624" s="467" t="s">
        <v>2709</v>
      </c>
      <c r="C624" s="467" t="s">
        <v>5681</v>
      </c>
      <c r="D624" s="467" t="s">
        <v>5692</v>
      </c>
      <c r="E624" s="467" t="s">
        <v>5727</v>
      </c>
      <c r="F624" s="516" t="s">
        <v>591</v>
      </c>
      <c r="G624" s="498">
        <v>2.0</v>
      </c>
      <c r="H624" s="497" t="s">
        <v>6243</v>
      </c>
      <c r="I624" s="497" t="s">
        <v>2709</v>
      </c>
      <c r="J624" s="497" t="s">
        <v>6584</v>
      </c>
      <c r="K624" s="497" t="s">
        <v>5750</v>
      </c>
      <c r="L624" s="498">
        <v>5.0</v>
      </c>
      <c r="M624" s="497" t="s">
        <v>6585</v>
      </c>
      <c r="N624" s="497" t="s">
        <v>6586</v>
      </c>
      <c r="O624" s="498">
        <v>332.0</v>
      </c>
      <c r="P624" s="497" t="s">
        <v>6587</v>
      </c>
      <c r="Q624" s="499"/>
      <c r="R624" s="500"/>
      <c r="S624" s="500"/>
      <c r="T624" s="500"/>
      <c r="U624" s="500"/>
      <c r="V624" s="500"/>
      <c r="W624" s="500"/>
      <c r="X624" s="500"/>
      <c r="Y624" s="500"/>
      <c r="Z624" s="500"/>
      <c r="AA624" s="500"/>
      <c r="AB624" s="500"/>
      <c r="AC624" s="500"/>
      <c r="AD624" s="500"/>
      <c r="AE624" s="497"/>
    </row>
    <row r="625">
      <c r="A625" s="461" t="s">
        <v>593</v>
      </c>
      <c r="B625" s="467" t="s">
        <v>2704</v>
      </c>
      <c r="C625" s="467" t="s">
        <v>5667</v>
      </c>
      <c r="D625" s="467" t="s">
        <v>5692</v>
      </c>
      <c r="E625" s="467" t="s">
        <v>5727</v>
      </c>
      <c r="F625" s="271" t="s">
        <v>6472</v>
      </c>
      <c r="G625" s="451"/>
      <c r="H625" s="451"/>
      <c r="I625" s="451"/>
      <c r="J625" s="451"/>
      <c r="K625" s="451"/>
      <c r="L625" s="451"/>
      <c r="M625" s="451"/>
      <c r="N625" s="451"/>
      <c r="O625" s="451"/>
      <c r="P625" s="451"/>
      <c r="Q625" s="451"/>
      <c r="R625" s="451"/>
      <c r="S625" s="451"/>
      <c r="T625" s="451"/>
      <c r="U625" s="451"/>
      <c r="V625" s="451"/>
      <c r="W625" s="451"/>
      <c r="X625" s="451"/>
      <c r="Y625" s="451"/>
      <c r="Z625" s="451"/>
      <c r="AA625" s="451"/>
      <c r="AB625" s="451"/>
      <c r="AC625" s="451"/>
      <c r="AD625" s="451"/>
    </row>
    <row r="626">
      <c r="A626" s="461" t="s">
        <v>599</v>
      </c>
      <c r="B626" s="467" t="s">
        <v>6105</v>
      </c>
      <c r="C626" s="467" t="s">
        <v>5657</v>
      </c>
      <c r="D626" s="467" t="s">
        <v>5705</v>
      </c>
      <c r="E626" s="467" t="s">
        <v>5727</v>
      </c>
      <c r="F626" s="271" t="s">
        <v>6472</v>
      </c>
      <c r="G626" s="451"/>
      <c r="H626" s="451"/>
      <c r="I626" s="451"/>
      <c r="J626" s="451"/>
      <c r="K626" s="451"/>
      <c r="L626" s="451"/>
      <c r="M626" s="451"/>
      <c r="N626" s="451"/>
      <c r="O626" s="451"/>
      <c r="P626" s="451"/>
      <c r="Q626" s="451"/>
      <c r="R626" s="451"/>
      <c r="S626" s="451"/>
      <c r="T626" s="451"/>
      <c r="U626" s="451"/>
      <c r="V626" s="451"/>
      <c r="W626" s="451"/>
      <c r="X626" s="451"/>
      <c r="Y626" s="451"/>
      <c r="Z626" s="451"/>
      <c r="AA626" s="451"/>
      <c r="AB626" s="451"/>
      <c r="AC626" s="451"/>
      <c r="AD626" s="451"/>
    </row>
    <row r="627">
      <c r="A627" s="461" t="s">
        <v>600</v>
      </c>
      <c r="B627" s="467" t="s">
        <v>2707</v>
      </c>
      <c r="C627" s="467" t="s">
        <v>5682</v>
      </c>
      <c r="D627" s="467" t="s">
        <v>5705</v>
      </c>
      <c r="E627" s="467" t="s">
        <v>5727</v>
      </c>
      <c r="F627" s="271" t="s">
        <v>6472</v>
      </c>
      <c r="G627" s="451"/>
      <c r="H627" s="451"/>
      <c r="I627" s="451"/>
      <c r="J627" s="451"/>
      <c r="K627" s="451"/>
      <c r="L627" s="451"/>
      <c r="M627" s="451"/>
      <c r="N627" s="451"/>
      <c r="O627" s="451"/>
      <c r="P627" s="451"/>
      <c r="Q627" s="451"/>
      <c r="R627" s="451"/>
      <c r="S627" s="451"/>
      <c r="T627" s="451"/>
      <c r="U627" s="451"/>
      <c r="V627" s="451"/>
      <c r="W627" s="451"/>
      <c r="X627" s="451"/>
      <c r="Y627" s="451"/>
      <c r="Z627" s="451"/>
      <c r="AA627" s="451"/>
      <c r="AB627" s="451"/>
      <c r="AC627" s="451"/>
      <c r="AD627" s="451"/>
    </row>
    <row r="628">
      <c r="A628" s="461" t="s">
        <v>601</v>
      </c>
      <c r="B628" s="467" t="s">
        <v>6110</v>
      </c>
      <c r="C628" s="467" t="s">
        <v>5682</v>
      </c>
      <c r="D628" s="467" t="s">
        <v>5705</v>
      </c>
      <c r="E628" s="467" t="s">
        <v>5727</v>
      </c>
      <c r="F628" s="271" t="s">
        <v>6472</v>
      </c>
      <c r="G628" s="451"/>
      <c r="H628" s="451"/>
      <c r="I628" s="451"/>
      <c r="J628" s="451"/>
      <c r="K628" s="451"/>
      <c r="L628" s="451"/>
      <c r="M628" s="451"/>
      <c r="N628" s="451"/>
      <c r="O628" s="451"/>
      <c r="P628" s="451"/>
      <c r="Q628" s="451"/>
      <c r="R628" s="451"/>
      <c r="S628" s="451"/>
      <c r="T628" s="451"/>
      <c r="U628" s="451"/>
      <c r="V628" s="451"/>
      <c r="W628" s="451"/>
      <c r="X628" s="451"/>
      <c r="Y628" s="451"/>
      <c r="Z628" s="451"/>
      <c r="AA628" s="451"/>
      <c r="AB628" s="451"/>
      <c r="AC628" s="451"/>
      <c r="AD628" s="451"/>
    </row>
    <row r="629">
      <c r="A629" s="461" t="s">
        <v>602</v>
      </c>
      <c r="B629" s="467" t="s">
        <v>2704</v>
      </c>
      <c r="C629" s="467" t="s">
        <v>5682</v>
      </c>
      <c r="D629" s="467" t="s">
        <v>5705</v>
      </c>
      <c r="E629" s="467" t="s">
        <v>5727</v>
      </c>
      <c r="F629" s="271" t="s">
        <v>6472</v>
      </c>
      <c r="G629" s="451"/>
      <c r="H629" s="451"/>
      <c r="I629" s="451"/>
      <c r="J629" s="451"/>
      <c r="K629" s="451"/>
      <c r="L629" s="451"/>
      <c r="M629" s="451"/>
      <c r="N629" s="451"/>
      <c r="O629" s="451"/>
      <c r="P629" s="451"/>
      <c r="Q629" s="451"/>
      <c r="R629" s="451"/>
      <c r="S629" s="451"/>
      <c r="T629" s="451"/>
      <c r="U629" s="451"/>
      <c r="V629" s="451"/>
      <c r="W629" s="451"/>
      <c r="X629" s="451"/>
      <c r="Y629" s="451"/>
      <c r="Z629" s="451"/>
      <c r="AA629" s="451"/>
      <c r="AB629" s="451"/>
      <c r="AC629" s="451"/>
      <c r="AD629" s="451"/>
    </row>
    <row r="630">
      <c r="A630" s="461" t="s">
        <v>603</v>
      </c>
      <c r="B630" s="466" t="s">
        <v>5749</v>
      </c>
      <c r="C630" s="467" t="s">
        <v>5682</v>
      </c>
      <c r="D630" s="467" t="s">
        <v>5705</v>
      </c>
      <c r="E630" s="467" t="s">
        <v>5727</v>
      </c>
      <c r="F630" s="271" t="s">
        <v>6472</v>
      </c>
      <c r="G630" s="451"/>
      <c r="H630" s="451"/>
      <c r="I630" s="451"/>
      <c r="J630" s="451"/>
      <c r="K630" s="451"/>
      <c r="L630" s="451"/>
      <c r="M630" s="451"/>
      <c r="N630" s="451"/>
      <c r="O630" s="451"/>
      <c r="P630" s="451"/>
      <c r="Q630" s="451"/>
      <c r="R630" s="451"/>
      <c r="S630" s="451"/>
      <c r="T630" s="451"/>
      <c r="U630" s="451"/>
      <c r="V630" s="451"/>
      <c r="W630" s="451"/>
      <c r="X630" s="451"/>
      <c r="Y630" s="451"/>
      <c r="Z630" s="451"/>
      <c r="AA630" s="451"/>
      <c r="AB630" s="451"/>
      <c r="AC630" s="451"/>
      <c r="AD630" s="451"/>
    </row>
    <row r="631">
      <c r="A631" s="461" t="s">
        <v>6588</v>
      </c>
      <c r="B631" s="467" t="s">
        <v>6110</v>
      </c>
      <c r="C631" s="467" t="s">
        <v>5681</v>
      </c>
      <c r="D631" s="467" t="s">
        <v>5705</v>
      </c>
      <c r="E631" s="467" t="s">
        <v>5727</v>
      </c>
      <c r="F631" s="497" t="s">
        <v>604</v>
      </c>
      <c r="G631" s="498">
        <v>2.0</v>
      </c>
      <c r="H631" s="497" t="s">
        <v>5728</v>
      </c>
      <c r="I631" s="497" t="s">
        <v>2698</v>
      </c>
      <c r="J631" s="497" t="s">
        <v>6589</v>
      </c>
      <c r="K631" s="497" t="s">
        <v>5750</v>
      </c>
      <c r="L631" s="498">
        <v>6.0</v>
      </c>
      <c r="M631" s="497" t="s">
        <v>5824</v>
      </c>
      <c r="N631" s="497" t="s">
        <v>6590</v>
      </c>
      <c r="O631" s="498">
        <v>227.0</v>
      </c>
      <c r="P631" s="497" t="s">
        <v>6591</v>
      </c>
      <c r="Q631" s="499"/>
      <c r="R631" s="500"/>
      <c r="S631" s="500"/>
      <c r="T631" s="500"/>
      <c r="U631" s="500"/>
      <c r="V631" s="500"/>
      <c r="W631" s="500"/>
      <c r="X631" s="500"/>
      <c r="Y631" s="500"/>
      <c r="Z631" s="500"/>
      <c r="AA631" s="500"/>
      <c r="AB631" s="500"/>
      <c r="AC631" s="500"/>
      <c r="AD631" s="500"/>
      <c r="AE631" s="497"/>
    </row>
    <row r="632">
      <c r="A632" s="529" t="s">
        <v>6592</v>
      </c>
      <c r="B632" s="467" t="s">
        <v>6110</v>
      </c>
      <c r="C632" s="467" t="s">
        <v>5664</v>
      </c>
      <c r="D632" s="467" t="s">
        <v>5668</v>
      </c>
      <c r="E632" s="467" t="s">
        <v>6241</v>
      </c>
      <c r="F632" s="497" t="s">
        <v>1436</v>
      </c>
      <c r="G632" s="498">
        <v>2.0</v>
      </c>
      <c r="H632" s="497" t="s">
        <v>6243</v>
      </c>
      <c r="I632" s="497" t="s">
        <v>2698</v>
      </c>
      <c r="J632" s="497" t="s">
        <v>1437</v>
      </c>
      <c r="K632" s="497" t="s">
        <v>5750</v>
      </c>
      <c r="L632" s="498">
        <v>2.0</v>
      </c>
      <c r="M632" s="497" t="s">
        <v>5763</v>
      </c>
      <c r="N632" s="497" t="s">
        <v>6387</v>
      </c>
      <c r="O632" s="498">
        <v>127.0</v>
      </c>
      <c r="P632" s="497" t="s">
        <v>6388</v>
      </c>
      <c r="Q632" s="530"/>
      <c r="R632" s="497"/>
      <c r="S632" s="497"/>
      <c r="T632" s="497"/>
      <c r="U632" s="497"/>
      <c r="V632" s="497"/>
      <c r="W632" s="497"/>
      <c r="X632" s="497"/>
      <c r="Y632" s="497"/>
      <c r="Z632" s="497"/>
      <c r="AA632" s="497"/>
      <c r="AB632" s="497"/>
      <c r="AC632" s="497"/>
      <c r="AD632" s="497"/>
      <c r="AE632" s="497"/>
    </row>
    <row r="633">
      <c r="A633" s="495" t="s">
        <v>6593</v>
      </c>
      <c r="B633" s="467" t="s">
        <v>6488</v>
      </c>
      <c r="C633" s="467" t="s">
        <v>5664</v>
      </c>
      <c r="D633" s="467" t="s">
        <v>5658</v>
      </c>
      <c r="E633" s="467" t="s">
        <v>6241</v>
      </c>
      <c r="F633" s="497" t="s">
        <v>1438</v>
      </c>
      <c r="G633" s="498">
        <v>2.0</v>
      </c>
      <c r="H633" s="497" t="s">
        <v>6243</v>
      </c>
      <c r="I633" s="497" t="s">
        <v>2704</v>
      </c>
      <c r="J633" s="497" t="s">
        <v>1439</v>
      </c>
      <c r="K633" s="497" t="s">
        <v>5754</v>
      </c>
      <c r="L633" s="498">
        <v>1.0</v>
      </c>
      <c r="M633" s="497" t="s">
        <v>5839</v>
      </c>
      <c r="N633" s="497" t="s">
        <v>6594</v>
      </c>
      <c r="O633" s="498">
        <v>319.0</v>
      </c>
      <c r="P633" s="497" t="s">
        <v>6595</v>
      </c>
      <c r="Q633" s="499"/>
      <c r="R633" s="500"/>
      <c r="S633" s="500"/>
      <c r="T633" s="500"/>
      <c r="U633" s="500"/>
      <c r="V633" s="500"/>
      <c r="W633" s="500"/>
      <c r="X633" s="500"/>
      <c r="Y633" s="500"/>
      <c r="Z633" s="500"/>
      <c r="AA633" s="500"/>
      <c r="AB633" s="500"/>
      <c r="AC633" s="500"/>
      <c r="AD633" s="500"/>
      <c r="AE633" s="497"/>
    </row>
    <row r="634">
      <c r="A634" s="495" t="s">
        <v>6596</v>
      </c>
      <c r="B634" s="518" t="str">
        <f>HYPERLINK("https://www.tribunnews.com/metropolitan/2019/02/21/peserta-malam-munajat-212-doakan-buni-yani-bahar-bin-smith-dan-ahmad-dhani","Tribun")</f>
        <v>Tribun</v>
      </c>
      <c r="C634" s="467" t="s">
        <v>5664</v>
      </c>
      <c r="D634" s="467" t="s">
        <v>5668</v>
      </c>
      <c r="E634" s="467" t="s">
        <v>6241</v>
      </c>
      <c r="F634" s="497" t="s">
        <v>1441</v>
      </c>
      <c r="G634" s="498">
        <v>2.0</v>
      </c>
      <c r="H634" s="497" t="s">
        <v>6243</v>
      </c>
      <c r="I634" s="497" t="s">
        <v>2715</v>
      </c>
      <c r="J634" s="497" t="s">
        <v>6069</v>
      </c>
      <c r="K634" s="497" t="s">
        <v>5754</v>
      </c>
      <c r="L634" s="498">
        <v>2.0</v>
      </c>
      <c r="M634" s="497" t="s">
        <v>5763</v>
      </c>
      <c r="N634" s="497" t="s">
        <v>6597</v>
      </c>
      <c r="O634" s="498">
        <v>206.0</v>
      </c>
      <c r="P634" s="497" t="s">
        <v>6598</v>
      </c>
      <c r="Q634" s="499"/>
      <c r="R634" s="500"/>
      <c r="S634" s="500"/>
      <c r="T634" s="500"/>
      <c r="U634" s="500"/>
      <c r="V634" s="500"/>
      <c r="W634" s="500"/>
      <c r="X634" s="500"/>
      <c r="Y634" s="500"/>
      <c r="Z634" s="500"/>
      <c r="AA634" s="500"/>
      <c r="AB634" s="500"/>
      <c r="AC634" s="500"/>
      <c r="AD634" s="500"/>
      <c r="AE634" s="497"/>
    </row>
    <row r="635">
      <c r="A635" s="495" t="s">
        <v>1444</v>
      </c>
      <c r="B635" s="467" t="s">
        <v>6488</v>
      </c>
      <c r="C635" s="467" t="s">
        <v>5682</v>
      </c>
      <c r="D635" s="467" t="s">
        <v>5668</v>
      </c>
      <c r="E635" s="467" t="s">
        <v>6241</v>
      </c>
      <c r="F635" s="271" t="s">
        <v>6472</v>
      </c>
      <c r="G635" s="451"/>
      <c r="H635" s="451"/>
      <c r="I635" s="451"/>
      <c r="J635" s="451"/>
      <c r="K635" s="451"/>
      <c r="L635" s="451"/>
      <c r="M635" s="451"/>
      <c r="N635" s="451"/>
      <c r="O635" s="451"/>
      <c r="P635" s="451"/>
      <c r="Q635" s="451"/>
      <c r="R635" s="451"/>
      <c r="S635" s="451"/>
      <c r="T635" s="451"/>
      <c r="U635" s="451"/>
      <c r="V635" s="451"/>
      <c r="W635" s="451"/>
      <c r="X635" s="451"/>
      <c r="Y635" s="451"/>
      <c r="Z635" s="451"/>
      <c r="AA635" s="451"/>
      <c r="AB635" s="451"/>
      <c r="AC635" s="451"/>
      <c r="AD635" s="451"/>
    </row>
    <row r="636">
      <c r="A636" s="495" t="s">
        <v>6599</v>
      </c>
      <c r="B636" s="518" t="str">
        <f>HYPERLINK("https://www.tribunnews.com/section/2019/02/27/mahfud-md-sebut-3-emak-yang-kampanye-hitam-jokowi-tak-lakukan-pelanggaran-kampanye","Tribun")</f>
        <v>Tribun</v>
      </c>
      <c r="C636" s="467" t="s">
        <v>5657</v>
      </c>
      <c r="D636" s="467" t="s">
        <v>5668</v>
      </c>
      <c r="E636" s="467" t="s">
        <v>6241</v>
      </c>
      <c r="F636" s="497" t="s">
        <v>1446</v>
      </c>
      <c r="G636" s="498">
        <v>2.0</v>
      </c>
      <c r="H636" s="497" t="s">
        <v>6243</v>
      </c>
      <c r="I636" s="497" t="s">
        <v>2715</v>
      </c>
      <c r="J636" s="497" t="s">
        <v>6600</v>
      </c>
      <c r="K636" s="497" t="s">
        <v>5711</v>
      </c>
      <c r="L636" s="498">
        <v>2.0</v>
      </c>
      <c r="M636" s="497" t="s">
        <v>6080</v>
      </c>
      <c r="N636" s="497" t="s">
        <v>6601</v>
      </c>
      <c r="O636" s="498">
        <v>78.0</v>
      </c>
      <c r="P636" s="497" t="s">
        <v>6602</v>
      </c>
      <c r="Q636" s="499"/>
      <c r="R636" s="500"/>
      <c r="S636" s="500"/>
      <c r="T636" s="500"/>
      <c r="U636" s="500"/>
      <c r="V636" s="500"/>
      <c r="W636" s="500"/>
      <c r="X636" s="500"/>
      <c r="Y636" s="500"/>
      <c r="Z636" s="500"/>
      <c r="AA636" s="500"/>
      <c r="AB636" s="500"/>
      <c r="AC636" s="500"/>
      <c r="AD636" s="500"/>
      <c r="AE636" s="497"/>
    </row>
    <row r="637">
      <c r="A637" s="495" t="s">
        <v>1457</v>
      </c>
      <c r="B637" s="518" t="str">
        <f>HYPERLINK("https://www.suara.com/news/2019/03/11/063500/tkn-yakin-kampanye-kondom-jokowi-maruf-tak-pengaruhi-elektabilitas","Suara")</f>
        <v>Suara</v>
      </c>
      <c r="C637" s="467" t="s">
        <v>5682</v>
      </c>
      <c r="D637" s="467" t="s">
        <v>5675</v>
      </c>
      <c r="E637" s="467" t="s">
        <v>6241</v>
      </c>
      <c r="F637" s="271" t="s">
        <v>6472</v>
      </c>
      <c r="G637" s="451"/>
      <c r="H637" s="451"/>
      <c r="I637" s="451"/>
      <c r="J637" s="451"/>
      <c r="K637" s="451"/>
      <c r="L637" s="451"/>
      <c r="M637" s="451"/>
      <c r="N637" s="451"/>
      <c r="O637" s="451"/>
      <c r="P637" s="451"/>
      <c r="Q637" s="451"/>
      <c r="R637" s="451"/>
      <c r="S637" s="451"/>
      <c r="T637" s="451"/>
      <c r="U637" s="451"/>
      <c r="V637" s="451"/>
      <c r="W637" s="451"/>
      <c r="X637" s="451"/>
      <c r="Y637" s="451"/>
      <c r="Z637" s="451"/>
      <c r="AA637" s="451"/>
      <c r="AB637" s="451"/>
      <c r="AC637" s="451"/>
      <c r="AD637" s="451"/>
    </row>
    <row r="638">
      <c r="A638" s="495" t="s">
        <v>1458</v>
      </c>
      <c r="B638" s="518" t="str">
        <f>HYPERLINK("https://nasional.republika.co.id/berita/nasional/umum/pog5rd423/prihatin-kondisi-bangsa-gerakan-nusantara-bertauhid-hadir","Republika")</f>
        <v>Republika</v>
      </c>
      <c r="C638" s="467" t="s">
        <v>5670</v>
      </c>
      <c r="D638" s="467" t="s">
        <v>5675</v>
      </c>
      <c r="E638" s="467" t="s">
        <v>6241</v>
      </c>
      <c r="F638" s="271" t="s">
        <v>6472</v>
      </c>
      <c r="G638" s="451"/>
      <c r="H638" s="451"/>
      <c r="I638" s="451"/>
      <c r="J638" s="451"/>
      <c r="K638" s="451"/>
      <c r="L638" s="451"/>
      <c r="M638" s="451"/>
      <c r="N638" s="451"/>
      <c r="O638" s="451"/>
      <c r="P638" s="451"/>
      <c r="Q638" s="451"/>
      <c r="R638" s="451"/>
      <c r="S638" s="451"/>
      <c r="T638" s="451"/>
      <c r="U638" s="451"/>
      <c r="V638" s="451"/>
      <c r="W638" s="451"/>
      <c r="X638" s="451"/>
      <c r="Y638" s="451"/>
      <c r="Z638" s="451"/>
      <c r="AA638" s="451"/>
      <c r="AB638" s="451"/>
      <c r="AC638" s="451"/>
      <c r="AD638" s="451"/>
    </row>
    <row r="639">
      <c r="A639" s="495" t="s">
        <v>6603</v>
      </c>
      <c r="B639" s="518" t="str">
        <f>HYPERLINK("https://news.detik.com/berita-jawa-tengah/d-4496818/kampanye-jokowi-di-tegal-disambut-guyuran-hujan","Detik")</f>
        <v>Detik</v>
      </c>
      <c r="C639" s="467" t="s">
        <v>5664</v>
      </c>
      <c r="D639" s="467" t="s">
        <v>5683</v>
      </c>
      <c r="E639" s="467" t="s">
        <v>6241</v>
      </c>
      <c r="F639" s="497" t="s">
        <v>1476</v>
      </c>
      <c r="G639" s="498">
        <v>2.0</v>
      </c>
      <c r="H639" s="497" t="s">
        <v>6243</v>
      </c>
      <c r="I639" s="497" t="s">
        <v>2740</v>
      </c>
      <c r="J639" s="497" t="s">
        <v>6423</v>
      </c>
      <c r="K639" s="497" t="s">
        <v>5754</v>
      </c>
      <c r="L639" s="498">
        <v>4.0</v>
      </c>
      <c r="M639" s="497" t="s">
        <v>5712</v>
      </c>
      <c r="N639" s="497" t="s">
        <v>6604</v>
      </c>
      <c r="O639" s="498">
        <v>396.0</v>
      </c>
      <c r="P639" s="497" t="s">
        <v>6605</v>
      </c>
      <c r="Q639" s="500"/>
      <c r="R639" s="500"/>
      <c r="S639" s="500"/>
      <c r="T639" s="500"/>
      <c r="U639" s="500"/>
      <c r="V639" s="500"/>
      <c r="W639" s="500"/>
      <c r="X639" s="500"/>
      <c r="Y639" s="500"/>
      <c r="Z639" s="500"/>
      <c r="AA639" s="500"/>
      <c r="AB639" s="500"/>
      <c r="AC639" s="500"/>
      <c r="AD639" s="500"/>
      <c r="AE639" s="497"/>
    </row>
    <row r="640">
      <c r="A640" s="495" t="s">
        <v>2372</v>
      </c>
      <c r="B640" s="467" t="s">
        <v>6561</v>
      </c>
      <c r="C640" s="467" t="s">
        <v>5664</v>
      </c>
      <c r="D640" s="467" t="s">
        <v>5683</v>
      </c>
      <c r="E640" s="467" t="s">
        <v>6241</v>
      </c>
      <c r="F640" s="497" t="s">
        <v>1478</v>
      </c>
      <c r="G640" s="498">
        <v>2.0</v>
      </c>
      <c r="H640" s="497" t="s">
        <v>6243</v>
      </c>
      <c r="I640" s="497" t="s">
        <v>2724</v>
      </c>
      <c r="J640" s="497" t="s">
        <v>6423</v>
      </c>
      <c r="K640" s="497" t="s">
        <v>5754</v>
      </c>
      <c r="L640" s="498">
        <v>4.0</v>
      </c>
      <c r="M640" s="497" t="s">
        <v>5879</v>
      </c>
      <c r="N640" s="497" t="s">
        <v>6606</v>
      </c>
      <c r="O640" s="498">
        <v>316.0</v>
      </c>
      <c r="P640" s="497" t="s">
        <v>6607</v>
      </c>
      <c r="Q640" s="499"/>
      <c r="R640" s="500"/>
      <c r="S640" s="500"/>
      <c r="T640" s="500"/>
      <c r="U640" s="500"/>
      <c r="V640" s="500"/>
      <c r="W640" s="500"/>
      <c r="X640" s="500"/>
      <c r="Y640" s="500"/>
      <c r="Z640" s="500"/>
      <c r="AA640" s="500"/>
      <c r="AB640" s="500"/>
      <c r="AC640" s="500"/>
      <c r="AD640" s="500"/>
      <c r="AE640" s="497"/>
    </row>
    <row r="641">
      <c r="A641" s="495" t="s">
        <v>6608</v>
      </c>
      <c r="B641" s="518" t="str">
        <f>HYPERLINK("https://news.detik.com/internasional/d-4507962/julian-assange-ditangkap-hillary-clinton-dia-harus-bertanggung-jawab","Detik")</f>
        <v>Detik</v>
      </c>
      <c r="C641" s="467" t="s">
        <v>5667</v>
      </c>
      <c r="D641" s="467" t="s">
        <v>5683</v>
      </c>
      <c r="E641" s="467" t="s">
        <v>6241</v>
      </c>
      <c r="F641" s="497" t="s">
        <v>1490</v>
      </c>
      <c r="G641" s="498">
        <v>2.0</v>
      </c>
      <c r="H641" s="497" t="s">
        <v>6243</v>
      </c>
      <c r="I641" s="497" t="s">
        <v>2740</v>
      </c>
      <c r="J641" s="497" t="s">
        <v>6352</v>
      </c>
      <c r="K641" s="497" t="s">
        <v>5734</v>
      </c>
      <c r="L641" s="498">
        <v>4.0</v>
      </c>
      <c r="M641" s="497" t="s">
        <v>6609</v>
      </c>
      <c r="N641" s="497" t="s">
        <v>6610</v>
      </c>
      <c r="O641" s="498">
        <v>399.0</v>
      </c>
      <c r="P641" s="497" t="s">
        <v>6611</v>
      </c>
      <c r="Q641" s="500"/>
      <c r="R641" s="500"/>
      <c r="S641" s="500"/>
      <c r="T641" s="500"/>
      <c r="U641" s="500"/>
      <c r="V641" s="500"/>
      <c r="W641" s="500"/>
      <c r="X641" s="500"/>
      <c r="Y641" s="500"/>
      <c r="Z641" s="500"/>
      <c r="AA641" s="500"/>
      <c r="AB641" s="500"/>
      <c r="AC641" s="500"/>
      <c r="AD641" s="500"/>
      <c r="AE641" s="497"/>
    </row>
    <row r="642">
      <c r="A642" s="495" t="s">
        <v>6612</v>
      </c>
      <c r="B642" s="518" t="str">
        <f>HYPERLINK("https://tirto.id/mengapa-banyak-orang-suka-pemimpin-yang-keras-dan-otoriter-dlUU","Tirto")</f>
        <v>Tirto</v>
      </c>
      <c r="C642" s="467" t="s">
        <v>5671</v>
      </c>
      <c r="D642" s="467" t="s">
        <v>5683</v>
      </c>
      <c r="E642" s="467" t="s">
        <v>6241</v>
      </c>
      <c r="F642" s="497" t="s">
        <v>1494</v>
      </c>
      <c r="G642" s="498">
        <v>2.0</v>
      </c>
      <c r="H642" s="497" t="s">
        <v>6243</v>
      </c>
      <c r="I642" s="497" t="s">
        <v>2704</v>
      </c>
      <c r="J642" s="497" t="s">
        <v>1495</v>
      </c>
      <c r="K642" s="497" t="s">
        <v>5729</v>
      </c>
      <c r="L642" s="498">
        <v>4.0</v>
      </c>
      <c r="M642" s="497" t="s">
        <v>6357</v>
      </c>
      <c r="N642" s="497" t="s">
        <v>6613</v>
      </c>
      <c r="O642" s="498">
        <v>1084.0</v>
      </c>
      <c r="P642" s="497" t="s">
        <v>6614</v>
      </c>
      <c r="Q642" s="499"/>
      <c r="R642" s="500"/>
      <c r="S642" s="500"/>
      <c r="T642" s="500"/>
      <c r="U642" s="500"/>
      <c r="V642" s="500"/>
      <c r="W642" s="500"/>
      <c r="X642" s="500"/>
      <c r="Y642" s="500"/>
      <c r="Z642" s="500"/>
      <c r="AA642" s="500"/>
      <c r="AB642" s="500"/>
      <c r="AC642" s="500"/>
      <c r="AD642" s="500"/>
      <c r="AE642" s="497"/>
    </row>
    <row r="643">
      <c r="A643" s="495" t="s">
        <v>6615</v>
      </c>
      <c r="B643" s="518" t="str">
        <f>HYPERLINK("https://internasional.republika.co.id/berita/internasional/amerika/ppzcyz366/anak-tuntut-orang-tua-karena-buang-koleksi-video-porno","Republika")</f>
        <v>Republika</v>
      </c>
      <c r="C643" s="467" t="s">
        <v>5682</v>
      </c>
      <c r="D643" s="467" t="s">
        <v>5683</v>
      </c>
      <c r="E643" s="467" t="s">
        <v>6241</v>
      </c>
      <c r="F643" s="321" t="s">
        <v>5951</v>
      </c>
      <c r="G643" s="506"/>
      <c r="H643" s="507"/>
      <c r="I643" s="507"/>
      <c r="J643" s="507"/>
      <c r="K643" s="507"/>
      <c r="L643" s="506"/>
      <c r="M643" s="507"/>
      <c r="N643" s="507"/>
      <c r="O643" s="506"/>
      <c r="P643" s="507"/>
      <c r="Q643" s="508"/>
      <c r="R643" s="509"/>
      <c r="S643" s="509"/>
      <c r="T643" s="509"/>
      <c r="U643" s="509"/>
      <c r="V643" s="509"/>
      <c r="W643" s="509"/>
      <c r="X643" s="509"/>
      <c r="Y643" s="509"/>
      <c r="Z643" s="509"/>
      <c r="AA643" s="509"/>
      <c r="AB643" s="509"/>
      <c r="AC643" s="509"/>
      <c r="AD643" s="509"/>
      <c r="AE643" s="507"/>
    </row>
    <row r="644">
      <c r="A644" s="495" t="s">
        <v>3432</v>
      </c>
      <c r="B644" s="518" t="str">
        <f>HYPERLINK("https://style.tribunnews.com/2019/04/18/siap-tampung-caleg-stres-pemilu-2019-lihat-mewahnya-ruang-vvip-rs-ini-setara-hotel-bintang-5?page=3","Tribun")</f>
        <v>Tribun</v>
      </c>
      <c r="C644" s="467" t="s">
        <v>5664</v>
      </c>
      <c r="D644" s="467" t="s">
        <v>5683</v>
      </c>
      <c r="E644" s="467" t="s">
        <v>6241</v>
      </c>
      <c r="F644" s="497" t="s">
        <v>1501</v>
      </c>
      <c r="G644" s="498">
        <v>2.0</v>
      </c>
      <c r="H644" s="497" t="s">
        <v>6243</v>
      </c>
      <c r="I644" s="497" t="s">
        <v>2715</v>
      </c>
      <c r="J644" s="497" t="s">
        <v>6423</v>
      </c>
      <c r="K644" s="497" t="s">
        <v>5754</v>
      </c>
      <c r="L644" s="498">
        <v>4.0</v>
      </c>
      <c r="M644" s="497" t="s">
        <v>5794</v>
      </c>
      <c r="N644" s="497" t="s">
        <v>6616</v>
      </c>
      <c r="O644" s="498">
        <v>186.0</v>
      </c>
      <c r="P644" s="497" t="s">
        <v>6617</v>
      </c>
      <c r="Q644" s="499"/>
      <c r="R644" s="500"/>
      <c r="S644" s="500"/>
      <c r="T644" s="500"/>
      <c r="U644" s="500"/>
      <c r="V644" s="500"/>
      <c r="W644" s="500"/>
      <c r="X644" s="500"/>
      <c r="Y644" s="500"/>
      <c r="Z644" s="500"/>
      <c r="AA644" s="500"/>
      <c r="AB644" s="500"/>
      <c r="AC644" s="500"/>
      <c r="AD644" s="500"/>
      <c r="AE644" s="497"/>
    </row>
    <row r="645">
      <c r="A645" s="495" t="s">
        <v>6618</v>
      </c>
      <c r="B645" s="518" t="str">
        <f>HYPERLINK("https://www.suara.com/bisnis/2019/05/03/132917/jelang-ramadan-60-ribu-ton-bawang-putih-china-masuk-indonesia","Suara")</f>
        <v>Suara</v>
      </c>
      <c r="C645" s="467" t="s">
        <v>5667</v>
      </c>
      <c r="D645" s="467" t="s">
        <v>5692</v>
      </c>
      <c r="E645" s="467" t="s">
        <v>6241</v>
      </c>
      <c r="F645" s="497" t="s">
        <v>1516</v>
      </c>
      <c r="G645" s="498">
        <v>2.0</v>
      </c>
      <c r="H645" s="497" t="s">
        <v>6243</v>
      </c>
      <c r="I645" s="497" t="s">
        <v>2698</v>
      </c>
      <c r="J645" s="497" t="s">
        <v>6396</v>
      </c>
      <c r="K645" s="497" t="s">
        <v>5734</v>
      </c>
      <c r="L645" s="498">
        <v>5.0</v>
      </c>
      <c r="M645" s="497" t="s">
        <v>5854</v>
      </c>
      <c r="N645" s="497" t="s">
        <v>6619</v>
      </c>
      <c r="O645" s="498">
        <v>450.0</v>
      </c>
      <c r="P645" s="497" t="s">
        <v>6620</v>
      </c>
      <c r="Q645" s="500"/>
      <c r="R645" s="500"/>
      <c r="S645" s="500"/>
      <c r="T645" s="500"/>
      <c r="U645" s="500"/>
      <c r="V645" s="500"/>
      <c r="W645" s="500"/>
      <c r="X645" s="500"/>
      <c r="Y645" s="500"/>
      <c r="Z645" s="500"/>
      <c r="AA645" s="500"/>
      <c r="AB645" s="500"/>
      <c r="AC645" s="500"/>
      <c r="AD645" s="500"/>
      <c r="AE645" s="497"/>
    </row>
    <row r="646">
      <c r="A646" s="495" t="s">
        <v>6618</v>
      </c>
      <c r="B646" s="518" t="str">
        <f>HYPERLINK("https://economy.okezone.com/read/2020/01/20/320/2155371/evaluasi-kebijakan-impor-dpr-panggil-asosiasi-bawang-putih","Okezone")</f>
        <v>Okezone</v>
      </c>
      <c r="C646" s="467" t="s">
        <v>5682</v>
      </c>
      <c r="D646" s="467" t="s">
        <v>5658</v>
      </c>
      <c r="E646" s="467" t="s">
        <v>6241</v>
      </c>
      <c r="F646" s="271" t="s">
        <v>6472</v>
      </c>
      <c r="G646" s="451"/>
      <c r="H646" s="451"/>
      <c r="I646" s="451"/>
      <c r="J646" s="451"/>
      <c r="K646" s="451"/>
      <c r="L646" s="451"/>
      <c r="M646" s="451"/>
      <c r="N646" s="451"/>
      <c r="O646" s="451"/>
      <c r="P646" s="451"/>
      <c r="Q646" s="451"/>
      <c r="R646" s="451"/>
      <c r="S646" s="451"/>
      <c r="T646" s="451"/>
      <c r="U646" s="451"/>
      <c r="V646" s="451"/>
      <c r="W646" s="451"/>
      <c r="X646" s="451"/>
      <c r="Y646" s="451"/>
      <c r="Z646" s="451"/>
      <c r="AA646" s="451"/>
      <c r="AB646" s="451"/>
      <c r="AC646" s="451"/>
      <c r="AD646" s="451"/>
    </row>
    <row r="647">
      <c r="A647" s="495" t="s">
        <v>1518</v>
      </c>
      <c r="B647" s="518" t="str">
        <f>HYPERLINK("https://economy.okezone.com/read/2019/05/07/320/2052511/kppu-soroti-aturan-main-impor-bawang-putih","Okezone")</f>
        <v>Okezone</v>
      </c>
      <c r="C647" s="467" t="s">
        <v>5681</v>
      </c>
      <c r="D647" s="467" t="s">
        <v>5692</v>
      </c>
      <c r="E647" s="467" t="s">
        <v>6241</v>
      </c>
      <c r="F647" s="271" t="s">
        <v>6472</v>
      </c>
      <c r="G647" s="451"/>
      <c r="H647" s="451"/>
      <c r="I647" s="451"/>
      <c r="J647" s="451"/>
      <c r="K647" s="451"/>
      <c r="L647" s="451"/>
      <c r="M647" s="451"/>
      <c r="N647" s="451"/>
      <c r="O647" s="451"/>
      <c r="P647" s="451"/>
      <c r="Q647" s="451"/>
      <c r="R647" s="451"/>
      <c r="S647" s="451"/>
      <c r="T647" s="451"/>
      <c r="U647" s="451"/>
      <c r="V647" s="451"/>
      <c r="W647" s="451"/>
      <c r="X647" s="451"/>
      <c r="Y647" s="451"/>
      <c r="Z647" s="451"/>
      <c r="AA647" s="451"/>
      <c r="AB647" s="451"/>
      <c r="AC647" s="451"/>
      <c r="AD647" s="451"/>
    </row>
    <row r="648">
      <c r="A648" s="495" t="s">
        <v>6621</v>
      </c>
      <c r="B648" s="518" t="str">
        <f>HYPERLINK("https://style.tribunnews.com/2019/06/27/kisah-heroik-nenek-gagalkan-copet-terseret-20-meter-sampai-berdarah-tapi-justru-pelaku-yang-tewas?page=4","Tribun")</f>
        <v>Tribun</v>
      </c>
      <c r="C648" s="467" t="s">
        <v>5664</v>
      </c>
      <c r="D648" s="467" t="s">
        <v>5705</v>
      </c>
      <c r="E648" s="467" t="s">
        <v>6241</v>
      </c>
      <c r="F648" s="497" t="s">
        <v>1561</v>
      </c>
      <c r="G648" s="498">
        <v>2.0</v>
      </c>
      <c r="H648" s="497" t="s">
        <v>6243</v>
      </c>
      <c r="I648" s="497" t="s">
        <v>2715</v>
      </c>
      <c r="J648" s="497" t="s">
        <v>6622</v>
      </c>
      <c r="K648" s="497" t="s">
        <v>5754</v>
      </c>
      <c r="L648" s="498">
        <v>6.0</v>
      </c>
      <c r="M648" s="497" t="s">
        <v>6415</v>
      </c>
      <c r="N648" s="497" t="s">
        <v>6623</v>
      </c>
      <c r="O648" s="498">
        <v>162.0</v>
      </c>
      <c r="P648" s="497" t="s">
        <v>6624</v>
      </c>
      <c r="Q648" s="499"/>
      <c r="R648" s="500"/>
      <c r="S648" s="500"/>
      <c r="T648" s="500"/>
      <c r="U648" s="500"/>
      <c r="V648" s="500"/>
      <c r="W648" s="500"/>
      <c r="X648" s="500"/>
      <c r="Y648" s="500"/>
      <c r="Z648" s="500"/>
      <c r="AA648" s="500"/>
      <c r="AB648" s="500"/>
      <c r="AC648" s="500"/>
      <c r="AD648" s="500"/>
      <c r="AE648" s="497"/>
    </row>
    <row r="649">
      <c r="A649" s="495" t="s">
        <v>6625</v>
      </c>
      <c r="B649" s="518" t="str">
        <f>HYPERLINK("https://tekno.tempo.co/read/1220820/fosil-manusia-tertua-ini-beda-homo-erectus-bumiayu-dan-sangiran","Tempo.co")</f>
        <v>Tempo.co</v>
      </c>
      <c r="C649" s="467" t="s">
        <v>5664</v>
      </c>
      <c r="D649" s="467" t="s">
        <v>5716</v>
      </c>
      <c r="E649" s="467" t="s">
        <v>6241</v>
      </c>
      <c r="F649" s="497" t="s">
        <v>1570</v>
      </c>
      <c r="G649" s="498">
        <v>2.0</v>
      </c>
      <c r="H649" s="497" t="s">
        <v>6243</v>
      </c>
      <c r="I649" s="497" t="s">
        <v>2702</v>
      </c>
      <c r="J649" s="497" t="s">
        <v>6321</v>
      </c>
      <c r="K649" s="497" t="s">
        <v>5754</v>
      </c>
      <c r="L649" s="498">
        <v>7.0</v>
      </c>
      <c r="M649" s="497" t="s">
        <v>5730</v>
      </c>
      <c r="N649" s="497" t="s">
        <v>6626</v>
      </c>
      <c r="O649" s="498">
        <v>30.0</v>
      </c>
      <c r="P649" s="497" t="s">
        <v>6627</v>
      </c>
      <c r="Q649" s="499"/>
      <c r="R649" s="500"/>
      <c r="S649" s="500"/>
      <c r="T649" s="500"/>
      <c r="U649" s="500"/>
      <c r="V649" s="500"/>
      <c r="W649" s="500"/>
      <c r="X649" s="500"/>
      <c r="Y649" s="500"/>
      <c r="Z649" s="500"/>
      <c r="AA649" s="500"/>
      <c r="AB649" s="500"/>
      <c r="AC649" s="500"/>
      <c r="AD649" s="500"/>
      <c r="AE649" s="497"/>
    </row>
    <row r="650">
      <c r="A650" s="495" t="s">
        <v>6628</v>
      </c>
      <c r="B650" s="518" t="str">
        <f>HYPERLINK("https://regional.kompas.com/read/2019/07/09/17481181/jenis-manusia-purba-yang-ditemukan-di-bumiayu-sama-dengan-di-sangiran","Kompas")</f>
        <v>Kompas</v>
      </c>
      <c r="C650" s="467" t="s">
        <v>5681</v>
      </c>
      <c r="D650" s="467" t="s">
        <v>5716</v>
      </c>
      <c r="E650" s="467" t="s">
        <v>6241</v>
      </c>
      <c r="F650" s="497" t="s">
        <v>1572</v>
      </c>
      <c r="G650" s="498">
        <v>2.0</v>
      </c>
      <c r="H650" s="497" t="s">
        <v>6243</v>
      </c>
      <c r="I650" s="497" t="s">
        <v>2724</v>
      </c>
      <c r="J650" s="497" t="s">
        <v>5969</v>
      </c>
      <c r="K650" s="497" t="s">
        <v>5750</v>
      </c>
      <c r="L650" s="498">
        <v>7.0</v>
      </c>
      <c r="M650" s="497" t="s">
        <v>6629</v>
      </c>
      <c r="N650" s="497" t="s">
        <v>6630</v>
      </c>
      <c r="O650" s="498">
        <v>273.0</v>
      </c>
      <c r="P650" s="497" t="s">
        <v>6631</v>
      </c>
      <c r="Q650" s="499"/>
      <c r="R650" s="500"/>
      <c r="S650" s="500"/>
      <c r="T650" s="500"/>
      <c r="U650" s="500"/>
      <c r="V650" s="500"/>
      <c r="W650" s="500"/>
      <c r="X650" s="500"/>
      <c r="Y650" s="500"/>
      <c r="Z650" s="500"/>
      <c r="AA650" s="500"/>
      <c r="AB650" s="500"/>
      <c r="AC650" s="500"/>
      <c r="AD650" s="500"/>
      <c r="AE650" s="497"/>
    </row>
    <row r="651">
      <c r="A651" s="495" t="s">
        <v>6632</v>
      </c>
      <c r="B651" s="467" t="s">
        <v>6488</v>
      </c>
      <c r="C651" s="467" t="s">
        <v>5664</v>
      </c>
      <c r="D651" s="467" t="s">
        <v>5716</v>
      </c>
      <c r="E651" s="467" t="s">
        <v>6241</v>
      </c>
      <c r="F651" s="497" t="s">
        <v>1576</v>
      </c>
      <c r="G651" s="498">
        <v>2.0</v>
      </c>
      <c r="H651" s="497" t="s">
        <v>6243</v>
      </c>
      <c r="I651" s="497" t="s">
        <v>2704</v>
      </c>
      <c r="J651" s="497" t="s">
        <v>6633</v>
      </c>
      <c r="K651" s="497" t="s">
        <v>5754</v>
      </c>
      <c r="L651" s="498">
        <v>7.0</v>
      </c>
      <c r="M651" s="497" t="s">
        <v>5993</v>
      </c>
      <c r="N651" s="497" t="s">
        <v>6634</v>
      </c>
      <c r="O651" s="498">
        <v>316.0</v>
      </c>
      <c r="P651" s="497" t="s">
        <v>6635</v>
      </c>
      <c r="Q651" s="499"/>
      <c r="R651" s="500"/>
      <c r="S651" s="500"/>
      <c r="T651" s="500"/>
      <c r="U651" s="500"/>
      <c r="V651" s="500"/>
      <c r="W651" s="500"/>
      <c r="X651" s="500"/>
      <c r="Y651" s="500"/>
      <c r="Z651" s="500"/>
      <c r="AA651" s="500"/>
      <c r="AB651" s="500"/>
      <c r="AC651" s="500"/>
      <c r="AD651" s="500"/>
      <c r="AE651" s="497"/>
    </row>
    <row r="652">
      <c r="A652" s="495" t="s">
        <v>1578</v>
      </c>
      <c r="B652" s="518" t="str">
        <f>HYPERLINK("https://hot.detik.com/movie/d-4622775/avengers-endgame-rilis-lagi-siapa-aktor-yang-untung","Detik")</f>
        <v>Detik</v>
      </c>
      <c r="C652" s="467" t="s">
        <v>5670</v>
      </c>
      <c r="D652" s="467" t="s">
        <v>5716</v>
      </c>
      <c r="E652" s="467" t="s">
        <v>6241</v>
      </c>
      <c r="F652" s="271" t="s">
        <v>6472</v>
      </c>
      <c r="G652" s="451"/>
      <c r="H652" s="451"/>
      <c r="I652" s="451"/>
      <c r="J652" s="451"/>
      <c r="K652" s="451"/>
      <c r="L652" s="451"/>
      <c r="M652" s="451"/>
      <c r="N652" s="451"/>
      <c r="O652" s="451"/>
      <c r="P652" s="451"/>
      <c r="Q652" s="451"/>
      <c r="R652" s="451"/>
      <c r="S652" s="451"/>
      <c r="T652" s="451"/>
      <c r="U652" s="451"/>
      <c r="V652" s="451"/>
      <c r="W652" s="451"/>
      <c r="X652" s="451"/>
      <c r="Y652" s="451"/>
      <c r="Z652" s="451"/>
      <c r="AA652" s="451"/>
      <c r="AB652" s="451"/>
      <c r="AC652" s="451"/>
      <c r="AD652" s="451"/>
      <c r="AE652" s="451"/>
    </row>
    <row r="653">
      <c r="A653" s="495" t="s">
        <v>1579</v>
      </c>
      <c r="B653" s="518" t="str">
        <f>HYPERLINK("https://senggang.republika.co.id/berita/puwn73335/indro-warkop-sayangkan-nunung-gunakan-narkoba","Republika")</f>
        <v>Republika</v>
      </c>
      <c r="C653" s="467" t="s">
        <v>5670</v>
      </c>
      <c r="D653" s="467" t="s">
        <v>5716</v>
      </c>
      <c r="E653" s="467" t="s">
        <v>6241</v>
      </c>
      <c r="F653" s="271" t="s">
        <v>6472</v>
      </c>
      <c r="G653" s="451"/>
      <c r="H653" s="451"/>
      <c r="I653" s="451"/>
      <c r="J653" s="451"/>
      <c r="K653" s="451"/>
      <c r="L653" s="451"/>
      <c r="M653" s="451"/>
      <c r="N653" s="451"/>
      <c r="O653" s="451"/>
      <c r="P653" s="451"/>
      <c r="Q653" s="451"/>
      <c r="R653" s="451"/>
      <c r="S653" s="451"/>
      <c r="T653" s="451"/>
      <c r="U653" s="451"/>
      <c r="V653" s="451"/>
      <c r="W653" s="451"/>
      <c r="X653" s="451"/>
      <c r="Y653" s="451"/>
      <c r="Z653" s="451"/>
      <c r="AA653" s="451"/>
      <c r="AB653" s="451"/>
      <c r="AC653" s="451"/>
      <c r="AD653" s="451"/>
      <c r="AE653" s="451"/>
    </row>
    <row r="654">
      <c r="A654" s="501" t="s">
        <v>6636</v>
      </c>
      <c r="B654" s="518" t="str">
        <f>HYPERLINK("https://dunia.tempo.co/read/1231679/ajaran-setanisme-diakui-oleh-pemerintah-swedia/full&amp;view=ok","Tempo.co")</f>
        <v>Tempo.co</v>
      </c>
      <c r="C654" s="467" t="s">
        <v>5670</v>
      </c>
      <c r="D654" s="467" t="s">
        <v>5719</v>
      </c>
      <c r="E654" s="467" t="s">
        <v>6241</v>
      </c>
      <c r="F654" s="497" t="s">
        <v>1590</v>
      </c>
      <c r="G654" s="498">
        <v>2.0</v>
      </c>
      <c r="H654" s="497" t="s">
        <v>6243</v>
      </c>
      <c r="I654" s="497" t="s">
        <v>2702</v>
      </c>
      <c r="J654" s="497" t="s">
        <v>6637</v>
      </c>
      <c r="K654" s="497" t="s">
        <v>5786</v>
      </c>
      <c r="L654" s="498">
        <v>8.0</v>
      </c>
      <c r="M654" s="497" t="s">
        <v>5803</v>
      </c>
      <c r="N654" s="497" t="s">
        <v>6638</v>
      </c>
      <c r="O654" s="498">
        <v>350.0</v>
      </c>
      <c r="P654" s="497" t="s">
        <v>6639</v>
      </c>
      <c r="Q654" s="499"/>
      <c r="R654" s="500"/>
      <c r="S654" s="500"/>
      <c r="T654" s="500"/>
      <c r="U654" s="500"/>
      <c r="V654" s="500"/>
      <c r="W654" s="500"/>
      <c r="X654" s="500"/>
      <c r="Y654" s="500"/>
      <c r="Z654" s="500"/>
      <c r="AA654" s="500"/>
      <c r="AB654" s="500"/>
      <c r="AC654" s="500"/>
      <c r="AD654" s="500"/>
      <c r="AE654" s="497"/>
    </row>
    <row r="655">
      <c r="A655" s="495" t="s">
        <v>1598</v>
      </c>
      <c r="B655" s="467" t="s">
        <v>6640</v>
      </c>
      <c r="C655" s="467" t="s">
        <v>5682</v>
      </c>
      <c r="D655" s="467" t="s">
        <v>5719</v>
      </c>
      <c r="E655" s="467" t="s">
        <v>6241</v>
      </c>
      <c r="F655" s="271" t="s">
        <v>5951</v>
      </c>
      <c r="G655" s="451"/>
      <c r="H655" s="451"/>
      <c r="I655" s="451"/>
      <c r="J655" s="451"/>
      <c r="K655" s="451"/>
      <c r="L655" s="451"/>
      <c r="M655" s="451"/>
      <c r="N655" s="451"/>
      <c r="O655" s="451"/>
      <c r="P655" s="451"/>
      <c r="Q655" s="451"/>
      <c r="R655" s="451"/>
      <c r="S655" s="451"/>
      <c r="T655" s="451"/>
      <c r="U655" s="451"/>
      <c r="V655" s="451"/>
      <c r="W655" s="451"/>
      <c r="X655" s="451"/>
      <c r="Y655" s="451"/>
      <c r="Z655" s="451"/>
      <c r="AA655" s="451"/>
      <c r="AB655" s="451"/>
      <c r="AC655" s="451"/>
      <c r="AD655" s="451"/>
      <c r="AE655" s="451"/>
    </row>
    <row r="656">
      <c r="A656" s="495" t="s">
        <v>69</v>
      </c>
      <c r="B656" s="518" t="str">
        <f>HYPERLINK("https://hot.detik.com/celeb/d-4722938/jelang-menikah-jennifer-lawrence-habiskan-waktu-dengan-sang-bunda","Detik")</f>
        <v>Detik</v>
      </c>
      <c r="C656" s="467" t="s">
        <v>5664</v>
      </c>
      <c r="D656" s="467" t="s">
        <v>5725</v>
      </c>
      <c r="E656" s="467" t="s">
        <v>6241</v>
      </c>
      <c r="F656" s="497" t="s">
        <v>6641</v>
      </c>
      <c r="G656" s="498">
        <v>2.0</v>
      </c>
      <c r="H656" s="497" t="s">
        <v>6243</v>
      </c>
      <c r="I656" s="497" t="s">
        <v>2740</v>
      </c>
      <c r="J656" s="497" t="s">
        <v>6642</v>
      </c>
      <c r="K656" s="497" t="s">
        <v>5754</v>
      </c>
      <c r="L656" s="498">
        <v>9.0</v>
      </c>
      <c r="M656" s="497" t="s">
        <v>5712</v>
      </c>
      <c r="N656" s="497" t="s">
        <v>6643</v>
      </c>
      <c r="O656" s="498">
        <v>475.0</v>
      </c>
      <c r="P656" s="497" t="s">
        <v>6644</v>
      </c>
      <c r="Q656" s="500"/>
      <c r="R656" s="500"/>
      <c r="S656" s="500"/>
      <c r="T656" s="500"/>
      <c r="U656" s="500"/>
      <c r="V656" s="500"/>
      <c r="W656" s="500"/>
      <c r="X656" s="500"/>
      <c r="Y656" s="500"/>
      <c r="Z656" s="500"/>
      <c r="AA656" s="500"/>
      <c r="AB656" s="500"/>
      <c r="AC656" s="500"/>
      <c r="AD656" s="500"/>
      <c r="AE656" s="497"/>
    </row>
    <row r="657">
      <c r="A657" s="495" t="s">
        <v>6645</v>
      </c>
      <c r="B657" s="518" t="str">
        <f>HYPERLINK("https://bola.kompas.com/read/2019/01/01/14051288/thuram-bandingkan-kasus-rasial-di-negara-kulit-putih-dan-kulit-hitam","Kompas")</f>
        <v>Kompas</v>
      </c>
      <c r="C657" s="467" t="s">
        <v>5681</v>
      </c>
      <c r="D657" s="467" t="s">
        <v>5658</v>
      </c>
      <c r="E657" s="467" t="s">
        <v>6646</v>
      </c>
      <c r="F657" s="497" t="s">
        <v>1608</v>
      </c>
      <c r="G657" s="498">
        <v>2.0</v>
      </c>
      <c r="H657" s="497" t="s">
        <v>6647</v>
      </c>
      <c r="I657" s="497" t="s">
        <v>2724</v>
      </c>
      <c r="J657" s="497" t="s">
        <v>6056</v>
      </c>
      <c r="K657" s="497" t="s">
        <v>5750</v>
      </c>
      <c r="L657" s="498">
        <v>1.0</v>
      </c>
      <c r="M657" s="497" t="s">
        <v>5828</v>
      </c>
      <c r="N657" s="497" t="s">
        <v>6648</v>
      </c>
      <c r="O657" s="498">
        <v>362.0</v>
      </c>
      <c r="P657" s="497" t="s">
        <v>6649</v>
      </c>
      <c r="Q657" s="499"/>
      <c r="R657" s="500"/>
      <c r="S657" s="500"/>
      <c r="T657" s="500"/>
      <c r="U657" s="500"/>
      <c r="V657" s="500"/>
      <c r="W657" s="500"/>
      <c r="X657" s="500"/>
      <c r="Y657" s="500"/>
      <c r="Z657" s="500"/>
      <c r="AA657" s="500"/>
      <c r="AB657" s="500"/>
      <c r="AC657" s="500"/>
      <c r="AD657" s="500"/>
      <c r="AE657" s="497"/>
    </row>
    <row r="658">
      <c r="A658" s="495" t="s">
        <v>1644</v>
      </c>
      <c r="B658" s="467" t="s">
        <v>6116</v>
      </c>
      <c r="C658" s="467" t="s">
        <v>5667</v>
      </c>
      <c r="D658" s="467" t="s">
        <v>5668</v>
      </c>
      <c r="E658" s="467" t="s">
        <v>6646</v>
      </c>
      <c r="F658" s="271" t="s">
        <v>5951</v>
      </c>
      <c r="G658" s="451"/>
      <c r="H658" s="451"/>
      <c r="I658" s="451"/>
      <c r="J658" s="451"/>
      <c r="K658" s="451"/>
      <c r="L658" s="451"/>
      <c r="M658" s="451"/>
      <c r="N658" s="451"/>
      <c r="O658" s="451"/>
      <c r="P658" s="451"/>
      <c r="Q658" s="451"/>
      <c r="R658" s="451"/>
      <c r="S658" s="451"/>
      <c r="T658" s="451"/>
      <c r="U658" s="451"/>
      <c r="V658" s="451"/>
      <c r="W658" s="451"/>
      <c r="X658" s="451"/>
      <c r="Y658" s="451"/>
      <c r="Z658" s="451"/>
      <c r="AA658" s="451"/>
      <c r="AB658" s="451"/>
      <c r="AC658" s="451"/>
      <c r="AD658" s="451"/>
      <c r="AE658" s="451"/>
    </row>
    <row r="659">
      <c r="A659" s="495" t="s">
        <v>1639</v>
      </c>
      <c r="B659" s="467" t="s">
        <v>6116</v>
      </c>
      <c r="C659" s="467" t="s">
        <v>5671</v>
      </c>
      <c r="D659" s="467" t="s">
        <v>5668</v>
      </c>
      <c r="E659" s="467" t="s">
        <v>6646</v>
      </c>
      <c r="F659" s="271" t="s">
        <v>5951</v>
      </c>
      <c r="G659" s="451"/>
      <c r="H659" s="451"/>
      <c r="I659" s="451"/>
      <c r="J659" s="451"/>
      <c r="K659" s="451"/>
      <c r="L659" s="451"/>
      <c r="M659" s="451"/>
      <c r="N659" s="451"/>
      <c r="O659" s="451"/>
      <c r="P659" s="451"/>
      <c r="Q659" s="451"/>
      <c r="R659" s="451"/>
      <c r="S659" s="451"/>
      <c r="T659" s="451"/>
      <c r="U659" s="451"/>
      <c r="V659" s="451"/>
      <c r="W659" s="451"/>
      <c r="X659" s="451"/>
      <c r="Y659" s="451"/>
      <c r="Z659" s="451"/>
      <c r="AA659" s="451"/>
      <c r="AB659" s="451"/>
      <c r="AC659" s="451"/>
      <c r="AD659" s="451"/>
      <c r="AE659" s="451"/>
    </row>
    <row r="660">
      <c r="A660" s="495" t="s">
        <v>1649</v>
      </c>
      <c r="B660" s="467" t="s">
        <v>6096</v>
      </c>
      <c r="C660" s="467" t="s">
        <v>5657</v>
      </c>
      <c r="D660" s="467" t="s">
        <v>5675</v>
      </c>
      <c r="E660" s="467" t="s">
        <v>6646</v>
      </c>
      <c r="F660" s="271" t="s">
        <v>5951</v>
      </c>
      <c r="G660" s="451"/>
      <c r="H660" s="451"/>
      <c r="I660" s="451"/>
      <c r="J660" s="451"/>
      <c r="K660" s="451"/>
      <c r="L660" s="451"/>
      <c r="M660" s="451"/>
      <c r="N660" s="451"/>
      <c r="O660" s="451"/>
      <c r="P660" s="451"/>
      <c r="Q660" s="451"/>
      <c r="R660" s="451"/>
      <c r="S660" s="451"/>
      <c r="T660" s="451"/>
      <c r="U660" s="451"/>
      <c r="V660" s="451"/>
      <c r="W660" s="451"/>
      <c r="X660" s="451"/>
      <c r="Y660" s="451"/>
      <c r="Z660" s="451"/>
      <c r="AA660" s="451"/>
      <c r="AB660" s="451"/>
      <c r="AC660" s="451"/>
      <c r="AD660" s="451"/>
      <c r="AE660" s="451"/>
    </row>
    <row r="661">
      <c r="A661" s="495" t="s">
        <v>1664</v>
      </c>
      <c r="B661" s="518" t="str">
        <f>HYPERLINK("https://www.liputan6.com/global/read/3933018/usai-terapkan-hukum-syariah-sultan-brunei-imbau-warga-perkuat-ajaran-islam","Liputan6")</f>
        <v>Liputan6</v>
      </c>
      <c r="C661" s="467" t="s">
        <v>5657</v>
      </c>
      <c r="D661" s="467" t="s">
        <v>5683</v>
      </c>
      <c r="E661" s="467" t="s">
        <v>6646</v>
      </c>
      <c r="F661" s="271" t="s">
        <v>5951</v>
      </c>
      <c r="G661" s="451"/>
      <c r="H661" s="451"/>
      <c r="I661" s="451"/>
      <c r="J661" s="451"/>
      <c r="K661" s="451"/>
      <c r="L661" s="451"/>
      <c r="M661" s="451"/>
      <c r="N661" s="451"/>
      <c r="O661" s="451"/>
      <c r="P661" s="451"/>
      <c r="Q661" s="451"/>
      <c r="R661" s="451"/>
      <c r="S661" s="451"/>
      <c r="T661" s="451"/>
      <c r="U661" s="451"/>
      <c r="V661" s="451"/>
      <c r="W661" s="451"/>
      <c r="X661" s="451"/>
      <c r="Y661" s="451"/>
      <c r="Z661" s="451"/>
      <c r="AA661" s="451"/>
      <c r="AB661" s="451"/>
      <c r="AC661" s="451"/>
      <c r="AD661" s="451"/>
      <c r="AE661" s="451"/>
    </row>
    <row r="662">
      <c r="A662" s="495" t="s">
        <v>5352</v>
      </c>
      <c r="B662" s="518" t="str">
        <f>HYPERLINK("https://bola.republika.co.id/berita/sepakbola/liga-inggris/ppigcv348/guardiola-berharap-rose-tidak-tinggalkan-sepak-bola","Republika")</f>
        <v>Republika</v>
      </c>
      <c r="C662" s="467" t="s">
        <v>5670</v>
      </c>
      <c r="D662" s="467" t="s">
        <v>5683</v>
      </c>
      <c r="E662" s="467" t="s">
        <v>6646</v>
      </c>
      <c r="F662" s="497" t="s">
        <v>1667</v>
      </c>
      <c r="G662" s="498">
        <v>2.0</v>
      </c>
      <c r="H662" s="497" t="s">
        <v>6647</v>
      </c>
      <c r="I662" s="497" t="s">
        <v>2707</v>
      </c>
      <c r="J662" s="497" t="s">
        <v>6478</v>
      </c>
      <c r="K662" s="497" t="s">
        <v>5786</v>
      </c>
      <c r="L662" s="498">
        <v>4.0</v>
      </c>
      <c r="M662" s="497" t="s">
        <v>6113</v>
      </c>
      <c r="N662" s="497" t="s">
        <v>6650</v>
      </c>
      <c r="O662" s="498">
        <v>300.0</v>
      </c>
      <c r="P662" s="497" t="s">
        <v>6651</v>
      </c>
      <c r="Q662" s="499"/>
      <c r="R662" s="500"/>
      <c r="S662" s="500"/>
      <c r="T662" s="500"/>
      <c r="U662" s="500"/>
      <c r="V662" s="500"/>
      <c r="W662" s="500"/>
      <c r="X662" s="500"/>
      <c r="Y662" s="500"/>
      <c r="Z662" s="500"/>
      <c r="AA662" s="500"/>
      <c r="AB662" s="500"/>
      <c r="AC662" s="500"/>
      <c r="AD662" s="500"/>
      <c r="AE662" s="497"/>
    </row>
    <row r="663">
      <c r="A663" s="495" t="s">
        <v>1698</v>
      </c>
      <c r="B663" s="518" t="str">
        <f>HYPERLINK("https://nasional.tempo.co/read/1209222/begini-semestinya-polisi-menangani-kerusuhan-aksi-22-mei/full&amp;view=ok","Tempo.co")</f>
        <v>Tempo.co</v>
      </c>
      <c r="C663" s="467" t="s">
        <v>5670</v>
      </c>
      <c r="D663" s="467" t="s">
        <v>5692</v>
      </c>
      <c r="E663" s="467" t="s">
        <v>6646</v>
      </c>
      <c r="F663" s="271" t="s">
        <v>5951</v>
      </c>
      <c r="G663" s="451"/>
      <c r="H663" s="451"/>
      <c r="I663" s="451"/>
      <c r="J663" s="451"/>
      <c r="K663" s="451"/>
      <c r="L663" s="451"/>
      <c r="M663" s="451"/>
      <c r="N663" s="451"/>
      <c r="O663" s="451"/>
      <c r="P663" s="451"/>
      <c r="Q663" s="451"/>
      <c r="R663" s="451"/>
      <c r="S663" s="451"/>
      <c r="T663" s="451"/>
      <c r="U663" s="451"/>
      <c r="V663" s="451"/>
      <c r="W663" s="451"/>
      <c r="X663" s="451"/>
      <c r="Y663" s="451"/>
      <c r="Z663" s="451"/>
      <c r="AA663" s="451"/>
      <c r="AB663" s="451"/>
      <c r="AC663" s="451"/>
      <c r="AD663" s="451"/>
      <c r="AE663" s="451"/>
    </row>
    <row r="664">
      <c r="A664" s="495" t="s">
        <v>1706</v>
      </c>
      <c r="B664" s="518" t="str">
        <f>HYPERLINK("https://internasional.republika.co.id/berita/internasional/timur-tengah/pt0n9z459/syeikh-sudais-kecam-serangan-rudal-houthi-ke-arab-saudi","Republik")</f>
        <v>Republik</v>
      </c>
      <c r="C664" s="467" t="s">
        <v>6489</v>
      </c>
      <c r="D664" s="467" t="s">
        <v>5705</v>
      </c>
      <c r="E664" s="467" t="s">
        <v>6646</v>
      </c>
      <c r="F664" s="271" t="s">
        <v>5951</v>
      </c>
      <c r="G664" s="451"/>
      <c r="H664" s="451"/>
      <c r="I664" s="451"/>
      <c r="J664" s="451"/>
      <c r="K664" s="451"/>
      <c r="L664" s="451"/>
      <c r="M664" s="451"/>
      <c r="N664" s="451"/>
      <c r="O664" s="451"/>
      <c r="P664" s="451"/>
      <c r="Q664" s="451"/>
      <c r="R664" s="451"/>
      <c r="S664" s="451"/>
      <c r="T664" s="451"/>
      <c r="U664" s="451"/>
      <c r="V664" s="451"/>
      <c r="W664" s="451"/>
      <c r="X664" s="451"/>
      <c r="Y664" s="451"/>
      <c r="Z664" s="451"/>
      <c r="AA664" s="451"/>
      <c r="AB664" s="451"/>
      <c r="AC664" s="451"/>
      <c r="AD664" s="451"/>
      <c r="AE664" s="451"/>
    </row>
    <row r="665">
      <c r="A665" s="495" t="s">
        <v>6652</v>
      </c>
      <c r="B665" s="518" t="str">
        <f>HYPERLINK("https://tirto.id/menangkap-maling-dengan-maling-cara-elite-jawa-manfaatkan-preman-eez2","Tirto")</f>
        <v>Tirto</v>
      </c>
      <c r="C665" s="467" t="s">
        <v>5667</v>
      </c>
      <c r="D665" s="467" t="s">
        <v>5716</v>
      </c>
      <c r="E665" s="467" t="s">
        <v>6646</v>
      </c>
      <c r="F665" s="497" t="s">
        <v>1748</v>
      </c>
      <c r="G665" s="498">
        <v>2.0</v>
      </c>
      <c r="H665" s="497" t="s">
        <v>6647</v>
      </c>
      <c r="I665" s="497" t="s">
        <v>2704</v>
      </c>
      <c r="J665" s="497" t="s">
        <v>6326</v>
      </c>
      <c r="K665" s="497" t="s">
        <v>5734</v>
      </c>
      <c r="L665" s="498">
        <v>7.0</v>
      </c>
      <c r="M665" s="497" t="s">
        <v>5993</v>
      </c>
      <c r="N665" s="497" t="s">
        <v>6653</v>
      </c>
      <c r="O665" s="498">
        <v>316.0</v>
      </c>
      <c r="P665" s="497" t="s">
        <v>6654</v>
      </c>
      <c r="Q665" s="499"/>
      <c r="R665" s="500"/>
      <c r="S665" s="500"/>
      <c r="T665" s="500"/>
      <c r="U665" s="500"/>
      <c r="V665" s="500"/>
      <c r="W665" s="500"/>
      <c r="X665" s="500"/>
      <c r="Y665" s="500"/>
      <c r="Z665" s="500"/>
      <c r="AA665" s="500"/>
      <c r="AB665" s="500"/>
      <c r="AC665" s="500"/>
      <c r="AD665" s="500"/>
      <c r="AE665" s="497"/>
    </row>
    <row r="666">
      <c r="A666" s="495" t="s">
        <v>1751</v>
      </c>
      <c r="B666" s="467" t="s">
        <v>6109</v>
      </c>
      <c r="C666" s="467" t="s">
        <v>5682</v>
      </c>
      <c r="D666" s="467" t="s">
        <v>5716</v>
      </c>
      <c r="E666" s="467" t="s">
        <v>6646</v>
      </c>
      <c r="F666" s="271" t="s">
        <v>5951</v>
      </c>
      <c r="G666" s="451"/>
      <c r="H666" s="451"/>
      <c r="I666" s="451"/>
      <c r="J666" s="451"/>
      <c r="K666" s="451"/>
      <c r="L666" s="451"/>
      <c r="M666" s="451"/>
      <c r="N666" s="451"/>
      <c r="O666" s="451"/>
      <c r="P666" s="451"/>
      <c r="Q666" s="451"/>
      <c r="R666" s="451"/>
      <c r="S666" s="451"/>
      <c r="T666" s="451"/>
      <c r="U666" s="451"/>
      <c r="V666" s="451"/>
      <c r="W666" s="451"/>
      <c r="X666" s="451"/>
      <c r="Y666" s="451"/>
      <c r="Z666" s="451"/>
      <c r="AA666" s="451"/>
      <c r="AB666" s="451"/>
      <c r="AC666" s="451"/>
      <c r="AD666" s="451"/>
      <c r="AE666" s="451"/>
    </row>
    <row r="667">
      <c r="A667" s="495" t="s">
        <v>6655</v>
      </c>
      <c r="B667" s="518" t="str">
        <f>HYPERLINK("https://senggang.republika.co.id/berita/pveatk414/mtv-kaji-ulang-penyematan-nama-michael-jackson-di-vva","Republika")</f>
        <v>Republika</v>
      </c>
      <c r="C667" s="467" t="s">
        <v>5682</v>
      </c>
      <c r="D667" s="467" t="s">
        <v>5716</v>
      </c>
      <c r="E667" s="467" t="s">
        <v>6646</v>
      </c>
      <c r="F667" s="497" t="s">
        <v>1754</v>
      </c>
      <c r="G667" s="498">
        <v>2.0</v>
      </c>
      <c r="H667" s="497" t="s">
        <v>6647</v>
      </c>
      <c r="I667" s="497" t="s">
        <v>2707</v>
      </c>
      <c r="J667" s="497" t="s">
        <v>6199</v>
      </c>
      <c r="K667" s="497" t="s">
        <v>5721</v>
      </c>
      <c r="L667" s="498">
        <v>7.0</v>
      </c>
      <c r="M667" s="497" t="s">
        <v>6656</v>
      </c>
      <c r="N667" s="497" t="s">
        <v>6657</v>
      </c>
      <c r="O667" s="498">
        <v>41.0</v>
      </c>
      <c r="P667" s="497" t="s">
        <v>6658</v>
      </c>
      <c r="Q667" s="499"/>
      <c r="R667" s="500"/>
      <c r="S667" s="500"/>
      <c r="T667" s="500"/>
      <c r="U667" s="500"/>
      <c r="V667" s="500"/>
      <c r="W667" s="500"/>
      <c r="X667" s="500"/>
      <c r="Y667" s="500"/>
      <c r="Z667" s="500"/>
      <c r="AA667" s="500"/>
      <c r="AB667" s="500"/>
      <c r="AC667" s="500"/>
      <c r="AD667" s="500"/>
      <c r="AE667" s="497"/>
    </row>
    <row r="668">
      <c r="A668" s="495" t="s">
        <v>6659</v>
      </c>
      <c r="B668" s="518" t="str">
        <f>HYPERLINK("https://www.cnnindonesia.com/nasional/20190813023059-20-420741/dianggap-hina-pdip-akun-twitter--lisaamartatara3-dipolisikan","CNN")</f>
        <v>CNN</v>
      </c>
      <c r="C668" s="467" t="s">
        <v>5681</v>
      </c>
      <c r="D668" s="467" t="s">
        <v>5719</v>
      </c>
      <c r="E668" s="467" t="s">
        <v>6646</v>
      </c>
      <c r="F668" s="497" t="s">
        <v>1761</v>
      </c>
      <c r="G668" s="498">
        <v>2.0</v>
      </c>
      <c r="H668" s="497" t="s">
        <v>6647</v>
      </c>
      <c r="I668" s="497" t="s">
        <v>2695</v>
      </c>
      <c r="J668" s="497" t="s">
        <v>6557</v>
      </c>
      <c r="K668" s="497" t="s">
        <v>5750</v>
      </c>
      <c r="L668" s="498">
        <v>8.0</v>
      </c>
      <c r="M668" s="497" t="s">
        <v>5722</v>
      </c>
      <c r="N668" s="497" t="s">
        <v>6660</v>
      </c>
      <c r="O668" s="498">
        <v>399.0</v>
      </c>
      <c r="P668" s="497" t="s">
        <v>6661</v>
      </c>
      <c r="Q668" s="500"/>
      <c r="R668" s="500"/>
      <c r="S668" s="500"/>
      <c r="T668" s="500"/>
      <c r="U668" s="500"/>
      <c r="V668" s="500"/>
      <c r="W668" s="500"/>
      <c r="X668" s="500"/>
      <c r="Y668" s="500"/>
      <c r="Z668" s="500"/>
      <c r="AA668" s="500"/>
      <c r="AB668" s="500"/>
      <c r="AC668" s="500"/>
      <c r="AD668" s="500"/>
      <c r="AE668" s="497"/>
    </row>
    <row r="669">
      <c r="A669" s="495" t="s">
        <v>1763</v>
      </c>
      <c r="B669" s="467" t="s">
        <v>6116</v>
      </c>
      <c r="C669" s="467" t="s">
        <v>5681</v>
      </c>
      <c r="D669" s="495" t="s">
        <v>5719</v>
      </c>
      <c r="E669" s="467" t="s">
        <v>6662</v>
      </c>
      <c r="F669" s="271" t="s">
        <v>5951</v>
      </c>
      <c r="G669" s="451"/>
      <c r="H669" s="451"/>
      <c r="I669" s="451"/>
      <c r="J669" s="451"/>
      <c r="K669" s="451"/>
      <c r="L669" s="451"/>
      <c r="M669" s="451"/>
      <c r="N669" s="451"/>
      <c r="O669" s="451"/>
      <c r="P669" s="451"/>
      <c r="Q669" s="451"/>
      <c r="R669" s="451"/>
      <c r="S669" s="451"/>
      <c r="T669" s="451"/>
      <c r="U669" s="451"/>
      <c r="V669" s="451"/>
      <c r="W669" s="451"/>
      <c r="X669" s="451"/>
      <c r="Y669" s="451"/>
      <c r="Z669" s="451"/>
      <c r="AA669" s="451"/>
      <c r="AB669" s="451"/>
      <c r="AC669" s="451"/>
      <c r="AD669" s="451"/>
      <c r="AE669" s="451"/>
    </row>
    <row r="670">
      <c r="A670" s="495" t="s">
        <v>6663</v>
      </c>
      <c r="B670" s="518" t="str">
        <f>HYPERLINK("https://bisnis.tempo.co/read/1235207/integritas-syafri-adnan-sebagai-calon-anggota-bpk-dipertanyakan/full&amp;view=ok","Tempo.co")</f>
        <v>Tempo.co</v>
      </c>
      <c r="C670" s="467" t="s">
        <v>5681</v>
      </c>
      <c r="D670" s="467" t="s">
        <v>5719</v>
      </c>
      <c r="E670" s="467" t="s">
        <v>6662</v>
      </c>
      <c r="F670" s="497" t="s">
        <v>1764</v>
      </c>
      <c r="G670" s="498">
        <v>2.0</v>
      </c>
      <c r="H670" s="497" t="s">
        <v>6647</v>
      </c>
      <c r="I670" s="497" t="s">
        <v>2702</v>
      </c>
      <c r="J670" s="497" t="s">
        <v>6664</v>
      </c>
      <c r="K670" s="497" t="s">
        <v>5750</v>
      </c>
      <c r="L670" s="498">
        <v>8.0</v>
      </c>
      <c r="M670" s="497" t="s">
        <v>5798</v>
      </c>
      <c r="N670" s="497" t="s">
        <v>6665</v>
      </c>
      <c r="O670" s="498">
        <v>332.0</v>
      </c>
      <c r="P670" s="497" t="s">
        <v>6666</v>
      </c>
      <c r="Q670" s="499"/>
      <c r="R670" s="500"/>
      <c r="S670" s="500"/>
      <c r="T670" s="500"/>
      <c r="U670" s="500"/>
      <c r="V670" s="500"/>
      <c r="W670" s="500"/>
      <c r="X670" s="500"/>
      <c r="Y670" s="500"/>
      <c r="Z670" s="500"/>
      <c r="AA670" s="500"/>
      <c r="AB670" s="500"/>
      <c r="AC670" s="500"/>
      <c r="AD670" s="500"/>
      <c r="AE670" s="497"/>
    </row>
    <row r="671">
      <c r="A671" s="495" t="s">
        <v>6667</v>
      </c>
      <c r="B671" s="518" t="str">
        <f>HYPERLINK("https://tirto.id/angka-penderita-infeksi-menular-seksual-di-kota-bekasi-meningkat-ehaF","Tirto")</f>
        <v>Tirto</v>
      </c>
      <c r="C671" s="467" t="s">
        <v>5657</v>
      </c>
      <c r="D671" s="467" t="s">
        <v>5719</v>
      </c>
      <c r="E671" s="467" t="s">
        <v>6662</v>
      </c>
      <c r="F671" s="497" t="s">
        <v>1778</v>
      </c>
      <c r="G671" s="498">
        <v>2.0</v>
      </c>
      <c r="H671" s="497" t="s">
        <v>6647</v>
      </c>
      <c r="I671" s="497" t="s">
        <v>2704</v>
      </c>
      <c r="J671" s="497" t="s">
        <v>6207</v>
      </c>
      <c r="K671" s="497" t="s">
        <v>5711</v>
      </c>
      <c r="L671" s="498">
        <v>8.0</v>
      </c>
      <c r="M671" s="497" t="s">
        <v>5993</v>
      </c>
      <c r="N671" s="497" t="s">
        <v>6668</v>
      </c>
      <c r="O671" s="498">
        <v>482.0</v>
      </c>
      <c r="P671" s="497" t="s">
        <v>6669</v>
      </c>
      <c r="Q671" s="499"/>
      <c r="R671" s="500"/>
      <c r="S671" s="500"/>
      <c r="T671" s="500"/>
      <c r="U671" s="500"/>
      <c r="V671" s="500"/>
      <c r="W671" s="500"/>
      <c r="X671" s="500"/>
      <c r="Y671" s="500"/>
      <c r="Z671" s="500"/>
      <c r="AA671" s="500"/>
      <c r="AB671" s="500"/>
      <c r="AC671" s="500"/>
      <c r="AD671" s="500"/>
      <c r="AE671" s="497"/>
    </row>
    <row r="672">
      <c r="A672" s="495" t="s">
        <v>6670</v>
      </c>
      <c r="B672" s="518" t="str">
        <f>HYPERLINK("https://20.detik.com/e-flash/20190831-190831063/ogah-kasih-maaf-nikita-mirzani-polisikan-anak-angkat-elza-syarief","Detik")</f>
        <v>Detik</v>
      </c>
      <c r="C672" s="467" t="s">
        <v>5670</v>
      </c>
      <c r="D672" s="467" t="s">
        <v>5719</v>
      </c>
      <c r="E672" s="467" t="s">
        <v>6662</v>
      </c>
      <c r="F672" s="497" t="s">
        <v>1782</v>
      </c>
      <c r="G672" s="498">
        <v>2.0</v>
      </c>
      <c r="H672" s="497" t="s">
        <v>6647</v>
      </c>
      <c r="I672" s="497" t="s">
        <v>2740</v>
      </c>
      <c r="J672" s="497" t="s">
        <v>6344</v>
      </c>
      <c r="K672" s="497" t="s">
        <v>5786</v>
      </c>
      <c r="L672" s="498">
        <v>8.0</v>
      </c>
      <c r="M672" s="497" t="s">
        <v>5712</v>
      </c>
      <c r="N672" s="497" t="s">
        <v>6671</v>
      </c>
      <c r="O672" s="498">
        <v>297.0</v>
      </c>
      <c r="P672" s="497" t="s">
        <v>6672</v>
      </c>
      <c r="Q672" s="500"/>
      <c r="R672" s="500"/>
      <c r="S672" s="500"/>
      <c r="T672" s="500"/>
      <c r="U672" s="500"/>
      <c r="V672" s="500"/>
      <c r="W672" s="500"/>
      <c r="X672" s="500"/>
      <c r="Y672" s="500"/>
      <c r="Z672" s="500"/>
      <c r="AA672" s="500"/>
      <c r="AB672" s="500"/>
      <c r="AC672" s="500"/>
      <c r="AD672" s="500"/>
      <c r="AE672" s="497"/>
    </row>
    <row r="673">
      <c r="A673" s="495" t="s">
        <v>6673</v>
      </c>
      <c r="B673" s="467" t="s">
        <v>6112</v>
      </c>
      <c r="C673" s="467" t="s">
        <v>5682</v>
      </c>
      <c r="D673" s="467" t="s">
        <v>5725</v>
      </c>
      <c r="E673" s="467" t="s">
        <v>6662</v>
      </c>
      <c r="F673" s="497" t="s">
        <v>1787</v>
      </c>
      <c r="G673" s="498">
        <v>2.0</v>
      </c>
      <c r="H673" s="497" t="s">
        <v>6647</v>
      </c>
      <c r="I673" s="497" t="s">
        <v>2707</v>
      </c>
      <c r="J673" s="497" t="s">
        <v>6674</v>
      </c>
      <c r="K673" s="497" t="s">
        <v>5721</v>
      </c>
      <c r="L673" s="498">
        <v>9.0</v>
      </c>
      <c r="M673" s="497" t="s">
        <v>6675</v>
      </c>
      <c r="N673" s="497" t="s">
        <v>6676</v>
      </c>
      <c r="O673" s="498">
        <v>76.0</v>
      </c>
      <c r="P673" s="497" t="s">
        <v>6677</v>
      </c>
      <c r="Q673" s="499"/>
      <c r="R673" s="500"/>
      <c r="S673" s="500"/>
      <c r="T673" s="500"/>
      <c r="U673" s="500"/>
      <c r="V673" s="500"/>
      <c r="W673" s="500"/>
      <c r="X673" s="500"/>
      <c r="Y673" s="500"/>
      <c r="Z673" s="500"/>
      <c r="AA673" s="500"/>
      <c r="AB673" s="500"/>
      <c r="AC673" s="500"/>
      <c r="AD673" s="500"/>
      <c r="AE673" s="497"/>
    </row>
    <row r="674">
      <c r="A674" s="495" t="s">
        <v>6678</v>
      </c>
      <c r="B674" s="467" t="s">
        <v>6112</v>
      </c>
      <c r="C674" s="467" t="s">
        <v>5681</v>
      </c>
      <c r="D674" s="467" t="s">
        <v>5725</v>
      </c>
      <c r="E674" s="467" t="s">
        <v>6662</v>
      </c>
      <c r="F674" s="497" t="s">
        <v>1789</v>
      </c>
      <c r="G674" s="498">
        <v>2.0</v>
      </c>
      <c r="H674" s="497" t="s">
        <v>6647</v>
      </c>
      <c r="I674" s="497" t="s">
        <v>2707</v>
      </c>
      <c r="J674" s="497" t="s">
        <v>6679</v>
      </c>
      <c r="K674" s="497" t="s">
        <v>5750</v>
      </c>
      <c r="L674" s="498">
        <v>9.0</v>
      </c>
      <c r="M674" s="497" t="s">
        <v>6680</v>
      </c>
      <c r="N674" s="497" t="s">
        <v>6681</v>
      </c>
      <c r="O674" s="498">
        <v>200.0</v>
      </c>
      <c r="P674" s="497" t="s">
        <v>6682</v>
      </c>
      <c r="Q674" s="499"/>
      <c r="R674" s="500"/>
      <c r="S674" s="500"/>
      <c r="T674" s="500"/>
      <c r="U674" s="500"/>
      <c r="V674" s="500"/>
      <c r="W674" s="500"/>
      <c r="X674" s="500"/>
      <c r="Y674" s="500"/>
      <c r="Z674" s="500"/>
      <c r="AA674" s="500"/>
      <c r="AB674" s="500"/>
      <c r="AC674" s="500"/>
      <c r="AD674" s="500"/>
      <c r="AE674" s="497"/>
    </row>
    <row r="675">
      <c r="A675" s="495" t="s">
        <v>1791</v>
      </c>
      <c r="B675" s="518" t="str">
        <f>HYPERLINK("https://www.cnnindonesia.com/hiburan/20190904030222-227-427315/keamanan-alasan-pentagon-batal-konser-di-hong-kong","CNN")</f>
        <v>CNN</v>
      </c>
      <c r="C675" s="467" t="s">
        <v>5657</v>
      </c>
      <c r="D675" s="467" t="s">
        <v>5725</v>
      </c>
      <c r="E675" s="467" t="s">
        <v>6662</v>
      </c>
      <c r="F675" s="271" t="s">
        <v>5951</v>
      </c>
      <c r="G675" s="451"/>
      <c r="H675" s="451"/>
      <c r="I675" s="451"/>
      <c r="J675" s="451"/>
      <c r="K675" s="451"/>
      <c r="L675" s="451"/>
      <c r="M675" s="451"/>
      <c r="N675" s="451"/>
      <c r="O675" s="451"/>
      <c r="P675" s="451"/>
      <c r="Q675" s="451"/>
      <c r="R675" s="451"/>
      <c r="S675" s="451"/>
      <c r="T675" s="451"/>
      <c r="U675" s="451"/>
      <c r="V675" s="451"/>
      <c r="W675" s="451"/>
      <c r="X675" s="451"/>
      <c r="Y675" s="451"/>
      <c r="Z675" s="451"/>
      <c r="AA675" s="451"/>
      <c r="AB675" s="451"/>
      <c r="AC675" s="451"/>
      <c r="AD675" s="451"/>
      <c r="AE675" s="451"/>
    </row>
    <row r="676">
      <c r="A676" s="461" t="s">
        <v>6683</v>
      </c>
      <c r="B676" s="467" t="s">
        <v>6109</v>
      </c>
      <c r="C676" s="467" t="s">
        <v>5682</v>
      </c>
      <c r="D676" s="467" t="s">
        <v>5668</v>
      </c>
      <c r="E676" s="467" t="s">
        <v>6241</v>
      </c>
      <c r="F676" s="497" t="s">
        <v>4329</v>
      </c>
      <c r="G676" s="498">
        <v>2.0</v>
      </c>
      <c r="H676" s="497" t="s">
        <v>6243</v>
      </c>
      <c r="I676" s="497" t="s">
        <v>2695</v>
      </c>
      <c r="J676" s="497" t="s">
        <v>6381</v>
      </c>
      <c r="K676" s="497" t="s">
        <v>5721</v>
      </c>
      <c r="L676" s="498">
        <v>2.0</v>
      </c>
      <c r="M676" s="497" t="s">
        <v>5722</v>
      </c>
      <c r="N676" s="497" t="s">
        <v>6684</v>
      </c>
      <c r="O676" s="498">
        <v>267.0</v>
      </c>
      <c r="P676" s="497" t="s">
        <v>6685</v>
      </c>
      <c r="Q676" s="500"/>
      <c r="R676" s="500"/>
      <c r="S676" s="500"/>
      <c r="T676" s="500"/>
      <c r="U676" s="500"/>
      <c r="V676" s="500"/>
      <c r="W676" s="500"/>
      <c r="X676" s="500"/>
      <c r="Y676" s="500"/>
      <c r="Z676" s="500"/>
      <c r="AA676" s="500"/>
      <c r="AB676" s="500"/>
      <c r="AC676" s="500"/>
      <c r="AD676" s="500"/>
      <c r="AE676" s="497"/>
    </row>
    <row r="677">
      <c r="A677" s="461" t="s">
        <v>6686</v>
      </c>
      <c r="B677" s="467" t="s">
        <v>6561</v>
      </c>
      <c r="C677" s="467" t="s">
        <v>5681</v>
      </c>
      <c r="D677" s="467" t="s">
        <v>6687</v>
      </c>
      <c r="E677" s="467" t="s">
        <v>6241</v>
      </c>
      <c r="F677" s="497" t="s">
        <v>4335</v>
      </c>
      <c r="G677" s="498">
        <v>2.0</v>
      </c>
      <c r="H677" s="497" t="s">
        <v>6243</v>
      </c>
      <c r="I677" s="497" t="s">
        <v>2724</v>
      </c>
      <c r="J677" s="497" t="s">
        <v>6688</v>
      </c>
      <c r="K677" s="497" t="s">
        <v>5750</v>
      </c>
      <c r="L677" s="498">
        <v>2.0</v>
      </c>
      <c r="M677" s="497" t="s">
        <v>5828</v>
      </c>
      <c r="N677" s="497" t="s">
        <v>6689</v>
      </c>
      <c r="O677" s="498">
        <v>227.0</v>
      </c>
      <c r="P677" s="497" t="s">
        <v>6690</v>
      </c>
      <c r="Q677" s="499"/>
      <c r="R677" s="500"/>
      <c r="S677" s="500"/>
      <c r="T677" s="500"/>
      <c r="U677" s="500"/>
      <c r="V677" s="500"/>
      <c r="W677" s="500"/>
      <c r="X677" s="500"/>
      <c r="Y677" s="500"/>
      <c r="Z677" s="500"/>
      <c r="AA677" s="500"/>
      <c r="AB677" s="500"/>
      <c r="AC677" s="500"/>
      <c r="AD677" s="500"/>
      <c r="AE677" s="497"/>
    </row>
    <row r="678">
      <c r="A678" s="461" t="s">
        <v>4337</v>
      </c>
      <c r="B678" s="467" t="s">
        <v>6110</v>
      </c>
      <c r="C678" s="467" t="s">
        <v>5667</v>
      </c>
      <c r="D678" s="467" t="s">
        <v>5675</v>
      </c>
      <c r="E678" s="467" t="s">
        <v>6241</v>
      </c>
      <c r="F678" s="271" t="s">
        <v>5951</v>
      </c>
      <c r="G678" s="451"/>
      <c r="H678" s="451"/>
      <c r="I678" s="451"/>
      <c r="J678" s="451"/>
      <c r="K678" s="451"/>
      <c r="L678" s="451"/>
      <c r="M678" s="451"/>
      <c r="N678" s="451"/>
      <c r="O678" s="451"/>
      <c r="P678" s="451"/>
      <c r="Q678" s="451"/>
      <c r="R678" s="451"/>
      <c r="S678" s="451"/>
      <c r="T678" s="451"/>
      <c r="U678" s="451"/>
      <c r="V678" s="451"/>
      <c r="W678" s="451"/>
      <c r="X678" s="451"/>
      <c r="Y678" s="451"/>
      <c r="Z678" s="451"/>
      <c r="AA678" s="451"/>
      <c r="AB678" s="451"/>
      <c r="AC678" s="451"/>
      <c r="AD678" s="451"/>
      <c r="AE678" s="451"/>
    </row>
    <row r="679">
      <c r="A679" s="461" t="s">
        <v>4355</v>
      </c>
      <c r="B679" s="467" t="s">
        <v>6116</v>
      </c>
      <c r="C679" s="467" t="s">
        <v>6489</v>
      </c>
      <c r="D679" s="467" t="s">
        <v>5675</v>
      </c>
      <c r="E679" s="467" t="s">
        <v>6241</v>
      </c>
      <c r="F679" s="271" t="s">
        <v>5951</v>
      </c>
      <c r="G679" s="451"/>
      <c r="H679" s="451"/>
      <c r="I679" s="451"/>
      <c r="J679" s="451"/>
      <c r="K679" s="451"/>
      <c r="L679" s="451"/>
      <c r="M679" s="451"/>
      <c r="N679" s="451"/>
      <c r="O679" s="451"/>
      <c r="P679" s="451"/>
      <c r="Q679" s="451"/>
      <c r="R679" s="451"/>
      <c r="S679" s="451"/>
      <c r="T679" s="451"/>
      <c r="U679" s="451"/>
      <c r="V679" s="451"/>
      <c r="W679" s="451"/>
      <c r="X679" s="451"/>
      <c r="Y679" s="451"/>
      <c r="Z679" s="451"/>
      <c r="AA679" s="451"/>
      <c r="AB679" s="451"/>
      <c r="AC679" s="451"/>
      <c r="AD679" s="451"/>
      <c r="AE679" s="451"/>
    </row>
    <row r="680">
      <c r="A680" s="461" t="s">
        <v>6691</v>
      </c>
      <c r="B680" s="467" t="s">
        <v>6482</v>
      </c>
      <c r="C680" s="467" t="s">
        <v>5670</v>
      </c>
      <c r="D680" s="467" t="s">
        <v>5683</v>
      </c>
      <c r="E680" s="467" t="s">
        <v>6241</v>
      </c>
      <c r="F680" s="497" t="s">
        <v>4370</v>
      </c>
      <c r="G680" s="498">
        <v>2.0</v>
      </c>
      <c r="H680" s="497" t="s">
        <v>6243</v>
      </c>
      <c r="I680" s="497" t="s">
        <v>2715</v>
      </c>
      <c r="J680" s="497" t="s">
        <v>1303</v>
      </c>
      <c r="K680" s="497" t="s">
        <v>5786</v>
      </c>
      <c r="L680" s="498">
        <v>4.0</v>
      </c>
      <c r="M680" s="497" t="s">
        <v>6415</v>
      </c>
      <c r="N680" s="497" t="s">
        <v>6692</v>
      </c>
      <c r="O680" s="498">
        <v>366.0</v>
      </c>
      <c r="P680" s="497" t="s">
        <v>6693</v>
      </c>
      <c r="Q680" s="499"/>
      <c r="R680" s="500"/>
      <c r="S680" s="500"/>
      <c r="T680" s="500"/>
      <c r="U680" s="500"/>
      <c r="V680" s="500"/>
      <c r="W680" s="500"/>
      <c r="X680" s="500"/>
      <c r="Y680" s="500"/>
      <c r="Z680" s="500"/>
      <c r="AA680" s="500"/>
      <c r="AB680" s="500"/>
      <c r="AC680" s="500"/>
      <c r="AD680" s="500"/>
      <c r="AE680" s="497"/>
    </row>
    <row r="681">
      <c r="A681" s="461" t="s">
        <v>760</v>
      </c>
      <c r="B681" s="467" t="s">
        <v>6109</v>
      </c>
      <c r="C681" s="467" t="s">
        <v>5671</v>
      </c>
      <c r="D681" s="467" t="s">
        <v>5683</v>
      </c>
      <c r="E681" s="467" t="s">
        <v>6241</v>
      </c>
      <c r="F681" s="497" t="s">
        <v>4372</v>
      </c>
      <c r="G681" s="498">
        <v>2.0</v>
      </c>
      <c r="H681" s="497" t="s">
        <v>6243</v>
      </c>
      <c r="I681" s="497" t="s">
        <v>2695</v>
      </c>
      <c r="J681" s="497" t="s">
        <v>1495</v>
      </c>
      <c r="K681" s="497" t="s">
        <v>5729</v>
      </c>
      <c r="L681" s="498">
        <v>4.0</v>
      </c>
      <c r="M681" s="497" t="s">
        <v>5722</v>
      </c>
      <c r="N681" s="497" t="s">
        <v>6694</v>
      </c>
      <c r="O681" s="498">
        <v>417.0</v>
      </c>
      <c r="P681" s="497" t="s">
        <v>6695</v>
      </c>
      <c r="Q681" s="500"/>
      <c r="R681" s="500"/>
      <c r="S681" s="500"/>
      <c r="T681" s="500"/>
      <c r="U681" s="500"/>
      <c r="V681" s="500"/>
      <c r="W681" s="500"/>
      <c r="X681" s="500"/>
      <c r="Y681" s="500"/>
      <c r="Z681" s="500"/>
      <c r="AA681" s="500"/>
      <c r="AB681" s="500"/>
      <c r="AC681" s="500"/>
      <c r="AD681" s="500"/>
      <c r="AE681" s="497"/>
    </row>
    <row r="682">
      <c r="A682" s="461" t="s">
        <v>6696</v>
      </c>
      <c r="B682" s="518" t="str">
        <f>HYPERLINK("https://tirto.id/penelitian-perjaka-dan-perawan-di-jepang-meningkat-dlzA","Tirto")</f>
        <v>Tirto</v>
      </c>
      <c r="C682" s="467" t="s">
        <v>5681</v>
      </c>
      <c r="D682" s="467" t="s">
        <v>5683</v>
      </c>
      <c r="E682" s="467" t="s">
        <v>6241</v>
      </c>
      <c r="F682" s="497" t="s">
        <v>4374</v>
      </c>
      <c r="G682" s="498">
        <v>2.0</v>
      </c>
      <c r="H682" s="497" t="s">
        <v>6243</v>
      </c>
      <c r="I682" s="497" t="s">
        <v>2704</v>
      </c>
      <c r="J682" s="497" t="s">
        <v>6412</v>
      </c>
      <c r="K682" s="497" t="s">
        <v>5750</v>
      </c>
      <c r="L682" s="498">
        <v>4.0</v>
      </c>
      <c r="M682" s="497" t="s">
        <v>6322</v>
      </c>
      <c r="N682" s="497" t="s">
        <v>6697</v>
      </c>
      <c r="O682" s="498">
        <v>320.0</v>
      </c>
      <c r="P682" s="497" t="s">
        <v>6698</v>
      </c>
      <c r="Q682" s="499"/>
      <c r="R682" s="500"/>
      <c r="S682" s="500"/>
      <c r="T682" s="500"/>
      <c r="U682" s="500"/>
      <c r="V682" s="500"/>
      <c r="W682" s="500"/>
      <c r="X682" s="500"/>
      <c r="Y682" s="500"/>
      <c r="Z682" s="500"/>
      <c r="AA682" s="500"/>
      <c r="AB682" s="500"/>
      <c r="AC682" s="500"/>
      <c r="AD682" s="500"/>
      <c r="AE682" s="497"/>
    </row>
    <row r="683">
      <c r="A683" s="461" t="s">
        <v>4376</v>
      </c>
      <c r="B683" s="467" t="s">
        <v>6112</v>
      </c>
      <c r="C683" s="467" t="s">
        <v>5671</v>
      </c>
      <c r="D683" s="467" t="s">
        <v>5683</v>
      </c>
      <c r="E683" s="467" t="s">
        <v>6241</v>
      </c>
      <c r="F683" s="271" t="s">
        <v>5951</v>
      </c>
      <c r="G683" s="451"/>
      <c r="H683" s="451"/>
      <c r="I683" s="451"/>
      <c r="J683" s="451"/>
      <c r="K683" s="451"/>
      <c r="L683" s="451"/>
      <c r="M683" s="451"/>
      <c r="N683" s="451"/>
      <c r="O683" s="451"/>
      <c r="P683" s="451"/>
      <c r="Q683" s="451"/>
      <c r="R683" s="451"/>
      <c r="S683" s="451"/>
      <c r="T683" s="451"/>
      <c r="U683" s="451"/>
      <c r="V683" s="451"/>
      <c r="W683" s="451"/>
      <c r="X683" s="451"/>
      <c r="Y683" s="451"/>
      <c r="Z683" s="451"/>
      <c r="AA683" s="451"/>
      <c r="AB683" s="451"/>
      <c r="AC683" s="451"/>
      <c r="AD683" s="451"/>
      <c r="AE683" s="451"/>
    </row>
    <row r="684">
      <c r="A684" s="461" t="s">
        <v>768</v>
      </c>
      <c r="B684" s="518" t="str">
        <f>HYPERLINK("https://sains.kompas.com/read/2019/04/21/191300023/punya-gigi-unik-spesies-kera-purba-baru-ditemukan-di-indonesia?page=2","Kompas")</f>
        <v>Kompas</v>
      </c>
      <c r="C684" s="467" t="s">
        <v>5671</v>
      </c>
      <c r="D684" s="467" t="s">
        <v>5683</v>
      </c>
      <c r="E684" s="467" t="s">
        <v>6241</v>
      </c>
      <c r="F684" s="497" t="s">
        <v>4377</v>
      </c>
      <c r="G684" s="498">
        <v>2.0</v>
      </c>
      <c r="H684" s="497" t="s">
        <v>6243</v>
      </c>
      <c r="I684" s="497" t="s">
        <v>2724</v>
      </c>
      <c r="J684" s="497" t="s">
        <v>6699</v>
      </c>
      <c r="K684" s="497" t="s">
        <v>5729</v>
      </c>
      <c r="L684" s="498">
        <v>4.0</v>
      </c>
      <c r="M684" s="497" t="s">
        <v>5879</v>
      </c>
      <c r="N684" s="497" t="s">
        <v>6700</v>
      </c>
      <c r="O684" s="498">
        <v>338.0</v>
      </c>
      <c r="P684" s="497" t="s">
        <v>6701</v>
      </c>
      <c r="Q684" s="499"/>
      <c r="R684" s="500"/>
      <c r="S684" s="500"/>
      <c r="T684" s="500"/>
      <c r="U684" s="500"/>
      <c r="V684" s="500"/>
      <c r="W684" s="500"/>
      <c r="X684" s="500"/>
      <c r="Y684" s="500"/>
      <c r="Z684" s="500"/>
      <c r="AA684" s="500"/>
      <c r="AB684" s="500"/>
      <c r="AC684" s="500"/>
      <c r="AD684" s="500"/>
      <c r="AE684" s="497"/>
    </row>
    <row r="685">
      <c r="A685" s="461" t="s">
        <v>782</v>
      </c>
      <c r="B685" s="467" t="s">
        <v>6112</v>
      </c>
      <c r="C685" s="467" t="s">
        <v>5671</v>
      </c>
      <c r="D685" s="467" t="s">
        <v>5692</v>
      </c>
      <c r="E685" s="467" t="s">
        <v>6241</v>
      </c>
      <c r="F685" s="271" t="s">
        <v>5951</v>
      </c>
      <c r="G685" s="451"/>
      <c r="H685" s="451"/>
      <c r="I685" s="451"/>
      <c r="J685" s="451"/>
      <c r="K685" s="451"/>
      <c r="L685" s="451"/>
      <c r="M685" s="451"/>
      <c r="N685" s="451"/>
      <c r="O685" s="451"/>
      <c r="P685" s="451"/>
      <c r="Q685" s="451"/>
      <c r="R685" s="451"/>
      <c r="S685" s="451"/>
      <c r="T685" s="451"/>
      <c r="U685" s="451"/>
      <c r="V685" s="451"/>
      <c r="W685" s="451"/>
      <c r="X685" s="451"/>
      <c r="Y685" s="451"/>
      <c r="Z685" s="451"/>
      <c r="AA685" s="451"/>
      <c r="AB685" s="451"/>
      <c r="AC685" s="451"/>
      <c r="AD685" s="451"/>
      <c r="AE685" s="451"/>
    </row>
    <row r="686">
      <c r="A686" s="461" t="s">
        <v>6702</v>
      </c>
      <c r="B686" s="467" t="s">
        <v>6109</v>
      </c>
      <c r="C686" s="467" t="s">
        <v>5667</v>
      </c>
      <c r="D686" s="467" t="s">
        <v>5692</v>
      </c>
      <c r="E686" s="467" t="s">
        <v>6241</v>
      </c>
      <c r="F686" s="497" t="s">
        <v>4389</v>
      </c>
      <c r="G686" s="498">
        <v>2.0</v>
      </c>
      <c r="H686" s="497" t="s">
        <v>6243</v>
      </c>
      <c r="I686" s="497" t="s">
        <v>2695</v>
      </c>
      <c r="J686" s="497" t="s">
        <v>6396</v>
      </c>
      <c r="K686" s="497" t="s">
        <v>5734</v>
      </c>
      <c r="L686" s="498">
        <v>5.0</v>
      </c>
      <c r="M686" s="497" t="s">
        <v>5879</v>
      </c>
      <c r="N686" s="497" t="s">
        <v>6703</v>
      </c>
      <c r="O686" s="498">
        <v>224.0</v>
      </c>
      <c r="P686" s="497" t="s">
        <v>6704</v>
      </c>
      <c r="Q686" s="500"/>
      <c r="R686" s="500"/>
      <c r="S686" s="500"/>
      <c r="T686" s="500"/>
      <c r="U686" s="500"/>
      <c r="V686" s="500"/>
      <c r="W686" s="500"/>
      <c r="X686" s="500"/>
      <c r="Y686" s="500"/>
      <c r="Z686" s="500"/>
      <c r="AA686" s="500"/>
      <c r="AB686" s="500"/>
      <c r="AC686" s="500"/>
      <c r="AD686" s="500"/>
      <c r="AE686" s="497"/>
    </row>
    <row r="687">
      <c r="A687" s="461" t="s">
        <v>4395</v>
      </c>
      <c r="B687" s="467" t="s">
        <v>6488</v>
      </c>
      <c r="C687" s="467" t="s">
        <v>5670</v>
      </c>
      <c r="D687" s="467" t="s">
        <v>5692</v>
      </c>
      <c r="E687" s="467" t="s">
        <v>6241</v>
      </c>
      <c r="F687" s="271" t="s">
        <v>5951</v>
      </c>
      <c r="G687" s="451"/>
      <c r="H687" s="451"/>
      <c r="I687" s="451"/>
      <c r="J687" s="451"/>
      <c r="K687" s="451"/>
      <c r="L687" s="451"/>
      <c r="M687" s="451"/>
      <c r="N687" s="451"/>
      <c r="O687" s="451"/>
      <c r="P687" s="451"/>
      <c r="Q687" s="451"/>
      <c r="R687" s="451"/>
      <c r="S687" s="451"/>
      <c r="T687" s="451"/>
      <c r="U687" s="451"/>
      <c r="V687" s="451"/>
      <c r="W687" s="451"/>
      <c r="X687" s="451"/>
      <c r="Y687" s="451"/>
      <c r="Z687" s="451"/>
      <c r="AA687" s="451"/>
      <c r="AB687" s="451"/>
      <c r="AC687" s="451"/>
      <c r="AD687" s="451"/>
      <c r="AE687" s="451"/>
    </row>
    <row r="688">
      <c r="A688" s="461" t="s">
        <v>6705</v>
      </c>
      <c r="B688" s="467" t="s">
        <v>6109</v>
      </c>
      <c r="C688" s="467" t="s">
        <v>5671</v>
      </c>
      <c r="D688" s="467" t="s">
        <v>5692</v>
      </c>
      <c r="E688" s="467" t="s">
        <v>6241</v>
      </c>
      <c r="F688" s="497" t="s">
        <v>4396</v>
      </c>
      <c r="G688" s="498">
        <v>2.0</v>
      </c>
      <c r="H688" s="497" t="s">
        <v>6243</v>
      </c>
      <c r="I688" s="497" t="s">
        <v>2695</v>
      </c>
      <c r="J688" s="497" t="s">
        <v>6706</v>
      </c>
      <c r="K688" s="497" t="s">
        <v>5729</v>
      </c>
      <c r="L688" s="498">
        <v>5.0</v>
      </c>
      <c r="M688" s="497" t="s">
        <v>6270</v>
      </c>
      <c r="N688" s="497" t="s">
        <v>6707</v>
      </c>
      <c r="O688" s="498">
        <v>283.0</v>
      </c>
      <c r="P688" s="497" t="s">
        <v>6708</v>
      </c>
      <c r="Q688" s="500"/>
      <c r="R688" s="500"/>
      <c r="S688" s="500"/>
      <c r="T688" s="500"/>
      <c r="U688" s="500"/>
      <c r="V688" s="500"/>
      <c r="W688" s="500"/>
      <c r="X688" s="500"/>
      <c r="Y688" s="500"/>
      <c r="Z688" s="500"/>
      <c r="AA688" s="500"/>
      <c r="AB688" s="500"/>
      <c r="AC688" s="500"/>
      <c r="AD688" s="500"/>
      <c r="AE688" s="497"/>
    </row>
    <row r="689">
      <c r="A689" s="461" t="s">
        <v>4398</v>
      </c>
      <c r="B689" s="518" t="str">
        <f>HYPERLINK("https://tirto.id/alasan-orang-orang-aceh-tak-lagi-memilih-jokowi-dUZu","Tirto")</f>
        <v>Tirto</v>
      </c>
      <c r="C689" s="467" t="s">
        <v>5671</v>
      </c>
      <c r="D689" s="467" t="s">
        <v>5692</v>
      </c>
      <c r="E689" s="467" t="s">
        <v>6241</v>
      </c>
      <c r="F689" s="271" t="s">
        <v>5951</v>
      </c>
      <c r="G689" s="451"/>
      <c r="H689" s="451"/>
      <c r="I689" s="451"/>
      <c r="J689" s="451"/>
      <c r="K689" s="451"/>
      <c r="L689" s="451"/>
      <c r="M689" s="451"/>
      <c r="N689" s="451"/>
      <c r="O689" s="451"/>
      <c r="P689" s="451"/>
      <c r="Q689" s="451"/>
      <c r="R689" s="451"/>
      <c r="S689" s="451"/>
      <c r="T689" s="451"/>
      <c r="U689" s="451"/>
      <c r="V689" s="451"/>
      <c r="W689" s="451"/>
      <c r="X689" s="451"/>
      <c r="Y689" s="451"/>
      <c r="Z689" s="451"/>
      <c r="AA689" s="451"/>
      <c r="AB689" s="451"/>
      <c r="AC689" s="451"/>
      <c r="AD689" s="451"/>
      <c r="AE689" s="451"/>
    </row>
    <row r="690">
      <c r="A690" s="528" t="s">
        <v>4407</v>
      </c>
      <c r="B690" s="467" t="s">
        <v>6488</v>
      </c>
      <c r="C690" s="467" t="s">
        <v>5681</v>
      </c>
      <c r="D690" s="467" t="s">
        <v>5692</v>
      </c>
      <c r="E690" s="467" t="s">
        <v>6241</v>
      </c>
      <c r="F690" s="271" t="s">
        <v>5951</v>
      </c>
      <c r="G690" s="451"/>
      <c r="H690" s="451"/>
      <c r="I690" s="451"/>
      <c r="J690" s="451"/>
      <c r="K690" s="451"/>
      <c r="L690" s="451"/>
      <c r="M690" s="451"/>
      <c r="N690" s="451"/>
      <c r="O690" s="451"/>
      <c r="P690" s="451"/>
      <c r="Q690" s="451"/>
      <c r="R690" s="451"/>
      <c r="S690" s="451"/>
      <c r="T690" s="451"/>
      <c r="U690" s="451"/>
      <c r="V690" s="451"/>
      <c r="W690" s="451"/>
      <c r="X690" s="451"/>
      <c r="Y690" s="451"/>
      <c r="Z690" s="451"/>
      <c r="AA690" s="451"/>
      <c r="AB690" s="451"/>
      <c r="AC690" s="451"/>
      <c r="AD690" s="451"/>
      <c r="AE690" s="451"/>
    </row>
    <row r="691">
      <c r="A691" s="461" t="s">
        <v>5276</v>
      </c>
      <c r="B691" s="467" t="s">
        <v>6096</v>
      </c>
      <c r="C691" s="467" t="s">
        <v>5671</v>
      </c>
      <c r="D691" s="467" t="s">
        <v>5719</v>
      </c>
      <c r="E691" s="467" t="s">
        <v>6241</v>
      </c>
      <c r="F691" s="271" t="s">
        <v>5951</v>
      </c>
      <c r="G691" s="451"/>
      <c r="H691" s="451"/>
      <c r="I691" s="451"/>
      <c r="J691" s="451"/>
      <c r="K691" s="451"/>
      <c r="L691" s="451"/>
      <c r="M691" s="451"/>
      <c r="N691" s="451"/>
      <c r="O691" s="451"/>
      <c r="P691" s="451"/>
      <c r="Q691" s="451"/>
      <c r="R691" s="451"/>
      <c r="S691" s="451"/>
      <c r="T691" s="451"/>
      <c r="U691" s="451"/>
      <c r="V691" s="451"/>
      <c r="W691" s="451"/>
      <c r="X691" s="451"/>
      <c r="Y691" s="451"/>
      <c r="Z691" s="451"/>
      <c r="AA691" s="451"/>
      <c r="AB691" s="451"/>
      <c r="AC691" s="451"/>
      <c r="AD691" s="451"/>
      <c r="AE691" s="451"/>
    </row>
    <row r="692">
      <c r="A692" s="461" t="s">
        <v>5282</v>
      </c>
      <c r="B692" s="518" t="str">
        <f>HYPERLINK("https://nasional.tempo.co/read/1241693/meski-banyak-kritik-fahri-hamzah-ingin-ruu-kuhp-segera-disahkan/full&amp;view=ok","Tempo.co")</f>
        <v>Tempo.co</v>
      </c>
      <c r="C692" s="467" t="s">
        <v>5664</v>
      </c>
      <c r="D692" s="467" t="s">
        <v>5719</v>
      </c>
      <c r="E692" s="467" t="s">
        <v>6241</v>
      </c>
      <c r="F692" s="271" t="s">
        <v>5951</v>
      </c>
      <c r="G692" s="451"/>
      <c r="H692" s="451"/>
      <c r="I692" s="451"/>
      <c r="J692" s="451"/>
      <c r="K692" s="451"/>
      <c r="L692" s="451"/>
      <c r="M692" s="451"/>
      <c r="N692" s="451"/>
      <c r="O692" s="451"/>
      <c r="P692" s="451"/>
      <c r="Q692" s="451"/>
      <c r="R692" s="451"/>
      <c r="S692" s="451"/>
      <c r="T692" s="451"/>
      <c r="U692" s="451"/>
      <c r="V692" s="451"/>
      <c r="W692" s="451"/>
      <c r="X692" s="451"/>
      <c r="Y692" s="451"/>
      <c r="Z692" s="451"/>
      <c r="AA692" s="451"/>
      <c r="AB692" s="451"/>
      <c r="AC692" s="451"/>
      <c r="AD692" s="451"/>
      <c r="AE692" s="451"/>
    </row>
    <row r="693">
      <c r="A693" s="461" t="s">
        <v>5284</v>
      </c>
      <c r="B693" s="467" t="s">
        <v>6709</v>
      </c>
      <c r="C693" s="467" t="s">
        <v>5681</v>
      </c>
      <c r="D693" s="467" t="s">
        <v>5725</v>
      </c>
      <c r="E693" s="467" t="s">
        <v>6241</v>
      </c>
      <c r="F693" s="271" t="s">
        <v>5951</v>
      </c>
      <c r="G693" s="451"/>
      <c r="H693" s="451"/>
      <c r="I693" s="451"/>
      <c r="J693" s="451"/>
      <c r="K693" s="451"/>
      <c r="L693" s="451"/>
      <c r="M693" s="451"/>
      <c r="N693" s="451"/>
      <c r="O693" s="451"/>
      <c r="P693" s="451"/>
      <c r="Q693" s="451"/>
      <c r="R693" s="451"/>
      <c r="S693" s="451"/>
      <c r="T693" s="451"/>
      <c r="U693" s="451"/>
      <c r="V693" s="451"/>
      <c r="W693" s="451"/>
      <c r="X693" s="451"/>
      <c r="Y693" s="451"/>
      <c r="Z693" s="451"/>
      <c r="AA693" s="451"/>
      <c r="AB693" s="451"/>
      <c r="AC693" s="451"/>
      <c r="AD693" s="451"/>
      <c r="AE693" s="451"/>
    </row>
    <row r="694">
      <c r="A694" s="461" t="s">
        <v>1610</v>
      </c>
      <c r="B694" s="467" t="s">
        <v>6561</v>
      </c>
      <c r="C694" s="467" t="s">
        <v>5670</v>
      </c>
      <c r="D694" s="467" t="s">
        <v>5658</v>
      </c>
      <c r="E694" s="467" t="s">
        <v>6710</v>
      </c>
      <c r="F694" s="497" t="s">
        <v>6711</v>
      </c>
      <c r="G694" s="498">
        <v>2.0</v>
      </c>
      <c r="H694" s="497" t="s">
        <v>6647</v>
      </c>
      <c r="I694" s="497" t="s">
        <v>2724</v>
      </c>
      <c r="J694" s="497" t="s">
        <v>6244</v>
      </c>
      <c r="K694" s="497" t="s">
        <v>5786</v>
      </c>
      <c r="L694" s="498">
        <v>1.0</v>
      </c>
      <c r="M694" s="497" t="s">
        <v>6118</v>
      </c>
      <c r="N694" s="497" t="s">
        <v>6712</v>
      </c>
      <c r="O694" s="498">
        <v>362.0</v>
      </c>
      <c r="P694" s="497" t="s">
        <v>6713</v>
      </c>
      <c r="Q694" s="499"/>
      <c r="R694" s="500"/>
      <c r="S694" s="500"/>
      <c r="T694" s="500"/>
      <c r="U694" s="500"/>
      <c r="V694" s="500"/>
      <c r="W694" s="500"/>
      <c r="X694" s="500"/>
      <c r="Y694" s="500"/>
      <c r="Z694" s="500"/>
      <c r="AA694" s="500"/>
      <c r="AB694" s="500"/>
      <c r="AC694" s="500"/>
      <c r="AD694" s="500"/>
      <c r="AE694" s="497"/>
    </row>
    <row r="695">
      <c r="A695" s="461" t="s">
        <v>5296</v>
      </c>
      <c r="B695" s="467" t="s">
        <v>6096</v>
      </c>
      <c r="C695" s="467" t="s">
        <v>5671</v>
      </c>
      <c r="D695" s="467" t="s">
        <v>5658</v>
      </c>
      <c r="E695" s="467" t="s">
        <v>6710</v>
      </c>
      <c r="F695" s="271" t="s">
        <v>5951</v>
      </c>
      <c r="G695" s="451"/>
      <c r="H695" s="451"/>
      <c r="I695" s="451"/>
      <c r="J695" s="451"/>
      <c r="K695" s="451"/>
      <c r="L695" s="451"/>
      <c r="M695" s="451"/>
      <c r="N695" s="451"/>
      <c r="O695" s="451"/>
      <c r="P695" s="451"/>
      <c r="Q695" s="451"/>
      <c r="R695" s="451"/>
      <c r="S695" s="451"/>
      <c r="T695" s="451"/>
      <c r="U695" s="451"/>
      <c r="V695" s="451"/>
      <c r="W695" s="451"/>
      <c r="X695" s="451"/>
      <c r="Y695" s="451"/>
      <c r="Z695" s="451"/>
      <c r="AA695" s="451"/>
      <c r="AB695" s="451"/>
      <c r="AC695" s="451"/>
      <c r="AD695" s="451"/>
      <c r="AE695" s="451"/>
    </row>
    <row r="696">
      <c r="A696" s="461" t="s">
        <v>5297</v>
      </c>
      <c r="B696" s="467" t="s">
        <v>6110</v>
      </c>
      <c r="C696" s="467" t="s">
        <v>5682</v>
      </c>
      <c r="D696" s="467" t="s">
        <v>5658</v>
      </c>
      <c r="E696" s="467" t="s">
        <v>6710</v>
      </c>
      <c r="F696" s="497" t="s">
        <v>6714</v>
      </c>
      <c r="G696" s="498">
        <v>2.0</v>
      </c>
      <c r="H696" s="497" t="s">
        <v>6647</v>
      </c>
      <c r="I696" s="497" t="s">
        <v>2698</v>
      </c>
      <c r="J696" s="497" t="s">
        <v>6051</v>
      </c>
      <c r="K696" s="497" t="s">
        <v>5721</v>
      </c>
      <c r="L696" s="498">
        <v>1.0</v>
      </c>
      <c r="M696" s="497" t="s">
        <v>5763</v>
      </c>
      <c r="N696" s="497" t="s">
        <v>6715</v>
      </c>
      <c r="O696" s="498">
        <v>294.0</v>
      </c>
      <c r="P696" s="497" t="s">
        <v>6716</v>
      </c>
      <c r="Q696" s="499"/>
      <c r="R696" s="500"/>
      <c r="S696" s="500"/>
      <c r="T696" s="500"/>
      <c r="U696" s="500"/>
      <c r="V696" s="500"/>
      <c r="W696" s="500"/>
      <c r="X696" s="500"/>
      <c r="Y696" s="500"/>
      <c r="Z696" s="500"/>
      <c r="AA696" s="500"/>
      <c r="AB696" s="500"/>
      <c r="AC696" s="500"/>
      <c r="AD696" s="500"/>
      <c r="AE696" s="497"/>
    </row>
    <row r="697">
      <c r="A697" s="461" t="s">
        <v>5300</v>
      </c>
      <c r="B697" s="467" t="s">
        <v>6482</v>
      </c>
      <c r="C697" s="467" t="s">
        <v>5664</v>
      </c>
      <c r="D697" s="467" t="s">
        <v>6717</v>
      </c>
      <c r="E697" s="467" t="s">
        <v>6718</v>
      </c>
      <c r="F697" s="497" t="s">
        <v>6719</v>
      </c>
      <c r="G697" s="498">
        <v>2.0</v>
      </c>
      <c r="H697" s="497" t="s">
        <v>6647</v>
      </c>
      <c r="I697" s="497" t="s">
        <v>2715</v>
      </c>
      <c r="J697" s="497" t="s">
        <v>6373</v>
      </c>
      <c r="K697" s="497" t="s">
        <v>5754</v>
      </c>
      <c r="L697" s="498">
        <v>1.0</v>
      </c>
      <c r="M697" s="497" t="s">
        <v>6720</v>
      </c>
      <c r="N697" s="497" t="s">
        <v>6721</v>
      </c>
      <c r="O697" s="498">
        <v>249.0</v>
      </c>
      <c r="P697" s="497" t="s">
        <v>6722</v>
      </c>
      <c r="Q697" s="499"/>
      <c r="R697" s="500"/>
      <c r="S697" s="500"/>
      <c r="T697" s="500"/>
      <c r="U697" s="500"/>
      <c r="V697" s="500"/>
      <c r="W697" s="500"/>
      <c r="X697" s="500"/>
      <c r="Y697" s="500"/>
      <c r="Z697" s="500"/>
      <c r="AA697" s="500"/>
      <c r="AB697" s="500"/>
      <c r="AC697" s="500"/>
      <c r="AD697" s="500"/>
      <c r="AE697" s="497"/>
    </row>
    <row r="698">
      <c r="A698" s="461" t="s">
        <v>1621</v>
      </c>
      <c r="B698" s="467" t="s">
        <v>6116</v>
      </c>
      <c r="C698" s="467" t="s">
        <v>5682</v>
      </c>
      <c r="D698" s="467" t="s">
        <v>6717</v>
      </c>
      <c r="E698" s="467" t="s">
        <v>6718</v>
      </c>
      <c r="F698" s="271" t="s">
        <v>5951</v>
      </c>
      <c r="G698" s="451"/>
      <c r="H698" s="451"/>
      <c r="I698" s="451"/>
      <c r="J698" s="451"/>
      <c r="K698" s="451"/>
      <c r="L698" s="451"/>
      <c r="M698" s="451"/>
      <c r="N698" s="451"/>
      <c r="O698" s="451"/>
      <c r="P698" s="451"/>
      <c r="Q698" s="451"/>
      <c r="R698" s="451"/>
      <c r="S698" s="451"/>
      <c r="T698" s="451"/>
      <c r="U698" s="451"/>
      <c r="V698" s="451"/>
      <c r="W698" s="451"/>
      <c r="X698" s="451"/>
      <c r="Y698" s="451"/>
      <c r="Z698" s="451"/>
      <c r="AA698" s="451"/>
      <c r="AB698" s="451"/>
      <c r="AC698" s="451"/>
      <c r="AD698" s="451"/>
      <c r="AE698" s="451"/>
    </row>
    <row r="699">
      <c r="A699" s="461" t="s">
        <v>5304</v>
      </c>
      <c r="B699" s="518" t="str">
        <f>HYPERLINK("https://cantik.tempo.co/read/1165271/kezia-warouw-ungkap-isi-grup-wa-soal-dugaan-prostitusi-online/full&amp;view=ok","Tempo.co")</f>
        <v>Tempo.co</v>
      </c>
      <c r="C699" s="467" t="s">
        <v>5681</v>
      </c>
      <c r="D699" s="467" t="s">
        <v>5658</v>
      </c>
      <c r="E699" s="467" t="s">
        <v>6718</v>
      </c>
      <c r="F699" s="497" t="s">
        <v>6723</v>
      </c>
      <c r="G699" s="498">
        <v>2.0</v>
      </c>
      <c r="H699" s="497" t="s">
        <v>6647</v>
      </c>
      <c r="I699" s="497" t="s">
        <v>2702</v>
      </c>
      <c r="J699" s="497" t="s">
        <v>6724</v>
      </c>
      <c r="K699" s="497" t="s">
        <v>5750</v>
      </c>
      <c r="L699" s="498">
        <v>1.0</v>
      </c>
      <c r="M699" s="497" t="s">
        <v>5798</v>
      </c>
      <c r="N699" s="497" t="s">
        <v>6725</v>
      </c>
      <c r="O699" s="498">
        <v>385.0</v>
      </c>
      <c r="P699" s="497" t="s">
        <v>6726</v>
      </c>
      <c r="Q699" s="499"/>
      <c r="R699" s="500"/>
      <c r="S699" s="500"/>
      <c r="T699" s="500"/>
      <c r="U699" s="500"/>
      <c r="V699" s="500"/>
      <c r="W699" s="500"/>
      <c r="X699" s="500"/>
      <c r="Y699" s="500"/>
      <c r="Z699" s="500"/>
      <c r="AA699" s="500"/>
      <c r="AB699" s="500"/>
      <c r="AC699" s="500"/>
      <c r="AD699" s="500"/>
      <c r="AE699" s="497"/>
    </row>
    <row r="700">
      <c r="A700" s="461" t="s">
        <v>3563</v>
      </c>
      <c r="B700" s="467" t="s">
        <v>6561</v>
      </c>
      <c r="C700" s="467" t="s">
        <v>5657</v>
      </c>
      <c r="D700" s="467" t="s">
        <v>5658</v>
      </c>
      <c r="E700" s="467" t="s">
        <v>6710</v>
      </c>
      <c r="F700" s="497" t="s">
        <v>6727</v>
      </c>
      <c r="G700" s="498">
        <v>2.0</v>
      </c>
      <c r="H700" s="497" t="s">
        <v>6647</v>
      </c>
      <c r="I700" s="497" t="s">
        <v>2724</v>
      </c>
      <c r="J700" s="497" t="s">
        <v>6571</v>
      </c>
      <c r="K700" s="497" t="s">
        <v>5711</v>
      </c>
      <c r="L700" s="498">
        <v>1.0</v>
      </c>
      <c r="M700" s="497" t="s">
        <v>5828</v>
      </c>
      <c r="N700" s="497" t="s">
        <v>6728</v>
      </c>
      <c r="O700" s="498">
        <v>216.0</v>
      </c>
      <c r="P700" s="497" t="s">
        <v>6729</v>
      </c>
      <c r="Q700" s="499"/>
      <c r="R700" s="500"/>
      <c r="S700" s="500"/>
      <c r="T700" s="500"/>
      <c r="U700" s="500"/>
      <c r="V700" s="500"/>
      <c r="W700" s="500"/>
      <c r="X700" s="500"/>
      <c r="Y700" s="500"/>
      <c r="Z700" s="500"/>
      <c r="AA700" s="500"/>
      <c r="AB700" s="500"/>
      <c r="AC700" s="500"/>
      <c r="AD700" s="500"/>
      <c r="AE700" s="497"/>
    </row>
    <row r="701">
      <c r="A701" s="461" t="s">
        <v>5305</v>
      </c>
      <c r="B701" s="467" t="s">
        <v>6109</v>
      </c>
      <c r="C701" s="467" t="s">
        <v>5667</v>
      </c>
      <c r="D701" s="467" t="s">
        <v>5658</v>
      </c>
      <c r="E701" s="467" t="s">
        <v>6718</v>
      </c>
      <c r="F701" s="497" t="s">
        <v>6730</v>
      </c>
      <c r="G701" s="498">
        <v>2.0</v>
      </c>
      <c r="H701" s="497" t="s">
        <v>6647</v>
      </c>
      <c r="I701" s="497" t="s">
        <v>2695</v>
      </c>
      <c r="J701" s="497" t="s">
        <v>6731</v>
      </c>
      <c r="K701" s="497" t="s">
        <v>5734</v>
      </c>
      <c r="L701" s="498">
        <v>6.0</v>
      </c>
      <c r="M701" s="497" t="s">
        <v>6317</v>
      </c>
      <c r="N701" s="497" t="s">
        <v>6732</v>
      </c>
      <c r="O701" s="498">
        <v>305.0</v>
      </c>
      <c r="P701" s="497" t="s">
        <v>6733</v>
      </c>
      <c r="Q701" s="500"/>
      <c r="R701" s="500"/>
      <c r="S701" s="500"/>
      <c r="T701" s="500"/>
      <c r="U701" s="500"/>
      <c r="V701" s="500"/>
      <c r="W701" s="500"/>
      <c r="X701" s="500"/>
      <c r="Y701" s="500"/>
      <c r="Z701" s="500"/>
      <c r="AA701" s="500"/>
      <c r="AB701" s="500"/>
      <c r="AC701" s="500"/>
      <c r="AD701" s="500"/>
      <c r="AE701" s="497"/>
    </row>
    <row r="702">
      <c r="A702" s="461" t="s">
        <v>5306</v>
      </c>
      <c r="B702" s="467" t="s">
        <v>6532</v>
      </c>
      <c r="C702" s="467" t="s">
        <v>5667</v>
      </c>
      <c r="D702" s="467" t="s">
        <v>6717</v>
      </c>
      <c r="E702" s="467" t="s">
        <v>6710</v>
      </c>
      <c r="F702" s="497" t="s">
        <v>6734</v>
      </c>
      <c r="G702" s="498">
        <v>2.0</v>
      </c>
      <c r="H702" s="497" t="s">
        <v>6647</v>
      </c>
      <c r="I702" s="497" t="s">
        <v>2740</v>
      </c>
      <c r="J702" s="497" t="s">
        <v>6735</v>
      </c>
      <c r="K702" s="497" t="s">
        <v>5734</v>
      </c>
      <c r="L702" s="498">
        <v>1.0</v>
      </c>
      <c r="M702" s="497" t="s">
        <v>5712</v>
      </c>
      <c r="N702" s="497" t="s">
        <v>6736</v>
      </c>
      <c r="O702" s="498">
        <v>410.0</v>
      </c>
      <c r="P702" s="497" t="s">
        <v>6737</v>
      </c>
      <c r="Q702" s="500"/>
      <c r="R702" s="500"/>
      <c r="S702" s="500"/>
      <c r="T702" s="500"/>
      <c r="U702" s="500"/>
      <c r="V702" s="500"/>
      <c r="W702" s="500"/>
      <c r="X702" s="500"/>
      <c r="Y702" s="500"/>
      <c r="Z702" s="500"/>
      <c r="AA702" s="500"/>
      <c r="AB702" s="500"/>
      <c r="AC702" s="500"/>
      <c r="AD702" s="500"/>
      <c r="AE702" s="497"/>
    </row>
    <row r="703">
      <c r="A703" s="461" t="s">
        <v>5309</v>
      </c>
      <c r="B703" s="467" t="s">
        <v>6109</v>
      </c>
      <c r="C703" s="467" t="s">
        <v>5682</v>
      </c>
      <c r="D703" s="467" t="s">
        <v>5658</v>
      </c>
      <c r="E703" s="467" t="s">
        <v>6710</v>
      </c>
      <c r="F703" s="497" t="s">
        <v>6738</v>
      </c>
      <c r="G703" s="498">
        <v>2.0</v>
      </c>
      <c r="H703" s="497" t="s">
        <v>6647</v>
      </c>
      <c r="I703" s="497" t="s">
        <v>2695</v>
      </c>
      <c r="J703" s="497" t="s">
        <v>6051</v>
      </c>
      <c r="K703" s="497" t="s">
        <v>5721</v>
      </c>
      <c r="L703" s="498">
        <v>1.0</v>
      </c>
      <c r="M703" s="497" t="s">
        <v>5722</v>
      </c>
      <c r="N703" s="497" t="s">
        <v>6739</v>
      </c>
      <c r="O703" s="498">
        <v>446.0</v>
      </c>
      <c r="P703" s="497" t="s">
        <v>6740</v>
      </c>
      <c r="Q703" s="500"/>
      <c r="R703" s="500"/>
      <c r="S703" s="500"/>
      <c r="T703" s="500"/>
      <c r="U703" s="500"/>
      <c r="V703" s="500"/>
      <c r="W703" s="500"/>
      <c r="X703" s="500"/>
      <c r="Y703" s="500"/>
      <c r="Z703" s="500"/>
      <c r="AA703" s="500"/>
      <c r="AB703" s="500"/>
      <c r="AC703" s="500"/>
      <c r="AD703" s="500"/>
      <c r="AE703" s="497"/>
    </row>
    <row r="704">
      <c r="A704" s="461" t="s">
        <v>5310</v>
      </c>
      <c r="B704" s="467" t="s">
        <v>6482</v>
      </c>
      <c r="C704" s="467" t="s">
        <v>5657</v>
      </c>
      <c r="D704" s="467" t="s">
        <v>5658</v>
      </c>
      <c r="E704" s="467" t="s">
        <v>6710</v>
      </c>
      <c r="F704" s="271" t="s">
        <v>5951</v>
      </c>
      <c r="G704" s="451"/>
      <c r="H704" s="451"/>
      <c r="I704" s="451"/>
      <c r="J704" s="451"/>
      <c r="K704" s="451"/>
      <c r="L704" s="451"/>
      <c r="M704" s="451"/>
      <c r="N704" s="451"/>
      <c r="O704" s="451"/>
      <c r="P704" s="451"/>
      <c r="Q704" s="451"/>
      <c r="R704" s="451"/>
      <c r="S704" s="451"/>
      <c r="T704" s="451"/>
      <c r="U704" s="451"/>
      <c r="V704" s="451"/>
      <c r="W704" s="451"/>
      <c r="X704" s="451"/>
      <c r="Y704" s="451"/>
      <c r="Z704" s="451"/>
      <c r="AA704" s="451"/>
      <c r="AB704" s="451"/>
      <c r="AC704" s="451"/>
      <c r="AD704" s="451"/>
      <c r="AE704" s="451"/>
    </row>
    <row r="705">
      <c r="A705" s="461" t="s">
        <v>5311</v>
      </c>
      <c r="B705" s="518" t="str">
        <f>HYPERLINK("https://cantik.tempo.co/read/1170652/pilihan-fashion-jessie-amalia-suka-main-warna-dan-kasual/full&amp;view=ok","Tempo.co")</f>
        <v>Tempo.co</v>
      </c>
      <c r="C705" s="467" t="s">
        <v>6489</v>
      </c>
      <c r="D705" s="467" t="s">
        <v>5658</v>
      </c>
      <c r="E705" s="467" t="s">
        <v>6718</v>
      </c>
      <c r="F705" s="497" t="s">
        <v>1632</v>
      </c>
      <c r="G705" s="498">
        <v>2.0</v>
      </c>
      <c r="H705" s="497" t="s">
        <v>6647</v>
      </c>
      <c r="I705" s="497" t="s">
        <v>2702</v>
      </c>
      <c r="J705" s="497" t="s">
        <v>6373</v>
      </c>
      <c r="K705" s="497" t="s">
        <v>5754</v>
      </c>
      <c r="L705" s="498">
        <v>1.0</v>
      </c>
      <c r="M705" s="497" t="s">
        <v>5798</v>
      </c>
      <c r="N705" s="497" t="s">
        <v>6741</v>
      </c>
      <c r="O705" s="498">
        <v>338.0</v>
      </c>
      <c r="P705" s="497" t="s">
        <v>6742</v>
      </c>
      <c r="Q705" s="499"/>
      <c r="R705" s="500"/>
      <c r="S705" s="500"/>
      <c r="T705" s="500"/>
      <c r="U705" s="500"/>
      <c r="V705" s="500"/>
      <c r="W705" s="500"/>
      <c r="X705" s="500"/>
      <c r="Y705" s="500"/>
      <c r="Z705" s="500"/>
      <c r="AA705" s="500"/>
      <c r="AB705" s="500"/>
      <c r="AC705" s="500"/>
      <c r="AD705" s="500"/>
      <c r="AE705" s="497"/>
    </row>
    <row r="706">
      <c r="A706" s="461" t="s">
        <v>5314</v>
      </c>
      <c r="B706" s="467" t="s">
        <v>6532</v>
      </c>
      <c r="C706" s="467" t="s">
        <v>5657</v>
      </c>
      <c r="D706" s="467" t="s">
        <v>5668</v>
      </c>
      <c r="E706" s="467" t="s">
        <v>6710</v>
      </c>
      <c r="F706" s="497" t="s">
        <v>6743</v>
      </c>
      <c r="G706" s="498">
        <v>2.0</v>
      </c>
      <c r="H706" s="497" t="s">
        <v>6647</v>
      </c>
      <c r="I706" s="497" t="s">
        <v>2740</v>
      </c>
      <c r="J706" s="497" t="s">
        <v>6008</v>
      </c>
      <c r="K706" s="497" t="s">
        <v>5711</v>
      </c>
      <c r="L706" s="498">
        <v>2.0</v>
      </c>
      <c r="M706" s="497" t="s">
        <v>6744</v>
      </c>
      <c r="N706" s="497" t="s">
        <v>6745</v>
      </c>
      <c r="O706" s="498">
        <v>276.0</v>
      </c>
      <c r="P706" s="497" t="s">
        <v>6746</v>
      </c>
      <c r="Q706" s="500"/>
      <c r="R706" s="500"/>
      <c r="S706" s="500"/>
      <c r="T706" s="500"/>
      <c r="U706" s="500"/>
      <c r="V706" s="500"/>
      <c r="W706" s="500"/>
      <c r="X706" s="500"/>
      <c r="Y706" s="500"/>
      <c r="Z706" s="500"/>
      <c r="AA706" s="500"/>
      <c r="AB706" s="500"/>
      <c r="AC706" s="500"/>
      <c r="AD706" s="500"/>
      <c r="AE706" s="497"/>
    </row>
    <row r="707">
      <c r="A707" s="461" t="s">
        <v>5316</v>
      </c>
      <c r="B707" s="467" t="s">
        <v>6110</v>
      </c>
      <c r="C707" s="467" t="s">
        <v>5657</v>
      </c>
      <c r="D707" s="467" t="s">
        <v>5668</v>
      </c>
      <c r="E707" s="467" t="s">
        <v>6710</v>
      </c>
      <c r="F707" s="516" t="s">
        <v>6747</v>
      </c>
      <c r="G707" s="498">
        <v>2.0</v>
      </c>
      <c r="H707" s="497" t="s">
        <v>6647</v>
      </c>
      <c r="I707" s="497" t="s">
        <v>2698</v>
      </c>
      <c r="J707" s="497" t="s">
        <v>6600</v>
      </c>
      <c r="K707" s="497" t="s">
        <v>5711</v>
      </c>
      <c r="L707" s="498">
        <v>2.0</v>
      </c>
      <c r="M707" s="497" t="s">
        <v>5763</v>
      </c>
      <c r="N707" s="497" t="s">
        <v>6748</v>
      </c>
      <c r="O707" s="498">
        <v>358.0</v>
      </c>
      <c r="P707" s="497" t="s">
        <v>6749</v>
      </c>
      <c r="Q707" s="499"/>
      <c r="R707" s="500"/>
      <c r="S707" s="500"/>
      <c r="T707" s="500"/>
      <c r="U707" s="500"/>
      <c r="V707" s="500"/>
      <c r="W707" s="500"/>
      <c r="X707" s="500"/>
      <c r="Y707" s="500"/>
      <c r="Z707" s="500"/>
      <c r="AA707" s="500"/>
      <c r="AB707" s="500"/>
      <c r="AC707" s="500"/>
      <c r="AD707" s="500"/>
      <c r="AE707" s="497"/>
    </row>
    <row r="708">
      <c r="A708" s="495" t="s">
        <v>6750</v>
      </c>
      <c r="B708" s="518" t="str">
        <f>HYPERLINK("https://tirto.id/met-gala-2019-tema-serius-atau-sekadar-pesta-yang-jelas-viral-dwZ7","Tirto")</f>
        <v>Tirto</v>
      </c>
      <c r="C708" s="467" t="s">
        <v>5667</v>
      </c>
      <c r="D708" s="467" t="s">
        <v>5692</v>
      </c>
      <c r="E708" s="467" t="s">
        <v>6241</v>
      </c>
      <c r="F708" s="497" t="s">
        <v>1520</v>
      </c>
      <c r="G708" s="498">
        <v>2.0</v>
      </c>
      <c r="H708" s="497" t="s">
        <v>6243</v>
      </c>
      <c r="I708" s="497" t="s">
        <v>2704</v>
      </c>
      <c r="J708" s="497" t="s">
        <v>1521</v>
      </c>
      <c r="K708" s="497" t="s">
        <v>5734</v>
      </c>
      <c r="L708" s="498">
        <v>5.0</v>
      </c>
      <c r="M708" s="497" t="s">
        <v>6322</v>
      </c>
      <c r="N708" s="497" t="s">
        <v>6751</v>
      </c>
      <c r="O708" s="498">
        <v>406.0</v>
      </c>
      <c r="P708" s="497" t="s">
        <v>6752</v>
      </c>
      <c r="Q708" s="499"/>
      <c r="R708" s="500"/>
      <c r="S708" s="500"/>
      <c r="T708" s="500"/>
      <c r="U708" s="500"/>
      <c r="V708" s="500"/>
      <c r="W708" s="500"/>
      <c r="X708" s="500"/>
      <c r="Y708" s="500"/>
      <c r="Z708" s="500"/>
      <c r="AA708" s="500"/>
      <c r="AB708" s="500"/>
      <c r="AC708" s="500"/>
      <c r="AD708" s="500"/>
      <c r="AE708" s="497"/>
    </row>
    <row r="709">
      <c r="A709" s="495" t="s">
        <v>6753</v>
      </c>
      <c r="B709" s="518" t="str">
        <f>HYPERLINK("https://www.suara.com/entertainment/2019/05/11/211443/nyanyi-lagu-dengan-gaya-nakal-syahrini-habis-di-bully-warganet","Suara")</f>
        <v>Suara</v>
      </c>
      <c r="C709" s="467" t="s">
        <v>5670</v>
      </c>
      <c r="D709" s="467" t="s">
        <v>5692</v>
      </c>
      <c r="E709" s="467" t="s">
        <v>6241</v>
      </c>
      <c r="F709" s="497" t="s">
        <v>1523</v>
      </c>
      <c r="G709" s="498">
        <v>2.0</v>
      </c>
      <c r="H709" s="497" t="s">
        <v>6243</v>
      </c>
      <c r="I709" s="497" t="s">
        <v>2698</v>
      </c>
      <c r="J709" s="497" t="s">
        <v>1524</v>
      </c>
      <c r="K709" s="497" t="s">
        <v>5786</v>
      </c>
      <c r="L709" s="498">
        <v>5.0</v>
      </c>
      <c r="M709" s="497" t="s">
        <v>5790</v>
      </c>
      <c r="N709" s="497" t="s">
        <v>6754</v>
      </c>
      <c r="O709" s="498">
        <v>243.0</v>
      </c>
      <c r="P709" s="497" t="s">
        <v>6755</v>
      </c>
      <c r="Q709" s="499"/>
      <c r="R709" s="500"/>
      <c r="S709" s="500"/>
      <c r="T709" s="500"/>
      <c r="U709" s="500"/>
      <c r="V709" s="500"/>
      <c r="W709" s="500"/>
      <c r="X709" s="500"/>
      <c r="Y709" s="500"/>
      <c r="Z709" s="500"/>
      <c r="AA709" s="500"/>
      <c r="AB709" s="500"/>
      <c r="AC709" s="500"/>
      <c r="AD709" s="500"/>
      <c r="AE709" s="497"/>
    </row>
    <row r="710">
      <c r="A710" s="511" t="s">
        <v>5319</v>
      </c>
      <c r="B710" s="518" t="str">
        <f>HYPERLINK("https://tirto.id/klub-burning-sun-akan-ditutup-usai-seungri-bigbang-hengkang-dhbo","tirto")</f>
        <v>tirto</v>
      </c>
      <c r="C710" s="467" t="s">
        <v>5670</v>
      </c>
      <c r="D710" s="467" t="s">
        <v>5668</v>
      </c>
      <c r="E710" s="467" t="s">
        <v>6756</v>
      </c>
      <c r="F710" s="497" t="s">
        <v>6757</v>
      </c>
      <c r="G710" s="498">
        <v>2.0</v>
      </c>
      <c r="H710" s="497" t="s">
        <v>6647</v>
      </c>
      <c r="I710" s="497" t="s">
        <v>2704</v>
      </c>
      <c r="J710" s="497" t="s">
        <v>6012</v>
      </c>
      <c r="K710" s="497" t="s">
        <v>5786</v>
      </c>
      <c r="L710" s="498">
        <v>2.0</v>
      </c>
      <c r="M710" s="497" t="s">
        <v>6758</v>
      </c>
      <c r="N710" s="497" t="s">
        <v>6759</v>
      </c>
      <c r="O710" s="498">
        <v>2071.0</v>
      </c>
      <c r="P710" s="497" t="s">
        <v>6760</v>
      </c>
      <c r="Q710" s="499"/>
      <c r="R710" s="500"/>
      <c r="S710" s="500"/>
      <c r="T710" s="500"/>
      <c r="U710" s="500"/>
      <c r="V710" s="500"/>
      <c r="W710" s="500"/>
      <c r="X710" s="500"/>
      <c r="Y710" s="500"/>
      <c r="Z710" s="500"/>
      <c r="AA710" s="500"/>
      <c r="AB710" s="500"/>
      <c r="AC710" s="500"/>
      <c r="AD710" s="500"/>
      <c r="AE710" s="497"/>
    </row>
    <row r="711">
      <c r="A711" s="527" t="s">
        <v>5325</v>
      </c>
      <c r="B711" s="518" t="str">
        <f>HYPERLINK("https://www.suara.com/bola/2019/02/23/231523/escobar-siap-gantikan-peran-marko-simic-di-lini-depan-persija-jakarta","Suara")</f>
        <v>Suara</v>
      </c>
      <c r="C711" s="467" t="s">
        <v>5670</v>
      </c>
      <c r="D711" s="467" t="s">
        <v>5668</v>
      </c>
      <c r="E711" s="467" t="s">
        <v>6710</v>
      </c>
      <c r="F711" s="271" t="s">
        <v>5951</v>
      </c>
      <c r="G711" s="451"/>
      <c r="H711" s="451"/>
      <c r="I711" s="451"/>
      <c r="J711" s="451"/>
      <c r="K711" s="451"/>
      <c r="L711" s="451"/>
      <c r="M711" s="451"/>
      <c r="N711" s="451"/>
      <c r="O711" s="451"/>
      <c r="P711" s="451"/>
      <c r="Q711" s="451"/>
      <c r="R711" s="451"/>
      <c r="S711" s="451"/>
      <c r="T711" s="451"/>
      <c r="U711" s="451"/>
      <c r="V711" s="451"/>
      <c r="W711" s="451"/>
      <c r="X711" s="451"/>
      <c r="Y711" s="451"/>
      <c r="Z711" s="451"/>
      <c r="AA711" s="451"/>
      <c r="AB711" s="451"/>
      <c r="AC711" s="451"/>
      <c r="AD711" s="451"/>
      <c r="AE711" s="451"/>
    </row>
    <row r="712">
      <c r="A712" s="528" t="s">
        <v>6761</v>
      </c>
      <c r="B712" s="518" t="str">
        <f>HYPERLINK("https://www.cnnindonesia.com/gaya-hidup/20190528135021-255-399106/who-kelelahan-akibat-kerja-harus-mendapatkan-perawatan-medis","CNN")</f>
        <v>CNN</v>
      </c>
      <c r="C712" s="467" t="s">
        <v>5671</v>
      </c>
      <c r="D712" s="467" t="s">
        <v>5705</v>
      </c>
      <c r="E712" s="467" t="s">
        <v>6241</v>
      </c>
      <c r="F712" s="497" t="s">
        <v>4411</v>
      </c>
      <c r="G712" s="498">
        <v>2.0</v>
      </c>
      <c r="H712" s="497" t="s">
        <v>6243</v>
      </c>
      <c r="I712" s="497" t="s">
        <v>2695</v>
      </c>
      <c r="J712" s="497" t="s">
        <v>5958</v>
      </c>
      <c r="K712" s="497" t="s">
        <v>5729</v>
      </c>
      <c r="L712" s="498">
        <v>6.0</v>
      </c>
      <c r="M712" s="497" t="s">
        <v>5879</v>
      </c>
      <c r="N712" s="497" t="s">
        <v>6762</v>
      </c>
      <c r="O712" s="498">
        <v>400.0</v>
      </c>
      <c r="P712" s="497" t="s">
        <v>6763</v>
      </c>
      <c r="Q712" s="500"/>
      <c r="R712" s="500"/>
      <c r="S712" s="500"/>
      <c r="T712" s="500"/>
      <c r="U712" s="500"/>
      <c r="V712" s="500"/>
      <c r="W712" s="500"/>
      <c r="X712" s="500"/>
      <c r="Y712" s="500"/>
      <c r="Z712" s="500"/>
      <c r="AA712" s="500"/>
      <c r="AB712" s="500"/>
      <c r="AC712" s="500"/>
      <c r="AD712" s="500"/>
      <c r="AE712" s="497"/>
    </row>
    <row r="713">
      <c r="A713" s="528" t="s">
        <v>4413</v>
      </c>
      <c r="B713" s="467" t="s">
        <v>6116</v>
      </c>
      <c r="C713" s="467" t="s">
        <v>5671</v>
      </c>
      <c r="D713" s="467" t="s">
        <v>5705</v>
      </c>
      <c r="E713" s="467" t="s">
        <v>6241</v>
      </c>
      <c r="F713" s="271" t="s">
        <v>5951</v>
      </c>
      <c r="G713" s="451"/>
      <c r="H713" s="451"/>
      <c r="I713" s="451"/>
      <c r="J713" s="451"/>
      <c r="K713" s="451"/>
      <c r="L713" s="451"/>
      <c r="M713" s="451"/>
      <c r="N713" s="451"/>
      <c r="O713" s="451"/>
      <c r="P713" s="451"/>
      <c r="Q713" s="451"/>
      <c r="R713" s="451"/>
      <c r="S713" s="451"/>
      <c r="T713" s="451"/>
      <c r="U713" s="451"/>
      <c r="V713" s="451"/>
      <c r="W713" s="451"/>
      <c r="X713" s="451"/>
      <c r="Y713" s="451"/>
      <c r="Z713" s="451"/>
      <c r="AA713" s="451"/>
      <c r="AB713" s="451"/>
      <c r="AC713" s="451"/>
      <c r="AD713" s="451"/>
      <c r="AE713" s="451"/>
    </row>
    <row r="714">
      <c r="A714" s="528" t="s">
        <v>4417</v>
      </c>
      <c r="B714" s="518" t="str">
        <f>HYPERLINK("https://www.tribunnews.com/nasional/2019/06/03/senin-sore-besok-prabowo-subianto-akan-sambangi-puri-cikeas-sampaikan-belasungkawa-ke-sby","Tribun")</f>
        <v>Tribun</v>
      </c>
      <c r="C714" s="467" t="s">
        <v>5682</v>
      </c>
      <c r="D714" s="467" t="s">
        <v>5705</v>
      </c>
      <c r="E714" s="467" t="s">
        <v>6241</v>
      </c>
      <c r="F714" s="271" t="s">
        <v>5951</v>
      </c>
      <c r="G714" s="451"/>
      <c r="H714" s="451"/>
      <c r="I714" s="451"/>
      <c r="J714" s="451"/>
      <c r="K714" s="451"/>
      <c r="L714" s="451"/>
      <c r="M714" s="451"/>
      <c r="N714" s="451"/>
      <c r="O714" s="451"/>
      <c r="P714" s="451"/>
      <c r="Q714" s="451"/>
      <c r="R714" s="451"/>
      <c r="S714" s="451"/>
      <c r="T714" s="451"/>
      <c r="U714" s="451"/>
      <c r="V714" s="451"/>
      <c r="W714" s="451"/>
      <c r="X714" s="451"/>
      <c r="Y714" s="451"/>
      <c r="Z714" s="451"/>
      <c r="AA714" s="451"/>
      <c r="AB714" s="451"/>
      <c r="AC714" s="451"/>
      <c r="AD714" s="451"/>
      <c r="AE714" s="451"/>
    </row>
    <row r="715">
      <c r="A715" s="528" t="s">
        <v>4424</v>
      </c>
      <c r="B715" s="467" t="s">
        <v>6110</v>
      </c>
      <c r="C715" s="467" t="s">
        <v>5664</v>
      </c>
      <c r="D715" s="467" t="s">
        <v>5705</v>
      </c>
      <c r="E715" s="467" t="s">
        <v>6241</v>
      </c>
      <c r="F715" s="271" t="s">
        <v>5951</v>
      </c>
      <c r="G715" s="451"/>
      <c r="H715" s="451"/>
      <c r="I715" s="451"/>
      <c r="J715" s="451"/>
      <c r="K715" s="451"/>
      <c r="L715" s="451"/>
      <c r="M715" s="451"/>
      <c r="N715" s="451"/>
      <c r="O715" s="451"/>
      <c r="P715" s="451"/>
      <c r="Q715" s="451"/>
      <c r="R715" s="451"/>
      <c r="S715" s="451"/>
      <c r="T715" s="451"/>
      <c r="U715" s="451"/>
      <c r="V715" s="451"/>
      <c r="W715" s="451"/>
      <c r="X715" s="451"/>
      <c r="Y715" s="451"/>
      <c r="Z715" s="451"/>
      <c r="AA715" s="451"/>
      <c r="AB715" s="451"/>
      <c r="AC715" s="451"/>
      <c r="AD715" s="451"/>
      <c r="AE715" s="451"/>
    </row>
    <row r="716">
      <c r="A716" s="528" t="s">
        <v>6764</v>
      </c>
      <c r="B716" s="467" t="s">
        <v>6112</v>
      </c>
      <c r="C716" s="467" t="s">
        <v>5682</v>
      </c>
      <c r="D716" s="467" t="s">
        <v>5705</v>
      </c>
      <c r="E716" s="467" t="s">
        <v>6241</v>
      </c>
      <c r="F716" s="497" t="s">
        <v>4428</v>
      </c>
      <c r="G716" s="498">
        <v>2.0</v>
      </c>
      <c r="H716" s="497" t="s">
        <v>6243</v>
      </c>
      <c r="I716" s="497" t="s">
        <v>2707</v>
      </c>
      <c r="J716" s="497" t="s">
        <v>1352</v>
      </c>
      <c r="K716" s="497" t="s">
        <v>5721</v>
      </c>
      <c r="L716" s="498">
        <v>7.0</v>
      </c>
      <c r="M716" s="497" t="s">
        <v>6765</v>
      </c>
      <c r="N716" s="497" t="s">
        <v>6766</v>
      </c>
      <c r="O716" s="498">
        <v>508.0</v>
      </c>
      <c r="P716" s="497" t="s">
        <v>6767</v>
      </c>
      <c r="Q716" s="499"/>
      <c r="R716" s="500"/>
      <c r="S716" s="500"/>
      <c r="T716" s="500"/>
      <c r="U716" s="500"/>
      <c r="V716" s="500"/>
      <c r="W716" s="500"/>
      <c r="X716" s="500"/>
      <c r="Y716" s="500"/>
      <c r="Z716" s="500"/>
      <c r="AA716" s="500"/>
      <c r="AB716" s="500"/>
      <c r="AC716" s="500"/>
      <c r="AD716" s="500"/>
      <c r="AE716" s="497"/>
    </row>
    <row r="717">
      <c r="A717" s="528" t="s">
        <v>6768</v>
      </c>
      <c r="B717" s="518" t="str">
        <f>HYPERLINK("https://entertainment.kompas.com/read/2019/06/22/204320910/luna-maya-gue-bukan-banci-tampil","Kkompas")</f>
        <v>Kkompas</v>
      </c>
      <c r="C717" s="467" t="s">
        <v>5670</v>
      </c>
      <c r="D717" s="467" t="s">
        <v>5705</v>
      </c>
      <c r="E717" s="467" t="s">
        <v>6241</v>
      </c>
      <c r="F717" s="497" t="s">
        <v>4432</v>
      </c>
      <c r="G717" s="498">
        <v>2.0</v>
      </c>
      <c r="H717" s="497" t="s">
        <v>6243</v>
      </c>
      <c r="I717" s="497" t="s">
        <v>2724</v>
      </c>
      <c r="J717" s="497" t="s">
        <v>6182</v>
      </c>
      <c r="K717" s="497" t="s">
        <v>5786</v>
      </c>
      <c r="L717" s="498">
        <v>6.0</v>
      </c>
      <c r="M717" s="497" t="s">
        <v>5879</v>
      </c>
      <c r="N717" s="497" t="s">
        <v>6769</v>
      </c>
      <c r="O717" s="498">
        <v>399.0</v>
      </c>
      <c r="P717" s="497" t="s">
        <v>6770</v>
      </c>
      <c r="Q717" s="499"/>
      <c r="R717" s="500"/>
      <c r="S717" s="500"/>
      <c r="T717" s="500"/>
      <c r="U717" s="500"/>
      <c r="V717" s="500"/>
      <c r="W717" s="500"/>
      <c r="X717" s="500"/>
      <c r="Y717" s="500"/>
      <c r="Z717" s="500"/>
      <c r="AA717" s="500"/>
      <c r="AB717" s="500"/>
      <c r="AC717" s="500"/>
      <c r="AD717" s="500"/>
      <c r="AE717" s="497"/>
    </row>
    <row r="718">
      <c r="A718" s="528" t="s">
        <v>4434</v>
      </c>
      <c r="B718" s="518" t="str">
        <f>HYPERLINK("https://hot.liputan6.com/read/3995801/deddy-corbuzier-ditanya-soal-sunat-ini-risikonya-jika-dilakukan-saat-dewasa","Liputan6")</f>
        <v>Liputan6</v>
      </c>
      <c r="C718" s="467" t="s">
        <v>5670</v>
      </c>
      <c r="D718" s="467" t="s">
        <v>5705</v>
      </c>
      <c r="E718" s="467" t="s">
        <v>6241</v>
      </c>
      <c r="F718" s="271" t="s">
        <v>5951</v>
      </c>
      <c r="G718" s="451"/>
      <c r="H718" s="451"/>
      <c r="I718" s="451"/>
      <c r="J718" s="451"/>
      <c r="K718" s="451"/>
      <c r="L718" s="451"/>
      <c r="M718" s="451"/>
      <c r="N718" s="451"/>
      <c r="O718" s="451"/>
      <c r="P718" s="451"/>
      <c r="Q718" s="451"/>
      <c r="R718" s="451"/>
      <c r="S718" s="451"/>
      <c r="T718" s="451"/>
      <c r="U718" s="451"/>
      <c r="V718" s="451"/>
      <c r="W718" s="451"/>
      <c r="X718" s="451"/>
      <c r="Y718" s="451"/>
      <c r="Z718" s="451"/>
      <c r="AA718" s="451"/>
      <c r="AB718" s="451"/>
      <c r="AC718" s="451"/>
      <c r="AD718" s="451"/>
      <c r="AE718" s="451"/>
    </row>
    <row r="719">
      <c r="A719" s="528" t="s">
        <v>6771</v>
      </c>
      <c r="B719" s="467" t="s">
        <v>6105</v>
      </c>
      <c r="C719" s="467" t="s">
        <v>5657</v>
      </c>
      <c r="D719" s="467" t="s">
        <v>5705</v>
      </c>
      <c r="E719" s="467" t="s">
        <v>6241</v>
      </c>
      <c r="F719" s="497" t="s">
        <v>4435</v>
      </c>
      <c r="G719" s="498">
        <v>2.0</v>
      </c>
      <c r="H719" s="497" t="s">
        <v>6243</v>
      </c>
      <c r="I719" s="497" t="s">
        <v>2740</v>
      </c>
      <c r="J719" s="497" t="s">
        <v>1331</v>
      </c>
      <c r="K719" s="497" t="s">
        <v>5711</v>
      </c>
      <c r="L719" s="498">
        <v>6.0</v>
      </c>
      <c r="M719" s="497" t="s">
        <v>6772</v>
      </c>
      <c r="N719" s="497" t="s">
        <v>6773</v>
      </c>
      <c r="O719" s="498">
        <v>406.0</v>
      </c>
      <c r="P719" s="497" t="s">
        <v>6774</v>
      </c>
      <c r="Q719" s="500"/>
      <c r="R719" s="500"/>
      <c r="S719" s="500"/>
      <c r="T719" s="500"/>
      <c r="U719" s="500"/>
      <c r="V719" s="500"/>
      <c r="W719" s="500"/>
      <c r="X719" s="500"/>
      <c r="Y719" s="500"/>
      <c r="Z719" s="500"/>
      <c r="AA719" s="500"/>
      <c r="AB719" s="500"/>
      <c r="AC719" s="500"/>
      <c r="AD719" s="500"/>
      <c r="AE719" s="497"/>
    </row>
    <row r="720">
      <c r="A720" s="528" t="s">
        <v>6775</v>
      </c>
      <c r="B720" s="466" t="s">
        <v>5699</v>
      </c>
      <c r="C720" s="467" t="s">
        <v>5667</v>
      </c>
      <c r="D720" s="467" t="s">
        <v>5705</v>
      </c>
      <c r="E720" s="467" t="s">
        <v>6241</v>
      </c>
      <c r="F720" s="321" t="s">
        <v>5700</v>
      </c>
      <c r="G720" s="506"/>
      <c r="H720" s="507"/>
      <c r="I720" s="507"/>
      <c r="J720" s="507"/>
      <c r="K720" s="507"/>
      <c r="L720" s="506"/>
      <c r="M720" s="507"/>
      <c r="N720" s="507"/>
      <c r="O720" s="506"/>
      <c r="P720" s="507"/>
      <c r="Q720" s="508"/>
      <c r="R720" s="509"/>
      <c r="S720" s="509"/>
      <c r="T720" s="509"/>
      <c r="U720" s="509"/>
      <c r="V720" s="509"/>
      <c r="W720" s="509"/>
      <c r="X720" s="509"/>
      <c r="Y720" s="509"/>
      <c r="Z720" s="509"/>
      <c r="AA720" s="509"/>
      <c r="AB720" s="509"/>
      <c r="AC720" s="509"/>
      <c r="AD720" s="509"/>
      <c r="AE720" s="507"/>
    </row>
    <row r="721">
      <c r="A721" s="495" t="s">
        <v>6776</v>
      </c>
      <c r="B721" s="531" t="s">
        <v>6561</v>
      </c>
      <c r="C721" s="531" t="s">
        <v>5681</v>
      </c>
      <c r="D721" s="531" t="s">
        <v>5683</v>
      </c>
      <c r="E721" s="531" t="s">
        <v>6241</v>
      </c>
      <c r="F721" s="497" t="s">
        <v>1488</v>
      </c>
      <c r="G721" s="498">
        <v>2.0</v>
      </c>
      <c r="H721" s="497" t="s">
        <v>6243</v>
      </c>
      <c r="I721" s="497" t="s">
        <v>2724</v>
      </c>
      <c r="J721" s="497" t="s">
        <v>6777</v>
      </c>
      <c r="K721" s="497" t="s">
        <v>5750</v>
      </c>
      <c r="L721" s="498">
        <v>4.0</v>
      </c>
      <c r="M721" s="497" t="s">
        <v>5828</v>
      </c>
      <c r="N721" s="497" t="s">
        <v>6778</v>
      </c>
      <c r="O721" s="498">
        <v>249.0</v>
      </c>
      <c r="P721" s="497" t="s">
        <v>6779</v>
      </c>
      <c r="Q721" s="499"/>
      <c r="R721" s="500"/>
      <c r="S721" s="500"/>
      <c r="T721" s="500"/>
      <c r="U721" s="500"/>
      <c r="V721" s="500"/>
      <c r="W721" s="500"/>
      <c r="X721" s="500"/>
      <c r="Y721" s="500"/>
      <c r="Z721" s="500"/>
      <c r="AA721" s="500"/>
      <c r="AB721" s="500"/>
      <c r="AC721" s="500"/>
      <c r="AD721" s="500"/>
      <c r="AE721" s="497"/>
    </row>
    <row r="722">
      <c r="A722" s="495" t="s">
        <v>6780</v>
      </c>
      <c r="B722" s="532" t="str">
        <f>HYPERLINK("https://www.cnnindonesia.com/olahraga/20190529135915-156-399465/valentino-rossi-tersukses-di-motogp-italia","CNN")</f>
        <v>CNN</v>
      </c>
      <c r="C722" s="531" t="s">
        <v>5657</v>
      </c>
      <c r="D722" s="531" t="s">
        <v>5692</v>
      </c>
      <c r="E722" s="531" t="s">
        <v>6241</v>
      </c>
      <c r="F722" s="497" t="s">
        <v>1542</v>
      </c>
      <c r="G722" s="498">
        <v>2.0</v>
      </c>
      <c r="H722" s="497" t="s">
        <v>6243</v>
      </c>
      <c r="I722" s="497" t="s">
        <v>2695</v>
      </c>
      <c r="J722" s="497" t="s">
        <v>6781</v>
      </c>
      <c r="K722" s="497" t="s">
        <v>5711</v>
      </c>
      <c r="L722" s="498">
        <v>6.0</v>
      </c>
      <c r="M722" s="497" t="s">
        <v>6270</v>
      </c>
      <c r="N722" s="497" t="s">
        <v>6782</v>
      </c>
      <c r="O722" s="498">
        <v>295.0</v>
      </c>
      <c r="P722" s="497" t="s">
        <v>6783</v>
      </c>
      <c r="Q722" s="500"/>
      <c r="R722" s="500"/>
      <c r="S722" s="500"/>
      <c r="T722" s="500"/>
      <c r="U722" s="500"/>
      <c r="V722" s="500"/>
      <c r="W722" s="500"/>
      <c r="X722" s="500"/>
      <c r="Y722" s="500"/>
      <c r="Z722" s="500"/>
      <c r="AA722" s="500"/>
      <c r="AB722" s="500"/>
      <c r="AC722" s="500"/>
      <c r="AD722" s="500"/>
      <c r="AE722" s="497"/>
    </row>
    <row r="723">
      <c r="A723" s="495" t="s">
        <v>1544</v>
      </c>
      <c r="B723" s="532" t="str">
        <f>HYPERLINK("https://tekno.tempo.co/read/1211567/manusia-prasejarah-lukis-letusan-gunung-berapi-di-batu/full&amp;view=ok","Tempo.co")</f>
        <v>Tempo.co</v>
      </c>
      <c r="C723" s="531" t="s">
        <v>5671</v>
      </c>
      <c r="D723" s="531" t="s">
        <v>5705</v>
      </c>
      <c r="E723" s="531" t="s">
        <v>6241</v>
      </c>
      <c r="F723" s="271" t="s">
        <v>5951</v>
      </c>
    </row>
    <row r="724">
      <c r="A724" s="495" t="s">
        <v>1545</v>
      </c>
      <c r="B724" s="532" t="str">
        <f>HYPERLINK("https://celebrity.okezone.com/read/2019/06/14/33/2066514/tak-hanya-elvy-sukaesih-wirdha-3-artis-pernah-berseteru-dengan-sang-ibu","Okezone")</f>
        <v>Okezone</v>
      </c>
      <c r="C724" s="531" t="s">
        <v>5671</v>
      </c>
      <c r="D724" s="531" t="s">
        <v>5705</v>
      </c>
      <c r="E724" s="531" t="s">
        <v>6241</v>
      </c>
      <c r="F724" s="271" t="s">
        <v>5951</v>
      </c>
    </row>
    <row r="725">
      <c r="A725" s="495" t="s">
        <v>6784</v>
      </c>
      <c r="B725" s="531" t="s">
        <v>6488</v>
      </c>
      <c r="C725" s="531" t="s">
        <v>5664</v>
      </c>
      <c r="D725" s="531" t="s">
        <v>5705</v>
      </c>
      <c r="E725" s="531" t="s">
        <v>6241</v>
      </c>
      <c r="F725" s="497" t="s">
        <v>1551</v>
      </c>
      <c r="G725" s="498">
        <v>2.0</v>
      </c>
      <c r="H725" s="497" t="s">
        <v>6243</v>
      </c>
      <c r="I725" s="497" t="s">
        <v>2704</v>
      </c>
      <c r="J725" s="497" t="s">
        <v>6622</v>
      </c>
      <c r="K725" s="497" t="s">
        <v>5754</v>
      </c>
      <c r="L725" s="498">
        <v>6.0</v>
      </c>
      <c r="M725" s="497" t="s">
        <v>5993</v>
      </c>
      <c r="N725" s="497" t="s">
        <v>6785</v>
      </c>
      <c r="O725" s="498">
        <v>1018.0</v>
      </c>
      <c r="P725" s="497" t="s">
        <v>6786</v>
      </c>
      <c r="Q725" s="499"/>
      <c r="R725" s="500"/>
      <c r="S725" s="500"/>
      <c r="T725" s="500"/>
      <c r="U725" s="500"/>
      <c r="V725" s="500"/>
      <c r="W725" s="500"/>
      <c r="X725" s="500"/>
      <c r="Y725" s="500"/>
      <c r="Z725" s="500"/>
      <c r="AA725" s="500"/>
      <c r="AB725" s="500"/>
      <c r="AC725" s="500"/>
      <c r="AD725" s="500"/>
      <c r="AE725" s="497"/>
    </row>
    <row r="726">
      <c r="A726" s="533" t="s">
        <v>6787</v>
      </c>
      <c r="B726" s="532" t="str">
        <f>HYPERLINK("https://hot.detik.com/celeb/d-4634755/dilaporkan-mantan-kekasih-lucinta-luna-merasa-tak-buat-salah","Detik")</f>
        <v>Detik</v>
      </c>
      <c r="C726" s="531" t="s">
        <v>5682</v>
      </c>
      <c r="D726" s="531" t="s">
        <v>5716</v>
      </c>
      <c r="E726" s="531" t="s">
        <v>6241</v>
      </c>
      <c r="F726" s="497" t="s">
        <v>1582</v>
      </c>
      <c r="G726" s="498">
        <v>2.0</v>
      </c>
      <c r="H726" s="497" t="s">
        <v>6243</v>
      </c>
      <c r="I726" s="497" t="s">
        <v>2740</v>
      </c>
      <c r="J726" s="497" t="s">
        <v>1352</v>
      </c>
      <c r="K726" s="497" t="s">
        <v>5721</v>
      </c>
      <c r="L726" s="498">
        <v>7.0</v>
      </c>
      <c r="M726" s="497" t="s">
        <v>5712</v>
      </c>
      <c r="N726" s="497" t="s">
        <v>6788</v>
      </c>
      <c r="O726" s="498">
        <v>211.0</v>
      </c>
      <c r="P726" s="497" t="s">
        <v>6789</v>
      </c>
      <c r="Q726" s="500"/>
      <c r="R726" s="500"/>
      <c r="S726" s="500"/>
      <c r="T726" s="500"/>
      <c r="U726" s="500"/>
      <c r="V726" s="500"/>
      <c r="W726" s="500"/>
      <c r="X726" s="500"/>
      <c r="Y726" s="500"/>
      <c r="Z726" s="500"/>
      <c r="AA726" s="500"/>
      <c r="AB726" s="500"/>
      <c r="AC726" s="500"/>
      <c r="AD726" s="500"/>
      <c r="AE726" s="497"/>
    </row>
    <row r="727">
      <c r="A727" s="495" t="s">
        <v>1589</v>
      </c>
      <c r="B727" s="532" t="str">
        <f>HYPERLINK("https://nasional.okezone.com/read/2019/08/03/337/2087270/90-persen-pelaku-kejahatan-seksual-pada-anak-merupakan-orang-terdekat","Okezone")</f>
        <v>Okezone</v>
      </c>
      <c r="C727" s="531" t="s">
        <v>5670</v>
      </c>
      <c r="D727" s="531" t="s">
        <v>5719</v>
      </c>
      <c r="E727" s="531" t="s">
        <v>6241</v>
      </c>
      <c r="F727" s="271" t="s">
        <v>5951</v>
      </c>
    </row>
    <row r="728">
      <c r="A728" s="461" t="s">
        <v>609</v>
      </c>
      <c r="B728" s="531" t="s">
        <v>2707</v>
      </c>
      <c r="C728" s="531" t="s">
        <v>5667</v>
      </c>
      <c r="D728" s="531" t="s">
        <v>5705</v>
      </c>
      <c r="E728" s="531" t="s">
        <v>5727</v>
      </c>
      <c r="F728" s="271" t="s">
        <v>5951</v>
      </c>
    </row>
    <row r="729">
      <c r="A729" s="461" t="s">
        <v>610</v>
      </c>
      <c r="B729" s="534" t="s">
        <v>5749</v>
      </c>
      <c r="C729" s="531" t="s">
        <v>5667</v>
      </c>
      <c r="D729" s="531" t="s">
        <v>5705</v>
      </c>
      <c r="E729" s="531" t="s">
        <v>5727</v>
      </c>
      <c r="F729" s="271" t="s">
        <v>5951</v>
      </c>
    </row>
    <row r="730">
      <c r="A730" s="495" t="s">
        <v>6790</v>
      </c>
      <c r="B730" s="532" t="str">
        <f>HYPERLINK("https://www.liputan6.com/lifestyle/read/4050787/video-chanel-gandeng-model-transgender-pertama-di-iklan-kecantikannya","Liputan6")</f>
        <v>Liputan6</v>
      </c>
      <c r="C730" s="531" t="s">
        <v>5667</v>
      </c>
      <c r="D730" s="531" t="s">
        <v>5719</v>
      </c>
      <c r="E730" s="531" t="s">
        <v>6241</v>
      </c>
      <c r="F730" s="497" t="s">
        <v>1603</v>
      </c>
      <c r="G730" s="498">
        <v>2.0</v>
      </c>
      <c r="H730" s="497" t="s">
        <v>6243</v>
      </c>
      <c r="I730" s="497" t="s">
        <v>2692</v>
      </c>
      <c r="J730" s="497" t="s">
        <v>6791</v>
      </c>
      <c r="K730" s="497" t="s">
        <v>5734</v>
      </c>
      <c r="L730" s="498">
        <v>8.0</v>
      </c>
      <c r="M730" s="497" t="s">
        <v>5790</v>
      </c>
      <c r="N730" s="497" t="s">
        <v>6792</v>
      </c>
      <c r="O730" s="498">
        <v>360.0</v>
      </c>
      <c r="P730" s="497" t="s">
        <v>6793</v>
      </c>
      <c r="Q730" s="499"/>
      <c r="R730" s="500"/>
      <c r="S730" s="500"/>
      <c r="T730" s="500"/>
      <c r="U730" s="500"/>
      <c r="V730" s="500"/>
      <c r="W730" s="500"/>
      <c r="X730" s="500"/>
      <c r="Y730" s="500"/>
      <c r="Z730" s="500"/>
      <c r="AA730" s="500"/>
      <c r="AB730" s="500"/>
      <c r="AC730" s="500"/>
      <c r="AD730" s="500"/>
      <c r="AE730" s="497"/>
    </row>
    <row r="731">
      <c r="A731" s="461" t="s">
        <v>5058</v>
      </c>
      <c r="B731" s="531" t="s">
        <v>6109</v>
      </c>
      <c r="C731" s="531" t="s">
        <v>5670</v>
      </c>
      <c r="D731" s="531" t="s">
        <v>5705</v>
      </c>
      <c r="E731" s="531" t="s">
        <v>5727</v>
      </c>
      <c r="F731" s="271" t="s">
        <v>5951</v>
      </c>
    </row>
    <row r="732">
      <c r="A732" s="461" t="s">
        <v>613</v>
      </c>
      <c r="B732" s="531" t="s">
        <v>6110</v>
      </c>
      <c r="C732" s="531" t="s">
        <v>5671</v>
      </c>
      <c r="D732" s="531" t="s">
        <v>5705</v>
      </c>
      <c r="E732" s="531" t="s">
        <v>5727</v>
      </c>
      <c r="F732" s="271" t="s">
        <v>5951</v>
      </c>
    </row>
    <row r="733">
      <c r="A733" s="495" t="s">
        <v>1607</v>
      </c>
      <c r="B733" s="531" t="s">
        <v>6112</v>
      </c>
      <c r="C733" s="531" t="s">
        <v>6794</v>
      </c>
      <c r="D733" s="531" t="s">
        <v>5725</v>
      </c>
      <c r="E733" s="531" t="s">
        <v>6241</v>
      </c>
      <c r="F733" s="228" t="s">
        <v>5951</v>
      </c>
    </row>
    <row r="734">
      <c r="A734" s="495" t="s">
        <v>1656</v>
      </c>
      <c r="B734" s="532" t="str">
        <f>HYPERLINK("https://internasional.republika.co.id/berita/internasional/asia/poo96i320/nestapa-anakanak-afghanistan-di-tengah-bencana-perang","Republika")</f>
        <v>Republika</v>
      </c>
      <c r="C734" s="531" t="s">
        <v>5657</v>
      </c>
      <c r="D734" s="531" t="s">
        <v>5675</v>
      </c>
      <c r="E734" s="531" t="s">
        <v>6795</v>
      </c>
      <c r="F734" s="228" t="s">
        <v>5951</v>
      </c>
    </row>
    <row r="735">
      <c r="A735" s="495" t="s">
        <v>1669</v>
      </c>
      <c r="B735" s="531" t="s">
        <v>6112</v>
      </c>
      <c r="C735" s="531" t="s">
        <v>5671</v>
      </c>
      <c r="D735" s="531" t="s">
        <v>5683</v>
      </c>
      <c r="E735" s="531" t="s">
        <v>6795</v>
      </c>
      <c r="F735" s="228" t="s">
        <v>5951</v>
      </c>
    </row>
    <row r="736">
      <c r="A736" s="461" t="s">
        <v>614</v>
      </c>
      <c r="B736" s="531" t="s">
        <v>6109</v>
      </c>
      <c r="C736" s="531" t="s">
        <v>5681</v>
      </c>
      <c r="D736" s="531" t="s">
        <v>5705</v>
      </c>
      <c r="E736" s="531" t="s">
        <v>5727</v>
      </c>
      <c r="F736" s="271" t="s">
        <v>5951</v>
      </c>
    </row>
    <row r="737">
      <c r="A737" s="461" t="s">
        <v>615</v>
      </c>
      <c r="B737" s="534" t="s">
        <v>6426</v>
      </c>
      <c r="C737" s="531" t="s">
        <v>5664</v>
      </c>
      <c r="D737" s="531" t="s">
        <v>5705</v>
      </c>
      <c r="E737" s="531" t="s">
        <v>5727</v>
      </c>
      <c r="F737" s="271" t="s">
        <v>5951</v>
      </c>
    </row>
    <row r="738">
      <c r="A738" s="461" t="s">
        <v>619</v>
      </c>
      <c r="B738" s="531" t="s">
        <v>6488</v>
      </c>
      <c r="C738" s="531" t="s">
        <v>5667</v>
      </c>
      <c r="D738" s="531" t="s">
        <v>5705</v>
      </c>
      <c r="E738" s="531" t="s">
        <v>5727</v>
      </c>
      <c r="F738" s="271" t="s">
        <v>5951</v>
      </c>
    </row>
    <row r="739">
      <c r="A739" s="461" t="s">
        <v>620</v>
      </c>
      <c r="B739" s="534" t="s">
        <v>5699</v>
      </c>
      <c r="C739" s="531" t="s">
        <v>5671</v>
      </c>
      <c r="D739" s="531" t="s">
        <v>5705</v>
      </c>
      <c r="E739" s="531" t="s">
        <v>5727</v>
      </c>
      <c r="F739" s="271" t="s">
        <v>5951</v>
      </c>
    </row>
    <row r="740">
      <c r="A740" s="461" t="s">
        <v>634</v>
      </c>
      <c r="B740" s="531" t="s">
        <v>6096</v>
      </c>
      <c r="C740" s="531" t="s">
        <v>5667</v>
      </c>
      <c r="D740" s="531" t="s">
        <v>5716</v>
      </c>
      <c r="E740" s="531" t="s">
        <v>5727</v>
      </c>
      <c r="F740" s="271" t="s">
        <v>5951</v>
      </c>
    </row>
    <row r="741">
      <c r="A741" s="461" t="s">
        <v>6796</v>
      </c>
      <c r="B741" s="531" t="s">
        <v>2704</v>
      </c>
      <c r="C741" s="531" t="s">
        <v>5667</v>
      </c>
      <c r="D741" s="531" t="s">
        <v>5716</v>
      </c>
      <c r="E741" s="531" t="s">
        <v>5727</v>
      </c>
      <c r="F741" s="497" t="s">
        <v>635</v>
      </c>
      <c r="G741" s="498">
        <v>2.0</v>
      </c>
      <c r="H741" s="497" t="s">
        <v>5728</v>
      </c>
      <c r="I741" s="497" t="s">
        <v>2704</v>
      </c>
      <c r="J741" s="497" t="s">
        <v>6525</v>
      </c>
      <c r="K741" s="497" t="s">
        <v>5734</v>
      </c>
      <c r="L741" s="498">
        <v>7.0</v>
      </c>
      <c r="M741" s="497" t="s">
        <v>5993</v>
      </c>
      <c r="N741" s="497" t="s">
        <v>6797</v>
      </c>
      <c r="O741" s="498">
        <v>302.0</v>
      </c>
      <c r="P741" s="497" t="s">
        <v>6798</v>
      </c>
      <c r="Q741" s="499"/>
      <c r="R741" s="500"/>
      <c r="S741" s="500"/>
      <c r="T741" s="500"/>
      <c r="U741" s="500"/>
      <c r="V741" s="500"/>
      <c r="W741" s="500"/>
      <c r="X741" s="500"/>
      <c r="Y741" s="500"/>
      <c r="Z741" s="500"/>
      <c r="AA741" s="500"/>
      <c r="AB741" s="500"/>
      <c r="AC741" s="500"/>
      <c r="AD741" s="500"/>
      <c r="AE741" s="497"/>
    </row>
    <row r="742">
      <c r="A742" s="461" t="s">
        <v>638</v>
      </c>
      <c r="B742" s="531" t="s">
        <v>6096</v>
      </c>
      <c r="C742" s="531" t="s">
        <v>5671</v>
      </c>
      <c r="D742" s="531" t="s">
        <v>5716</v>
      </c>
      <c r="E742" s="531" t="s">
        <v>5727</v>
      </c>
      <c r="F742" s="271" t="s">
        <v>5951</v>
      </c>
    </row>
    <row r="743">
      <c r="A743" s="535" t="s">
        <v>6799</v>
      </c>
      <c r="B743" s="534" t="s">
        <v>5701</v>
      </c>
      <c r="C743" s="531" t="s">
        <v>5670</v>
      </c>
      <c r="D743" s="531" t="s">
        <v>5716</v>
      </c>
      <c r="E743" s="531" t="s">
        <v>5727</v>
      </c>
      <c r="F743" s="497" t="s">
        <v>644</v>
      </c>
      <c r="G743" s="498">
        <v>2.0</v>
      </c>
      <c r="H743" s="497" t="s">
        <v>5728</v>
      </c>
      <c r="I743" s="497" t="s">
        <v>2692</v>
      </c>
      <c r="J743" s="497" t="s">
        <v>6330</v>
      </c>
      <c r="K743" s="497" t="s">
        <v>5786</v>
      </c>
      <c r="L743" s="498">
        <v>7.0</v>
      </c>
      <c r="M743" s="497" t="s">
        <v>5763</v>
      </c>
      <c r="N743" s="497" t="s">
        <v>6800</v>
      </c>
      <c r="O743" s="498">
        <v>459.0</v>
      </c>
      <c r="P743" s="497" t="s">
        <v>6801</v>
      </c>
      <c r="Q743" s="499"/>
      <c r="R743" s="500"/>
      <c r="S743" s="500"/>
      <c r="T743" s="500"/>
      <c r="U743" s="500"/>
      <c r="V743" s="500"/>
      <c r="W743" s="500"/>
      <c r="X743" s="500"/>
      <c r="Y743" s="500"/>
      <c r="Z743" s="500"/>
      <c r="AA743" s="500"/>
      <c r="AB743" s="500"/>
      <c r="AC743" s="500"/>
      <c r="AD743" s="500"/>
      <c r="AE743" s="497"/>
    </row>
    <row r="744">
      <c r="A744" s="535" t="s">
        <v>648</v>
      </c>
      <c r="B744" s="531" t="s">
        <v>6096</v>
      </c>
      <c r="C744" s="531" t="s">
        <v>5667</v>
      </c>
      <c r="D744" s="531" t="s">
        <v>5719</v>
      </c>
      <c r="E744" s="531" t="s">
        <v>5728</v>
      </c>
      <c r="F744" s="271" t="s">
        <v>5951</v>
      </c>
    </row>
    <row r="745">
      <c r="A745" s="535" t="s">
        <v>6802</v>
      </c>
      <c r="B745" s="534" t="s">
        <v>6426</v>
      </c>
      <c r="C745" s="531" t="s">
        <v>5671</v>
      </c>
      <c r="D745" s="531" t="s">
        <v>5719</v>
      </c>
      <c r="E745" s="531" t="s">
        <v>5728</v>
      </c>
      <c r="F745" s="497" t="s">
        <v>649</v>
      </c>
      <c r="G745" s="498">
        <v>2.0</v>
      </c>
      <c r="H745" s="497" t="s">
        <v>5728</v>
      </c>
      <c r="I745" s="497" t="s">
        <v>2724</v>
      </c>
      <c r="J745" s="497" t="s">
        <v>6803</v>
      </c>
      <c r="K745" s="497" t="s">
        <v>5729</v>
      </c>
      <c r="L745" s="498">
        <v>8.0</v>
      </c>
      <c r="M745" s="497" t="s">
        <v>5828</v>
      </c>
      <c r="N745" s="497" t="s">
        <v>6804</v>
      </c>
      <c r="O745" s="498">
        <v>178.0</v>
      </c>
      <c r="P745" s="497" t="s">
        <v>6805</v>
      </c>
      <c r="Q745" s="500"/>
      <c r="R745" s="500"/>
      <c r="S745" s="500"/>
      <c r="T745" s="500"/>
      <c r="U745" s="500"/>
      <c r="V745" s="500"/>
      <c r="W745" s="500"/>
      <c r="X745" s="500"/>
      <c r="Y745" s="500"/>
      <c r="Z745" s="500"/>
      <c r="AA745" s="500"/>
      <c r="AB745" s="500"/>
      <c r="AC745" s="500"/>
      <c r="AD745" s="500"/>
      <c r="AE745" s="497"/>
    </row>
    <row r="746">
      <c r="A746" s="535" t="s">
        <v>6806</v>
      </c>
      <c r="B746" s="531" t="s">
        <v>6109</v>
      </c>
      <c r="C746" s="531" t="s">
        <v>5681</v>
      </c>
      <c r="D746" s="531" t="s">
        <v>5719</v>
      </c>
      <c r="E746" s="531" t="s">
        <v>5727</v>
      </c>
      <c r="F746" s="497" t="s">
        <v>652</v>
      </c>
      <c r="G746" s="498">
        <v>2.0</v>
      </c>
      <c r="H746" s="497" t="s">
        <v>5728</v>
      </c>
      <c r="I746" s="497" t="s">
        <v>2695</v>
      </c>
      <c r="J746" s="497" t="s">
        <v>6557</v>
      </c>
      <c r="K746" s="497" t="s">
        <v>5750</v>
      </c>
      <c r="L746" s="498">
        <v>8.0</v>
      </c>
      <c r="M746" s="497" t="s">
        <v>5722</v>
      </c>
      <c r="N746" s="497" t="s">
        <v>6807</v>
      </c>
      <c r="O746" s="498">
        <v>251.0</v>
      </c>
      <c r="P746" s="497" t="s">
        <v>6808</v>
      </c>
      <c r="Q746" s="500"/>
      <c r="R746" s="500"/>
      <c r="S746" s="500"/>
      <c r="T746" s="500"/>
      <c r="U746" s="500"/>
      <c r="V746" s="500"/>
      <c r="W746" s="500"/>
      <c r="X746" s="500"/>
      <c r="Y746" s="500"/>
      <c r="Z746" s="500"/>
      <c r="AA746" s="500"/>
      <c r="AB746" s="500"/>
      <c r="AC746" s="500"/>
      <c r="AD746" s="500"/>
      <c r="AE746" s="497"/>
    </row>
    <row r="747">
      <c r="A747" s="535" t="s">
        <v>655</v>
      </c>
      <c r="B747" s="531" t="s">
        <v>6109</v>
      </c>
      <c r="C747" s="531" t="s">
        <v>5670</v>
      </c>
      <c r="D747" s="531" t="s">
        <v>5719</v>
      </c>
      <c r="E747" s="531" t="s">
        <v>5727</v>
      </c>
      <c r="F747" s="271" t="s">
        <v>5951</v>
      </c>
    </row>
    <row r="748">
      <c r="A748" s="535" t="s">
        <v>6340</v>
      </c>
      <c r="B748" s="531" t="s">
        <v>2692</v>
      </c>
      <c r="C748" s="531" t="s">
        <v>6794</v>
      </c>
      <c r="D748" s="531" t="s">
        <v>5719</v>
      </c>
      <c r="E748" s="531" t="s">
        <v>5727</v>
      </c>
      <c r="F748" s="497" t="s">
        <v>657</v>
      </c>
      <c r="G748" s="498">
        <v>2.0</v>
      </c>
      <c r="H748" s="497" t="s">
        <v>5728</v>
      </c>
      <c r="I748" s="497" t="s">
        <v>2692</v>
      </c>
      <c r="J748" s="497" t="s">
        <v>6223</v>
      </c>
      <c r="K748" s="497" t="s">
        <v>5721</v>
      </c>
      <c r="L748" s="498">
        <v>8.0</v>
      </c>
      <c r="M748" s="497" t="s">
        <v>5854</v>
      </c>
      <c r="N748" s="497" t="s">
        <v>6809</v>
      </c>
      <c r="O748" s="498">
        <v>391.0</v>
      </c>
      <c r="P748" s="497" t="s">
        <v>6810</v>
      </c>
      <c r="Q748" s="499"/>
      <c r="R748" s="500"/>
      <c r="S748" s="500"/>
      <c r="T748" s="500"/>
      <c r="U748" s="500"/>
      <c r="V748" s="500"/>
      <c r="W748" s="500"/>
      <c r="X748" s="500"/>
      <c r="Y748" s="500"/>
      <c r="Z748" s="500"/>
      <c r="AA748" s="500"/>
      <c r="AB748" s="500"/>
      <c r="AC748" s="500"/>
      <c r="AD748" s="500"/>
      <c r="AE748" s="497"/>
    </row>
    <row r="749">
      <c r="A749" s="461" t="s">
        <v>6811</v>
      </c>
      <c r="B749" s="534" t="s">
        <v>5749</v>
      </c>
      <c r="C749" s="531" t="s">
        <v>5667</v>
      </c>
      <c r="D749" s="531" t="s">
        <v>5716</v>
      </c>
      <c r="E749" s="531" t="s">
        <v>5727</v>
      </c>
      <c r="F749" s="497" t="s">
        <v>639</v>
      </c>
      <c r="G749" s="498">
        <v>2.0</v>
      </c>
      <c r="H749" s="497" t="s">
        <v>5728</v>
      </c>
      <c r="I749" s="497" t="s">
        <v>2715</v>
      </c>
      <c r="J749" s="497" t="s">
        <v>6326</v>
      </c>
      <c r="K749" s="497" t="s">
        <v>5734</v>
      </c>
      <c r="L749" s="498">
        <v>7.0</v>
      </c>
      <c r="M749" s="497" t="s">
        <v>5983</v>
      </c>
      <c r="N749" s="497" t="s">
        <v>6812</v>
      </c>
      <c r="O749" s="498">
        <v>449.0</v>
      </c>
      <c r="P749" s="497" t="s">
        <v>6813</v>
      </c>
      <c r="Q749" s="499"/>
      <c r="R749" s="500"/>
      <c r="S749" s="500"/>
      <c r="T749" s="500"/>
      <c r="U749" s="500"/>
      <c r="V749" s="500"/>
      <c r="W749" s="500"/>
      <c r="X749" s="500"/>
      <c r="Y749" s="500"/>
      <c r="Z749" s="500"/>
      <c r="AA749" s="500"/>
      <c r="AB749" s="500"/>
      <c r="AC749" s="500"/>
      <c r="AD749" s="500"/>
      <c r="AE749" s="497"/>
    </row>
    <row r="750">
      <c r="A750" s="535" t="s">
        <v>6814</v>
      </c>
      <c r="B750" s="531" t="s">
        <v>6110</v>
      </c>
      <c r="C750" s="531" t="s">
        <v>5664</v>
      </c>
      <c r="D750" s="531" t="s">
        <v>5719</v>
      </c>
      <c r="E750" s="531" t="s">
        <v>5727</v>
      </c>
      <c r="F750" s="497" t="s">
        <v>661</v>
      </c>
      <c r="G750" s="498">
        <v>2.0</v>
      </c>
      <c r="H750" s="497" t="s">
        <v>5728</v>
      </c>
      <c r="I750" s="497" t="s">
        <v>2698</v>
      </c>
      <c r="J750" s="497" t="s">
        <v>6469</v>
      </c>
      <c r="K750" s="497" t="s">
        <v>5754</v>
      </c>
      <c r="L750" s="498">
        <v>8.0</v>
      </c>
      <c r="M750" s="497" t="s">
        <v>6815</v>
      </c>
      <c r="N750" s="497" t="s">
        <v>6816</v>
      </c>
      <c r="O750" s="498">
        <v>158.0</v>
      </c>
      <c r="P750" s="497" t="s">
        <v>6817</v>
      </c>
      <c r="Q750" s="499"/>
      <c r="R750" s="500"/>
      <c r="S750" s="500"/>
      <c r="T750" s="500"/>
      <c r="U750" s="500"/>
      <c r="V750" s="500"/>
      <c r="W750" s="500"/>
      <c r="X750" s="500"/>
      <c r="Y750" s="500"/>
      <c r="Z750" s="500"/>
      <c r="AA750" s="500"/>
      <c r="AB750" s="500"/>
      <c r="AC750" s="500"/>
      <c r="AD750" s="500"/>
      <c r="AE750" s="497"/>
    </row>
    <row r="751">
      <c r="A751" s="535" t="s">
        <v>6818</v>
      </c>
      <c r="B751" s="531" t="s">
        <v>2692</v>
      </c>
      <c r="C751" s="531" t="s">
        <v>5664</v>
      </c>
      <c r="D751" s="531" t="s">
        <v>5658</v>
      </c>
      <c r="E751" s="531" t="s">
        <v>6241</v>
      </c>
      <c r="F751" s="497" t="s">
        <v>682</v>
      </c>
      <c r="G751" s="498">
        <v>2.0</v>
      </c>
      <c r="H751" s="497" t="s">
        <v>6243</v>
      </c>
      <c r="I751" s="497" t="s">
        <v>2692</v>
      </c>
      <c r="J751" s="497" t="s">
        <v>6281</v>
      </c>
      <c r="K751" s="497" t="s">
        <v>5754</v>
      </c>
      <c r="L751" s="498">
        <v>1.0</v>
      </c>
      <c r="M751" s="497" t="s">
        <v>5970</v>
      </c>
      <c r="N751" s="497" t="s">
        <v>6819</v>
      </c>
      <c r="O751" s="498">
        <v>421.0</v>
      </c>
      <c r="P751" s="497" t="s">
        <v>6820</v>
      </c>
      <c r="Q751" s="499"/>
      <c r="R751" s="500"/>
      <c r="S751" s="500"/>
      <c r="T751" s="500"/>
      <c r="U751" s="500"/>
      <c r="V751" s="500"/>
      <c r="W751" s="500"/>
      <c r="X751" s="500"/>
      <c r="Y751" s="500"/>
      <c r="Z751" s="500"/>
      <c r="AA751" s="500"/>
      <c r="AB751" s="500"/>
      <c r="AC751" s="500"/>
      <c r="AD751" s="500"/>
      <c r="AE751" s="497"/>
    </row>
    <row r="752">
      <c r="A752" s="535" t="s">
        <v>6821</v>
      </c>
      <c r="B752" s="531" t="s">
        <v>6110</v>
      </c>
      <c r="C752" s="531" t="s">
        <v>6794</v>
      </c>
      <c r="D752" s="531" t="s">
        <v>5658</v>
      </c>
      <c r="E752" s="531" t="s">
        <v>6241</v>
      </c>
      <c r="F752" s="497" t="s">
        <v>688</v>
      </c>
      <c r="G752" s="498">
        <v>2.0</v>
      </c>
      <c r="H752" s="497" t="s">
        <v>6243</v>
      </c>
      <c r="I752" s="497" t="s">
        <v>2698</v>
      </c>
      <c r="J752" s="497" t="s">
        <v>6041</v>
      </c>
      <c r="K752" s="497" t="s">
        <v>5721</v>
      </c>
      <c r="L752" s="498">
        <v>1.0</v>
      </c>
      <c r="M752" s="497" t="s">
        <v>5790</v>
      </c>
      <c r="N752" s="497" t="s">
        <v>6822</v>
      </c>
      <c r="O752" s="498">
        <v>397.0</v>
      </c>
      <c r="P752" s="497" t="s">
        <v>6823</v>
      </c>
      <c r="Q752" s="499"/>
      <c r="R752" s="500"/>
      <c r="S752" s="500"/>
      <c r="T752" s="500"/>
      <c r="U752" s="500"/>
      <c r="V752" s="500"/>
      <c r="W752" s="500"/>
      <c r="X752" s="500"/>
      <c r="Y752" s="500"/>
      <c r="Z752" s="500"/>
      <c r="AA752" s="500"/>
      <c r="AB752" s="500"/>
      <c r="AC752" s="500"/>
      <c r="AD752" s="500"/>
      <c r="AE752" s="497"/>
    </row>
    <row r="753">
      <c r="A753" s="535" t="s">
        <v>704</v>
      </c>
      <c r="B753" s="531" t="s">
        <v>2704</v>
      </c>
      <c r="C753" s="531" t="s">
        <v>5681</v>
      </c>
      <c r="D753" s="531" t="s">
        <v>5658</v>
      </c>
      <c r="E753" s="531" t="s">
        <v>6824</v>
      </c>
      <c r="F753" s="228" t="s">
        <v>5951</v>
      </c>
    </row>
    <row r="754">
      <c r="A754" s="535" t="s">
        <v>6825</v>
      </c>
      <c r="B754" s="531" t="s">
        <v>6110</v>
      </c>
      <c r="C754" s="531" t="s">
        <v>5657</v>
      </c>
      <c r="D754" s="531" t="s">
        <v>5658</v>
      </c>
      <c r="E754" s="531" t="s">
        <v>6241</v>
      </c>
      <c r="F754" s="497" t="s">
        <v>705</v>
      </c>
      <c r="G754" s="498">
        <v>2.0</v>
      </c>
      <c r="H754" s="497" t="s">
        <v>6243</v>
      </c>
      <c r="I754" s="497" t="s">
        <v>2698</v>
      </c>
      <c r="J754" s="497" t="s">
        <v>6826</v>
      </c>
      <c r="K754" s="497" t="s">
        <v>5711</v>
      </c>
      <c r="L754" s="498">
        <v>1.0</v>
      </c>
      <c r="M754" s="497" t="s">
        <v>5790</v>
      </c>
      <c r="N754" s="497" t="s">
        <v>6827</v>
      </c>
      <c r="O754" s="498">
        <v>362.0</v>
      </c>
      <c r="P754" s="497" t="s">
        <v>6828</v>
      </c>
      <c r="Q754" s="499"/>
      <c r="R754" s="500"/>
      <c r="S754" s="500"/>
      <c r="T754" s="500"/>
      <c r="U754" s="500"/>
      <c r="V754" s="500"/>
      <c r="W754" s="500"/>
      <c r="X754" s="500"/>
      <c r="Y754" s="500"/>
      <c r="Z754" s="500"/>
      <c r="AA754" s="500"/>
      <c r="AB754" s="500"/>
      <c r="AC754" s="500"/>
      <c r="AD754" s="500"/>
      <c r="AE754" s="497"/>
    </row>
    <row r="755">
      <c r="A755" s="535" t="s">
        <v>716</v>
      </c>
      <c r="B755" s="534" t="s">
        <v>6426</v>
      </c>
      <c r="C755" s="531" t="s">
        <v>5670</v>
      </c>
      <c r="D755" s="531" t="s">
        <v>5668</v>
      </c>
      <c r="E755" s="531" t="s">
        <v>6241</v>
      </c>
      <c r="F755" s="228" t="s">
        <v>5951</v>
      </c>
    </row>
    <row r="756">
      <c r="A756" s="535" t="s">
        <v>6829</v>
      </c>
      <c r="B756" s="531" t="s">
        <v>6110</v>
      </c>
      <c r="C756" s="531" t="s">
        <v>5671</v>
      </c>
      <c r="D756" s="531" t="s">
        <v>5668</v>
      </c>
      <c r="E756" s="531" t="s">
        <v>6241</v>
      </c>
      <c r="F756" s="497" t="s">
        <v>717</v>
      </c>
      <c r="G756" s="498">
        <v>2.0</v>
      </c>
      <c r="H756" s="497" t="s">
        <v>6243</v>
      </c>
      <c r="I756" s="497" t="s">
        <v>2698</v>
      </c>
      <c r="J756" s="497" t="s">
        <v>6273</v>
      </c>
      <c r="K756" s="497" t="s">
        <v>5729</v>
      </c>
      <c r="L756" s="498">
        <v>2.0</v>
      </c>
      <c r="M756" s="497" t="s">
        <v>5763</v>
      </c>
      <c r="N756" s="497" t="s">
        <v>6830</v>
      </c>
      <c r="O756" s="498">
        <v>272.0</v>
      </c>
      <c r="P756" s="497" t="s">
        <v>6831</v>
      </c>
      <c r="Q756" s="536"/>
      <c r="R756" s="497"/>
      <c r="S756" s="497"/>
      <c r="T756" s="497"/>
      <c r="U756" s="497"/>
      <c r="V756" s="497"/>
      <c r="W756" s="497"/>
      <c r="X756" s="497"/>
      <c r="Y756" s="497"/>
      <c r="Z756" s="497"/>
      <c r="AA756" s="497"/>
      <c r="AB756" s="497"/>
      <c r="AC756" s="497"/>
      <c r="AD756" s="497"/>
      <c r="AE756" s="497"/>
    </row>
    <row r="757">
      <c r="A757" s="535" t="s">
        <v>719</v>
      </c>
      <c r="B757" s="534" t="s">
        <v>6426</v>
      </c>
      <c r="C757" s="531" t="s">
        <v>5670</v>
      </c>
      <c r="D757" s="531" t="s">
        <v>5668</v>
      </c>
      <c r="E757" s="531" t="s">
        <v>6241</v>
      </c>
      <c r="F757" s="228" t="s">
        <v>5951</v>
      </c>
    </row>
    <row r="758">
      <c r="A758" s="535" t="s">
        <v>6832</v>
      </c>
      <c r="B758" s="534" t="s">
        <v>6426</v>
      </c>
      <c r="C758" s="531" t="s">
        <v>6794</v>
      </c>
      <c r="D758" s="531" t="s">
        <v>5668</v>
      </c>
      <c r="E758" s="531" t="s">
        <v>6241</v>
      </c>
      <c r="F758" s="497" t="s">
        <v>720</v>
      </c>
      <c r="G758" s="498">
        <v>2.0</v>
      </c>
      <c r="H758" s="497" t="s">
        <v>6243</v>
      </c>
      <c r="I758" s="497" t="s">
        <v>2724</v>
      </c>
      <c r="J758" s="497" t="s">
        <v>6065</v>
      </c>
      <c r="K758" s="497" t="s">
        <v>5721</v>
      </c>
      <c r="L758" s="498">
        <v>2.0</v>
      </c>
      <c r="M758" s="497" t="s">
        <v>5828</v>
      </c>
      <c r="N758" s="497" t="s">
        <v>6833</v>
      </c>
      <c r="O758" s="498">
        <v>226.0</v>
      </c>
      <c r="P758" s="497" t="s">
        <v>6834</v>
      </c>
      <c r="Q758" s="499"/>
      <c r="R758" s="500"/>
      <c r="S758" s="500"/>
      <c r="T758" s="500"/>
      <c r="U758" s="500"/>
      <c r="V758" s="500"/>
      <c r="W758" s="500"/>
      <c r="X758" s="500"/>
      <c r="Y758" s="500"/>
      <c r="Z758" s="500"/>
      <c r="AA758" s="500"/>
      <c r="AB758" s="500"/>
      <c r="AC758" s="500"/>
      <c r="AD758" s="500"/>
      <c r="AE758" s="497"/>
    </row>
    <row r="759">
      <c r="A759" s="535" t="s">
        <v>6835</v>
      </c>
      <c r="B759" s="534" t="s">
        <v>5749</v>
      </c>
      <c r="C759" s="531" t="s">
        <v>6794</v>
      </c>
      <c r="D759" s="531" t="s">
        <v>5668</v>
      </c>
      <c r="E759" s="531" t="s">
        <v>6241</v>
      </c>
      <c r="F759" s="497" t="s">
        <v>723</v>
      </c>
      <c r="G759" s="498">
        <v>2.0</v>
      </c>
      <c r="H759" s="497" t="s">
        <v>6243</v>
      </c>
      <c r="I759" s="497" t="s">
        <v>2715</v>
      </c>
      <c r="J759" s="497" t="s">
        <v>6836</v>
      </c>
      <c r="K759" s="497" t="s">
        <v>5721</v>
      </c>
      <c r="L759" s="498">
        <v>2.0</v>
      </c>
      <c r="M759" s="497" t="s">
        <v>6837</v>
      </c>
      <c r="N759" s="497" t="s">
        <v>6838</v>
      </c>
      <c r="O759" s="498">
        <v>237.0</v>
      </c>
      <c r="P759" s="497" t="s">
        <v>6839</v>
      </c>
      <c r="Q759" s="499"/>
      <c r="R759" s="500"/>
      <c r="S759" s="500"/>
      <c r="T759" s="500"/>
      <c r="U759" s="500"/>
      <c r="V759" s="500"/>
      <c r="W759" s="500"/>
      <c r="X759" s="500"/>
      <c r="Y759" s="500"/>
      <c r="Z759" s="500"/>
      <c r="AA759" s="500"/>
      <c r="AB759" s="500"/>
      <c r="AC759" s="500"/>
      <c r="AD759" s="500"/>
      <c r="AE759" s="497"/>
    </row>
    <row r="760">
      <c r="A760" s="535" t="s">
        <v>725</v>
      </c>
      <c r="B760" s="531" t="s">
        <v>6096</v>
      </c>
      <c r="C760" s="531" t="s">
        <v>5681</v>
      </c>
      <c r="D760" s="531" t="s">
        <v>5668</v>
      </c>
      <c r="E760" s="531" t="s">
        <v>6241</v>
      </c>
      <c r="F760" s="228" t="s">
        <v>5951</v>
      </c>
    </row>
    <row r="761">
      <c r="A761" s="535" t="s">
        <v>732</v>
      </c>
      <c r="B761" s="531" t="s">
        <v>6110</v>
      </c>
      <c r="C761" s="531" t="s">
        <v>5671</v>
      </c>
      <c r="D761" s="531" t="s">
        <v>5675</v>
      </c>
      <c r="E761" s="531" t="s">
        <v>6241</v>
      </c>
      <c r="F761" s="228" t="s">
        <v>5951</v>
      </c>
    </row>
    <row r="762">
      <c r="A762" s="535" t="s">
        <v>740</v>
      </c>
      <c r="B762" s="531" t="s">
        <v>2707</v>
      </c>
      <c r="C762" s="531" t="s">
        <v>6794</v>
      </c>
      <c r="D762" s="531" t="s">
        <v>5675</v>
      </c>
      <c r="E762" s="531" t="s">
        <v>6241</v>
      </c>
      <c r="F762" s="228" t="s">
        <v>5951</v>
      </c>
    </row>
    <row r="763">
      <c r="A763" s="535" t="s">
        <v>741</v>
      </c>
      <c r="B763" s="531" t="s">
        <v>6116</v>
      </c>
      <c r="C763" s="531" t="s">
        <v>5657</v>
      </c>
      <c r="D763" s="531" t="s">
        <v>5675</v>
      </c>
      <c r="E763" s="531" t="s">
        <v>6241</v>
      </c>
      <c r="F763" s="228" t="s">
        <v>5951</v>
      </c>
    </row>
    <row r="764">
      <c r="A764" s="535" t="s">
        <v>742</v>
      </c>
      <c r="B764" s="534" t="s">
        <v>5749</v>
      </c>
      <c r="C764" s="531" t="s">
        <v>5657</v>
      </c>
      <c r="D764" s="531" t="s">
        <v>5675</v>
      </c>
      <c r="E764" s="531" t="s">
        <v>6241</v>
      </c>
      <c r="F764" s="228" t="s">
        <v>5951</v>
      </c>
    </row>
    <row r="765">
      <c r="A765" s="535" t="s">
        <v>6840</v>
      </c>
      <c r="B765" s="534" t="s">
        <v>5701</v>
      </c>
      <c r="C765" s="531" t="s">
        <v>5670</v>
      </c>
      <c r="D765" s="531" t="s">
        <v>5675</v>
      </c>
      <c r="E765" s="531" t="s">
        <v>6241</v>
      </c>
      <c r="F765" s="497" t="s">
        <v>743</v>
      </c>
      <c r="G765" s="498">
        <v>2.0</v>
      </c>
      <c r="H765" s="497" t="s">
        <v>6243</v>
      </c>
      <c r="I765" s="497" t="s">
        <v>2740</v>
      </c>
      <c r="J765" s="497" t="s">
        <v>6841</v>
      </c>
      <c r="K765" s="497" t="s">
        <v>5786</v>
      </c>
      <c r="L765" s="498">
        <v>3.0</v>
      </c>
      <c r="M765" s="497" t="s">
        <v>5712</v>
      </c>
      <c r="N765" s="497" t="s">
        <v>6842</v>
      </c>
      <c r="O765" s="498">
        <v>430.0</v>
      </c>
      <c r="P765" s="497" t="s">
        <v>6843</v>
      </c>
      <c r="Q765" s="500"/>
      <c r="R765" s="500"/>
      <c r="S765" s="500"/>
      <c r="T765" s="500"/>
      <c r="U765" s="500"/>
      <c r="V765" s="500"/>
      <c r="W765" s="500"/>
      <c r="X765" s="500"/>
      <c r="Y765" s="500"/>
      <c r="Z765" s="500"/>
      <c r="AA765" s="500"/>
      <c r="AB765" s="500"/>
      <c r="AC765" s="500"/>
      <c r="AD765" s="500"/>
      <c r="AE765" s="497"/>
    </row>
    <row r="766">
      <c r="A766" s="535" t="s">
        <v>6603</v>
      </c>
      <c r="B766" s="534" t="s">
        <v>5701</v>
      </c>
      <c r="C766" s="531" t="s">
        <v>5664</v>
      </c>
      <c r="D766" s="531" t="s">
        <v>5683</v>
      </c>
      <c r="E766" s="531" t="s">
        <v>6241</v>
      </c>
      <c r="F766" s="497" t="s">
        <v>755</v>
      </c>
      <c r="G766" s="498">
        <v>2.0</v>
      </c>
      <c r="H766" s="497" t="s">
        <v>6243</v>
      </c>
      <c r="I766" s="497" t="s">
        <v>2740</v>
      </c>
      <c r="J766" s="497" t="s">
        <v>6423</v>
      </c>
      <c r="K766" s="497" t="s">
        <v>5754</v>
      </c>
      <c r="L766" s="498">
        <v>4.0</v>
      </c>
      <c r="M766" s="497" t="s">
        <v>5712</v>
      </c>
      <c r="N766" s="497" t="s">
        <v>6844</v>
      </c>
      <c r="O766" s="498">
        <v>418.0</v>
      </c>
      <c r="P766" s="497" t="s">
        <v>6845</v>
      </c>
      <c r="Q766" s="500"/>
      <c r="R766" s="500"/>
      <c r="S766" s="500"/>
      <c r="T766" s="500"/>
      <c r="U766" s="500"/>
      <c r="V766" s="500"/>
      <c r="W766" s="500"/>
      <c r="X766" s="500"/>
      <c r="Y766" s="500"/>
      <c r="Z766" s="500"/>
      <c r="AA766" s="500"/>
      <c r="AB766" s="500"/>
      <c r="AC766" s="500"/>
      <c r="AD766" s="500"/>
      <c r="AE766" s="497"/>
    </row>
    <row r="767">
      <c r="A767" s="535" t="s">
        <v>760</v>
      </c>
      <c r="B767" s="531" t="s">
        <v>6109</v>
      </c>
      <c r="C767" s="531" t="s">
        <v>5671</v>
      </c>
      <c r="D767" s="531" t="s">
        <v>5683</v>
      </c>
      <c r="E767" s="531" t="s">
        <v>6241</v>
      </c>
      <c r="F767" s="228" t="s">
        <v>5951</v>
      </c>
    </row>
    <row r="768">
      <c r="A768" s="535" t="s">
        <v>6846</v>
      </c>
      <c r="B768" s="534" t="s">
        <v>6426</v>
      </c>
      <c r="C768" s="531" t="s">
        <v>5667</v>
      </c>
      <c r="D768" s="531" t="s">
        <v>5683</v>
      </c>
      <c r="E768" s="531" t="s">
        <v>6241</v>
      </c>
      <c r="F768" s="497" t="s">
        <v>761</v>
      </c>
      <c r="G768" s="498">
        <v>2.0</v>
      </c>
      <c r="H768" s="497" t="s">
        <v>6243</v>
      </c>
      <c r="I768" s="497" t="s">
        <v>2724</v>
      </c>
      <c r="J768" s="497" t="s">
        <v>6352</v>
      </c>
      <c r="K768" s="497" t="s">
        <v>5734</v>
      </c>
      <c r="L768" s="498">
        <v>4.0</v>
      </c>
      <c r="M768" s="497" t="s">
        <v>5879</v>
      </c>
      <c r="N768" s="497" t="s">
        <v>6847</v>
      </c>
      <c r="O768" s="498">
        <v>392.0</v>
      </c>
      <c r="P768" s="497" t="s">
        <v>6848</v>
      </c>
      <c r="Q768" s="499"/>
      <c r="R768" s="500"/>
      <c r="S768" s="500"/>
      <c r="T768" s="500"/>
      <c r="U768" s="500"/>
      <c r="V768" s="500"/>
      <c r="W768" s="500"/>
      <c r="X768" s="500"/>
      <c r="Y768" s="500"/>
      <c r="Z768" s="500"/>
      <c r="AA768" s="500"/>
      <c r="AB768" s="500"/>
      <c r="AC768" s="500"/>
      <c r="AD768" s="500"/>
      <c r="AE768" s="497"/>
    </row>
    <row r="769">
      <c r="A769" s="535" t="s">
        <v>764</v>
      </c>
      <c r="B769" s="534" t="s">
        <v>6426</v>
      </c>
      <c r="C769" s="531" t="s">
        <v>5670</v>
      </c>
      <c r="D769" s="531" t="s">
        <v>5683</v>
      </c>
      <c r="E769" s="531" t="s">
        <v>6241</v>
      </c>
      <c r="F769" s="228" t="s">
        <v>5951</v>
      </c>
    </row>
    <row r="770">
      <c r="A770" s="535" t="s">
        <v>6849</v>
      </c>
      <c r="B770" s="531" t="s">
        <v>6110</v>
      </c>
      <c r="C770" s="531" t="s">
        <v>5670</v>
      </c>
      <c r="D770" s="531" t="s">
        <v>5683</v>
      </c>
      <c r="E770" s="531" t="s">
        <v>6241</v>
      </c>
      <c r="F770" s="497" t="s">
        <v>765</v>
      </c>
      <c r="G770" s="498">
        <v>2.0</v>
      </c>
      <c r="H770" s="497" t="s">
        <v>6243</v>
      </c>
      <c r="I770" s="497" t="s">
        <v>2698</v>
      </c>
      <c r="J770" s="497" t="s">
        <v>6474</v>
      </c>
      <c r="K770" s="497" t="s">
        <v>5786</v>
      </c>
      <c r="L770" s="498">
        <v>4.0</v>
      </c>
      <c r="M770" s="497" t="s">
        <v>5763</v>
      </c>
      <c r="N770" s="497" t="s">
        <v>6850</v>
      </c>
      <c r="O770" s="498">
        <v>284.0</v>
      </c>
      <c r="P770" s="497" t="s">
        <v>6851</v>
      </c>
      <c r="Q770" s="499"/>
      <c r="R770" s="500"/>
      <c r="S770" s="500"/>
      <c r="T770" s="500"/>
      <c r="U770" s="500"/>
      <c r="V770" s="500"/>
      <c r="W770" s="500"/>
      <c r="X770" s="500"/>
      <c r="Y770" s="500"/>
      <c r="Z770" s="500"/>
      <c r="AA770" s="500"/>
      <c r="AB770" s="500"/>
      <c r="AC770" s="500"/>
      <c r="AD770" s="500"/>
      <c r="AE770" s="497"/>
    </row>
    <row r="771">
      <c r="A771" s="535" t="s">
        <v>768</v>
      </c>
      <c r="B771" s="534" t="s">
        <v>6426</v>
      </c>
      <c r="C771" s="531" t="s">
        <v>5671</v>
      </c>
      <c r="D771" s="531" t="s">
        <v>5683</v>
      </c>
      <c r="E771" s="531" t="s">
        <v>6241</v>
      </c>
      <c r="F771" s="228" t="s">
        <v>5951</v>
      </c>
    </row>
    <row r="772">
      <c r="A772" s="535" t="s">
        <v>3451</v>
      </c>
      <c r="B772" s="531" t="s">
        <v>2704</v>
      </c>
      <c r="C772" s="531" t="s">
        <v>5657</v>
      </c>
      <c r="D772" s="531" t="s">
        <v>5683</v>
      </c>
      <c r="E772" s="531" t="s">
        <v>6241</v>
      </c>
      <c r="F772" s="497" t="s">
        <v>772</v>
      </c>
      <c r="G772" s="498">
        <v>2.0</v>
      </c>
      <c r="H772" s="497" t="s">
        <v>6243</v>
      </c>
      <c r="I772" s="497" t="s">
        <v>2704</v>
      </c>
      <c r="J772" s="497" t="s">
        <v>6852</v>
      </c>
      <c r="K772" s="497" t="s">
        <v>5711</v>
      </c>
      <c r="L772" s="498">
        <v>4.0</v>
      </c>
      <c r="M772" s="497" t="s">
        <v>6853</v>
      </c>
      <c r="N772" s="497" t="s">
        <v>6854</v>
      </c>
      <c r="O772" s="498">
        <v>1403.0</v>
      </c>
      <c r="P772" s="497" t="s">
        <v>6855</v>
      </c>
      <c r="Q772" s="499"/>
      <c r="R772" s="500"/>
      <c r="S772" s="500"/>
      <c r="T772" s="500"/>
      <c r="U772" s="500"/>
      <c r="V772" s="500"/>
      <c r="W772" s="500"/>
      <c r="X772" s="500"/>
      <c r="Y772" s="500"/>
      <c r="Z772" s="500"/>
      <c r="AA772" s="500"/>
      <c r="AB772" s="500"/>
      <c r="AC772" s="500"/>
      <c r="AD772" s="500"/>
      <c r="AE772" s="497"/>
    </row>
    <row r="773">
      <c r="A773" s="535" t="s">
        <v>6856</v>
      </c>
      <c r="B773" s="531" t="s">
        <v>2709</v>
      </c>
      <c r="C773" s="531" t="s">
        <v>5667</v>
      </c>
      <c r="D773" s="531" t="s">
        <v>5692</v>
      </c>
      <c r="E773" s="531" t="s">
        <v>6241</v>
      </c>
      <c r="F773" s="497" t="s">
        <v>778</v>
      </c>
      <c r="G773" s="498">
        <v>2.0</v>
      </c>
      <c r="H773" s="497" t="s">
        <v>6243</v>
      </c>
      <c r="I773" s="497" t="s">
        <v>2709</v>
      </c>
      <c r="J773" s="497" t="s">
        <v>1521</v>
      </c>
      <c r="K773" s="497" t="s">
        <v>5734</v>
      </c>
      <c r="L773" s="498">
        <v>5.0</v>
      </c>
      <c r="M773" s="497" t="s">
        <v>5987</v>
      </c>
      <c r="N773" s="497" t="s">
        <v>6857</v>
      </c>
      <c r="O773" s="498">
        <v>312.0</v>
      </c>
      <c r="P773" s="497" t="s">
        <v>6858</v>
      </c>
      <c r="Q773" s="499"/>
      <c r="R773" s="500"/>
      <c r="S773" s="500"/>
      <c r="T773" s="500"/>
      <c r="U773" s="500"/>
      <c r="V773" s="500"/>
      <c r="W773" s="500"/>
      <c r="X773" s="500"/>
      <c r="Y773" s="500"/>
      <c r="Z773" s="500"/>
      <c r="AA773" s="500"/>
      <c r="AB773" s="500"/>
      <c r="AC773" s="500"/>
      <c r="AD773" s="500"/>
      <c r="AE773" s="497"/>
    </row>
    <row r="774">
      <c r="A774" s="535" t="s">
        <v>781</v>
      </c>
      <c r="B774" s="531" t="s">
        <v>2707</v>
      </c>
      <c r="C774" s="531" t="s">
        <v>5670</v>
      </c>
      <c r="D774" s="531" t="s">
        <v>5692</v>
      </c>
      <c r="E774" s="531" t="s">
        <v>6241</v>
      </c>
      <c r="F774" s="228" t="s">
        <v>5951</v>
      </c>
    </row>
    <row r="775">
      <c r="A775" s="535" t="s">
        <v>782</v>
      </c>
      <c r="B775" s="531" t="s">
        <v>2707</v>
      </c>
      <c r="C775" s="531" t="s">
        <v>5671</v>
      </c>
      <c r="D775" s="531" t="s">
        <v>5692</v>
      </c>
      <c r="E775" s="531" t="s">
        <v>6241</v>
      </c>
      <c r="F775" s="228" t="s">
        <v>5951</v>
      </c>
    </row>
    <row r="776">
      <c r="A776" s="535" t="s">
        <v>6859</v>
      </c>
      <c r="B776" s="531" t="s">
        <v>2707</v>
      </c>
      <c r="C776" s="531" t="s">
        <v>6794</v>
      </c>
      <c r="D776" s="531" t="s">
        <v>5692</v>
      </c>
      <c r="E776" s="531" t="s">
        <v>6241</v>
      </c>
      <c r="F776" s="497" t="s">
        <v>785</v>
      </c>
      <c r="G776" s="498">
        <v>2.0</v>
      </c>
      <c r="H776" s="497" t="s">
        <v>6243</v>
      </c>
      <c r="I776" s="497" t="s">
        <v>2707</v>
      </c>
      <c r="J776" s="497" t="s">
        <v>1317</v>
      </c>
      <c r="K776" s="497" t="s">
        <v>5721</v>
      </c>
      <c r="L776" s="498">
        <v>5.0</v>
      </c>
      <c r="M776" s="497" t="s">
        <v>6415</v>
      </c>
      <c r="N776" s="497" t="s">
        <v>6860</v>
      </c>
      <c r="O776" s="498">
        <v>430.0</v>
      </c>
      <c r="P776" s="497" t="s">
        <v>6861</v>
      </c>
      <c r="Q776" s="499"/>
      <c r="R776" s="500"/>
      <c r="S776" s="500"/>
      <c r="T776" s="500"/>
      <c r="U776" s="500"/>
      <c r="V776" s="500"/>
      <c r="W776" s="500"/>
      <c r="X776" s="500"/>
      <c r="Y776" s="500"/>
      <c r="Z776" s="500"/>
      <c r="AA776" s="500"/>
      <c r="AB776" s="500"/>
      <c r="AC776" s="500"/>
      <c r="AD776" s="500"/>
      <c r="AE776" s="497"/>
    </row>
    <row r="777">
      <c r="A777" s="535" t="s">
        <v>788</v>
      </c>
      <c r="B777" s="531" t="s">
        <v>2692</v>
      </c>
      <c r="C777" s="531" t="s">
        <v>5681</v>
      </c>
      <c r="D777" s="531" t="s">
        <v>5692</v>
      </c>
      <c r="E777" s="531" t="s">
        <v>6241</v>
      </c>
      <c r="F777" s="228" t="s">
        <v>5951</v>
      </c>
    </row>
    <row r="778">
      <c r="A778" s="535" t="s">
        <v>789</v>
      </c>
      <c r="B778" s="534" t="s">
        <v>5699</v>
      </c>
      <c r="C778" s="531" t="s">
        <v>5681</v>
      </c>
      <c r="D778" s="531" t="s">
        <v>5692</v>
      </c>
      <c r="E778" s="531" t="s">
        <v>6241</v>
      </c>
      <c r="F778" s="321" t="s">
        <v>5951</v>
      </c>
      <c r="G778" s="506"/>
      <c r="H778" s="507"/>
      <c r="I778" s="507"/>
      <c r="J778" s="507"/>
      <c r="K778" s="507"/>
      <c r="L778" s="506"/>
      <c r="M778" s="507"/>
      <c r="N778" s="507"/>
      <c r="O778" s="506"/>
      <c r="P778" s="507"/>
      <c r="Q778" s="508"/>
      <c r="R778" s="509"/>
      <c r="S778" s="509"/>
      <c r="T778" s="509"/>
      <c r="U778" s="509"/>
      <c r="V778" s="509"/>
      <c r="W778" s="509"/>
      <c r="X778" s="509"/>
      <c r="Y778" s="509"/>
      <c r="Z778" s="509"/>
      <c r="AA778" s="509"/>
      <c r="AB778" s="509"/>
      <c r="AC778" s="509"/>
      <c r="AD778" s="509"/>
      <c r="AE778" s="507"/>
    </row>
    <row r="779">
      <c r="A779" s="535" t="s">
        <v>790</v>
      </c>
      <c r="B779" s="534" t="s">
        <v>5701</v>
      </c>
      <c r="C779" s="531" t="s">
        <v>5657</v>
      </c>
      <c r="D779" s="531" t="s">
        <v>5692</v>
      </c>
      <c r="E779" s="531" t="s">
        <v>6241</v>
      </c>
      <c r="F779" s="228" t="s">
        <v>5951</v>
      </c>
    </row>
    <row r="780">
      <c r="A780" s="535" t="s">
        <v>791</v>
      </c>
      <c r="B780" s="531" t="s">
        <v>2704</v>
      </c>
      <c r="C780" s="531" t="s">
        <v>5664</v>
      </c>
      <c r="D780" s="531" t="s">
        <v>5692</v>
      </c>
      <c r="E780" s="531" t="s">
        <v>6241</v>
      </c>
      <c r="F780" s="228" t="s">
        <v>5951</v>
      </c>
    </row>
    <row r="781">
      <c r="A781" s="535" t="s">
        <v>6862</v>
      </c>
      <c r="B781" s="534" t="s">
        <v>5749</v>
      </c>
      <c r="C781" s="531" t="s">
        <v>5667</v>
      </c>
      <c r="D781" s="531" t="s">
        <v>5692</v>
      </c>
      <c r="E781" s="531" t="s">
        <v>6241</v>
      </c>
      <c r="F781" s="497" t="s">
        <v>792</v>
      </c>
      <c r="G781" s="498">
        <v>2.0</v>
      </c>
      <c r="H781" s="497" t="s">
        <v>6243</v>
      </c>
      <c r="I781" s="497" t="s">
        <v>2715</v>
      </c>
      <c r="J781" s="497" t="s">
        <v>6396</v>
      </c>
      <c r="K781" s="497" t="s">
        <v>5734</v>
      </c>
      <c r="L781" s="498">
        <v>5.0</v>
      </c>
      <c r="M781" s="497" t="s">
        <v>5763</v>
      </c>
      <c r="N781" s="497" t="s">
        <v>6863</v>
      </c>
      <c r="O781" s="498">
        <v>20.0</v>
      </c>
      <c r="P781" s="497" t="s">
        <v>6864</v>
      </c>
      <c r="Q781" s="499" t="s">
        <v>6865</v>
      </c>
      <c r="R781" s="500"/>
      <c r="S781" s="500"/>
      <c r="T781" s="500"/>
      <c r="U781" s="500"/>
      <c r="V781" s="500"/>
      <c r="W781" s="500"/>
      <c r="X781" s="500"/>
      <c r="Y781" s="500"/>
      <c r="Z781" s="500"/>
      <c r="AA781" s="500"/>
      <c r="AB781" s="500"/>
      <c r="AC781" s="500"/>
      <c r="AD781" s="500"/>
      <c r="AE781" s="497"/>
    </row>
    <row r="782">
      <c r="A782" s="535" t="s">
        <v>6866</v>
      </c>
      <c r="B782" s="531" t="s">
        <v>6110</v>
      </c>
      <c r="C782" s="531" t="s">
        <v>5681</v>
      </c>
      <c r="D782" s="531" t="s">
        <v>5692</v>
      </c>
      <c r="E782" s="531" t="s">
        <v>6241</v>
      </c>
      <c r="F782" s="497" t="s">
        <v>796</v>
      </c>
      <c r="G782" s="498">
        <v>2.0</v>
      </c>
      <c r="H782" s="497" t="s">
        <v>6243</v>
      </c>
      <c r="I782" s="497" t="s">
        <v>2698</v>
      </c>
      <c r="J782" s="497" t="s">
        <v>6584</v>
      </c>
      <c r="K782" s="497" t="s">
        <v>5750</v>
      </c>
      <c r="L782" s="498">
        <v>5.0</v>
      </c>
      <c r="M782" s="497" t="s">
        <v>6377</v>
      </c>
      <c r="N782" s="497" t="s">
        <v>6867</v>
      </c>
      <c r="O782" s="498">
        <v>287.0</v>
      </c>
      <c r="P782" s="497" t="s">
        <v>6868</v>
      </c>
      <c r="Q782" s="499"/>
      <c r="R782" s="500"/>
      <c r="S782" s="500"/>
      <c r="T782" s="500"/>
      <c r="U782" s="500"/>
      <c r="V782" s="500"/>
      <c r="W782" s="500"/>
      <c r="X782" s="500"/>
      <c r="Y782" s="500"/>
      <c r="Z782" s="500"/>
      <c r="AA782" s="500"/>
      <c r="AB782" s="500"/>
      <c r="AC782" s="500"/>
      <c r="AD782" s="500"/>
      <c r="AE782" s="497"/>
    </row>
    <row r="783">
      <c r="A783" s="535" t="s">
        <v>799</v>
      </c>
      <c r="B783" s="534" t="s">
        <v>5669</v>
      </c>
      <c r="C783" s="531" t="s">
        <v>5670</v>
      </c>
      <c r="D783" s="531" t="s">
        <v>5692</v>
      </c>
      <c r="E783" s="531" t="s">
        <v>6241</v>
      </c>
      <c r="F783" s="228" t="s">
        <v>5951</v>
      </c>
    </row>
    <row r="784">
      <c r="A784" s="535" t="s">
        <v>808</v>
      </c>
      <c r="B784" s="531" t="s">
        <v>2707</v>
      </c>
      <c r="C784" s="531" t="s">
        <v>5681</v>
      </c>
      <c r="D784" s="531" t="s">
        <v>5692</v>
      </c>
      <c r="E784" s="531" t="s">
        <v>6241</v>
      </c>
      <c r="F784" s="228" t="s">
        <v>5951</v>
      </c>
    </row>
    <row r="785">
      <c r="A785" s="535" t="s">
        <v>6869</v>
      </c>
      <c r="B785" s="531" t="s">
        <v>6112</v>
      </c>
      <c r="C785" s="531" t="s">
        <v>5657</v>
      </c>
      <c r="D785" s="531" t="s">
        <v>5692</v>
      </c>
      <c r="E785" s="531" t="s">
        <v>6241</v>
      </c>
      <c r="F785" s="497" t="s">
        <v>809</v>
      </c>
      <c r="G785" s="498">
        <v>2.0</v>
      </c>
      <c r="H785" s="497" t="s">
        <v>6243</v>
      </c>
      <c r="I785" s="497" t="s">
        <v>2707</v>
      </c>
      <c r="J785" s="497" t="s">
        <v>6175</v>
      </c>
      <c r="K785" s="497" t="s">
        <v>5711</v>
      </c>
      <c r="L785" s="498">
        <v>5.0</v>
      </c>
      <c r="M785" s="497" t="s">
        <v>6357</v>
      </c>
      <c r="N785" s="497" t="s">
        <v>6870</v>
      </c>
      <c r="O785" s="498">
        <v>334.0</v>
      </c>
      <c r="P785" s="497" t="s">
        <v>6871</v>
      </c>
      <c r="Q785" s="499"/>
      <c r="R785" s="500"/>
      <c r="S785" s="500"/>
      <c r="T785" s="500"/>
      <c r="U785" s="500"/>
      <c r="V785" s="500"/>
      <c r="W785" s="500"/>
      <c r="X785" s="500"/>
      <c r="Y785" s="500"/>
      <c r="Z785" s="500"/>
      <c r="AA785" s="500"/>
      <c r="AB785" s="500"/>
      <c r="AC785" s="500"/>
      <c r="AD785" s="500"/>
      <c r="AE785" s="497"/>
    </row>
    <row r="786">
      <c r="A786" s="535" t="s">
        <v>6872</v>
      </c>
      <c r="B786" s="531" t="s">
        <v>6488</v>
      </c>
      <c r="C786" s="531" t="s">
        <v>5657</v>
      </c>
      <c r="D786" s="531" t="s">
        <v>5705</v>
      </c>
      <c r="E786" s="531" t="s">
        <v>6241</v>
      </c>
      <c r="F786" s="497" t="s">
        <v>822</v>
      </c>
      <c r="G786" s="498">
        <v>2.0</v>
      </c>
      <c r="H786" s="497" t="s">
        <v>6243</v>
      </c>
      <c r="I786" s="497" t="s">
        <v>2704</v>
      </c>
      <c r="J786" s="497" t="s">
        <v>6304</v>
      </c>
      <c r="K786" s="497" t="s">
        <v>5711</v>
      </c>
      <c r="L786" s="498">
        <v>6.0</v>
      </c>
      <c r="M786" s="497" t="s">
        <v>6322</v>
      </c>
      <c r="N786" s="497" t="s">
        <v>6873</v>
      </c>
      <c r="O786" s="498">
        <v>1216.0</v>
      </c>
      <c r="P786" s="497" t="s">
        <v>6874</v>
      </c>
      <c r="Q786" s="499"/>
      <c r="R786" s="500"/>
      <c r="S786" s="500"/>
      <c r="T786" s="500"/>
      <c r="U786" s="500"/>
      <c r="V786" s="500"/>
      <c r="W786" s="500"/>
      <c r="X786" s="500"/>
      <c r="Y786" s="500"/>
      <c r="Z786" s="500"/>
      <c r="AA786" s="500"/>
      <c r="AB786" s="500"/>
      <c r="AC786" s="500"/>
      <c r="AD786" s="500"/>
      <c r="AE786" s="497"/>
    </row>
    <row r="787">
      <c r="A787" s="535" t="s">
        <v>6875</v>
      </c>
      <c r="B787" s="534" t="s">
        <v>5701</v>
      </c>
      <c r="C787" s="531" t="s">
        <v>5681</v>
      </c>
      <c r="D787" s="531" t="s">
        <v>5705</v>
      </c>
      <c r="E787" s="531" t="s">
        <v>6241</v>
      </c>
      <c r="F787" s="497" t="s">
        <v>832</v>
      </c>
      <c r="G787" s="498">
        <v>2.0</v>
      </c>
      <c r="H787" s="497" t="s">
        <v>6243</v>
      </c>
      <c r="I787" s="497" t="s">
        <v>2740</v>
      </c>
      <c r="J787" s="497" t="s">
        <v>6876</v>
      </c>
      <c r="K787" s="497" t="s">
        <v>5750</v>
      </c>
      <c r="L787" s="498">
        <v>6.0</v>
      </c>
      <c r="M787" s="497" t="s">
        <v>6877</v>
      </c>
      <c r="N787" s="497" t="s">
        <v>6878</v>
      </c>
      <c r="O787" s="498">
        <v>1818.0</v>
      </c>
      <c r="P787" s="497" t="s">
        <v>6879</v>
      </c>
      <c r="Q787" s="500"/>
      <c r="R787" s="500"/>
      <c r="S787" s="500"/>
      <c r="T787" s="500"/>
      <c r="U787" s="500"/>
      <c r="V787" s="500"/>
      <c r="W787" s="500"/>
      <c r="X787" s="500"/>
      <c r="Y787" s="500"/>
      <c r="Z787" s="500"/>
      <c r="AA787" s="500"/>
      <c r="AB787" s="500"/>
      <c r="AC787" s="500"/>
      <c r="AD787" s="500"/>
      <c r="AE787" s="497"/>
    </row>
    <row r="788">
      <c r="A788" s="535" t="s">
        <v>6880</v>
      </c>
      <c r="B788" s="531" t="s">
        <v>6561</v>
      </c>
      <c r="C788" s="531" t="s">
        <v>5657</v>
      </c>
      <c r="D788" s="531" t="s">
        <v>5705</v>
      </c>
      <c r="E788" s="531" t="s">
        <v>6241</v>
      </c>
      <c r="F788" s="497" t="s">
        <v>834</v>
      </c>
      <c r="G788" s="498">
        <v>2.0</v>
      </c>
      <c r="H788" s="497" t="s">
        <v>6243</v>
      </c>
      <c r="I788" s="497" t="s">
        <v>2724</v>
      </c>
      <c r="J788" s="497" t="s">
        <v>1331</v>
      </c>
      <c r="K788" s="497" t="s">
        <v>5711</v>
      </c>
      <c r="L788" s="498">
        <v>6.0</v>
      </c>
      <c r="M788" s="497" t="s">
        <v>5879</v>
      </c>
      <c r="N788" s="497" t="s">
        <v>6881</v>
      </c>
      <c r="O788" s="498">
        <v>435.0</v>
      </c>
      <c r="P788" s="497" t="s">
        <v>6882</v>
      </c>
      <c r="Q788" s="500"/>
      <c r="R788" s="500"/>
      <c r="S788" s="500"/>
      <c r="T788" s="500"/>
      <c r="U788" s="500"/>
      <c r="V788" s="500"/>
      <c r="W788" s="500"/>
      <c r="X788" s="500"/>
      <c r="Y788" s="500"/>
      <c r="Z788" s="500"/>
      <c r="AA788" s="500"/>
      <c r="AB788" s="500"/>
      <c r="AC788" s="500"/>
      <c r="AD788" s="500"/>
      <c r="AE788" s="497"/>
    </row>
    <row r="789">
      <c r="A789" s="535" t="s">
        <v>836</v>
      </c>
      <c r="B789" s="534" t="s">
        <v>5699</v>
      </c>
      <c r="C789" s="531" t="s">
        <v>6883</v>
      </c>
      <c r="D789" s="531" t="s">
        <v>5705</v>
      </c>
      <c r="E789" s="531" t="s">
        <v>6241</v>
      </c>
      <c r="F789" s="228" t="s">
        <v>5951</v>
      </c>
    </row>
    <row r="790">
      <c r="A790" s="535" t="s">
        <v>6884</v>
      </c>
      <c r="B790" s="531" t="s">
        <v>2709</v>
      </c>
      <c r="C790" s="531" t="s">
        <v>5667</v>
      </c>
      <c r="D790" s="531" t="s">
        <v>5705</v>
      </c>
      <c r="E790" s="531" t="s">
        <v>6241</v>
      </c>
      <c r="F790" s="497" t="s">
        <v>837</v>
      </c>
      <c r="G790" s="498">
        <v>2.0</v>
      </c>
      <c r="H790" s="497" t="s">
        <v>6243</v>
      </c>
      <c r="I790" s="497" t="s">
        <v>2709</v>
      </c>
      <c r="J790" s="497" t="s">
        <v>6885</v>
      </c>
      <c r="K790" s="497" t="s">
        <v>5734</v>
      </c>
      <c r="L790" s="498">
        <v>6.0</v>
      </c>
      <c r="M790" s="497" t="s">
        <v>6585</v>
      </c>
      <c r="N790" s="497" t="s">
        <v>6886</v>
      </c>
      <c r="O790" s="498">
        <v>320.0</v>
      </c>
      <c r="P790" s="497" t="s">
        <v>6887</v>
      </c>
      <c r="Q790" s="499"/>
      <c r="R790" s="500"/>
      <c r="S790" s="500"/>
      <c r="T790" s="500"/>
      <c r="U790" s="500"/>
      <c r="V790" s="500"/>
      <c r="W790" s="500"/>
      <c r="X790" s="500"/>
      <c r="Y790" s="500"/>
      <c r="Z790" s="500"/>
      <c r="AA790" s="500"/>
      <c r="AB790" s="500"/>
      <c r="AC790" s="500"/>
      <c r="AD790" s="500"/>
      <c r="AE790" s="497"/>
    </row>
    <row r="791">
      <c r="A791" s="461" t="s">
        <v>6888</v>
      </c>
      <c r="B791" s="531" t="s">
        <v>6109</v>
      </c>
      <c r="C791" s="531" t="s">
        <v>5671</v>
      </c>
      <c r="D791" s="531" t="s">
        <v>5725</v>
      </c>
      <c r="E791" s="531" t="s">
        <v>6889</v>
      </c>
      <c r="F791" s="497" t="s">
        <v>322</v>
      </c>
      <c r="G791" s="498">
        <v>2.0</v>
      </c>
      <c r="H791" s="497" t="s">
        <v>6647</v>
      </c>
      <c r="I791" s="497" t="s">
        <v>2695</v>
      </c>
      <c r="J791" s="497" t="s">
        <v>6147</v>
      </c>
      <c r="K791" s="497" t="s">
        <v>5729</v>
      </c>
      <c r="L791" s="498">
        <v>9.0</v>
      </c>
      <c r="M791" s="497" t="s">
        <v>5722</v>
      </c>
      <c r="N791" s="497" t="s">
        <v>6890</v>
      </c>
      <c r="O791" s="498">
        <v>290.0</v>
      </c>
      <c r="P791" s="497" t="s">
        <v>6891</v>
      </c>
      <c r="Q791" s="500"/>
      <c r="R791" s="500"/>
      <c r="S791" s="500"/>
      <c r="T791" s="500"/>
      <c r="U791" s="500"/>
      <c r="V791" s="500"/>
      <c r="W791" s="500"/>
      <c r="X791" s="500"/>
      <c r="Y791" s="500"/>
      <c r="Z791" s="500"/>
      <c r="AA791" s="500"/>
      <c r="AB791" s="500"/>
      <c r="AC791" s="500"/>
      <c r="AD791" s="500"/>
      <c r="AE791" s="497"/>
    </row>
    <row r="792">
      <c r="A792" s="461" t="s">
        <v>328</v>
      </c>
      <c r="B792" s="534" t="s">
        <v>5699</v>
      </c>
      <c r="C792" s="531" t="s">
        <v>6794</v>
      </c>
      <c r="D792" s="531" t="s">
        <v>5725</v>
      </c>
      <c r="E792" s="531" t="s">
        <v>6889</v>
      </c>
      <c r="F792" s="228" t="s">
        <v>5951</v>
      </c>
    </row>
    <row r="793">
      <c r="A793" s="461" t="s">
        <v>331</v>
      </c>
      <c r="B793" s="531" t="s">
        <v>2692</v>
      </c>
      <c r="C793" s="531" t="s">
        <v>5681</v>
      </c>
      <c r="D793" s="531" t="s">
        <v>5725</v>
      </c>
      <c r="E793" s="531" t="s">
        <v>6889</v>
      </c>
      <c r="F793" s="228" t="s">
        <v>5951</v>
      </c>
    </row>
    <row r="794">
      <c r="A794" s="535" t="s">
        <v>6892</v>
      </c>
      <c r="B794" s="534" t="s">
        <v>5749</v>
      </c>
      <c r="C794" s="531" t="s">
        <v>5681</v>
      </c>
      <c r="D794" s="531" t="s">
        <v>5716</v>
      </c>
      <c r="E794" s="531" t="s">
        <v>6241</v>
      </c>
      <c r="F794" s="497" t="s">
        <v>843</v>
      </c>
      <c r="G794" s="498">
        <v>2.0</v>
      </c>
      <c r="H794" s="497" t="s">
        <v>6243</v>
      </c>
      <c r="I794" s="497" t="s">
        <v>2715</v>
      </c>
      <c r="J794" s="497" t="s">
        <v>6203</v>
      </c>
      <c r="K794" s="497" t="s">
        <v>5750</v>
      </c>
      <c r="L794" s="498">
        <v>7.0</v>
      </c>
      <c r="M794" s="497" t="s">
        <v>5794</v>
      </c>
      <c r="N794" s="497" t="s">
        <v>6893</v>
      </c>
      <c r="O794" s="498">
        <v>193.0</v>
      </c>
      <c r="P794" s="497" t="s">
        <v>6894</v>
      </c>
      <c r="Q794" s="499"/>
      <c r="R794" s="500"/>
      <c r="S794" s="500"/>
      <c r="T794" s="500"/>
      <c r="U794" s="500"/>
      <c r="V794" s="500"/>
      <c r="W794" s="500"/>
      <c r="X794" s="500"/>
      <c r="Y794" s="500"/>
      <c r="Z794" s="500"/>
      <c r="AA794" s="500"/>
      <c r="AB794" s="500"/>
      <c r="AC794" s="500"/>
      <c r="AD794" s="500"/>
      <c r="AE794" s="497"/>
    </row>
    <row r="795">
      <c r="A795" s="535" t="s">
        <v>6895</v>
      </c>
      <c r="B795" s="534" t="s">
        <v>5699</v>
      </c>
      <c r="C795" s="531" t="s">
        <v>5681</v>
      </c>
      <c r="D795" s="531" t="s">
        <v>5716</v>
      </c>
      <c r="E795" s="531" t="s">
        <v>6241</v>
      </c>
      <c r="F795" s="497" t="s">
        <v>845</v>
      </c>
      <c r="G795" s="498">
        <v>2.0</v>
      </c>
      <c r="H795" s="497" t="s">
        <v>6243</v>
      </c>
      <c r="I795" s="497" t="s">
        <v>2702</v>
      </c>
      <c r="J795" s="497" t="s">
        <v>6035</v>
      </c>
      <c r="K795" s="497" t="s">
        <v>5750</v>
      </c>
      <c r="L795" s="498">
        <v>7.0</v>
      </c>
      <c r="M795" s="497" t="s">
        <v>5730</v>
      </c>
      <c r="N795" s="497" t="s">
        <v>6896</v>
      </c>
      <c r="O795" s="498">
        <v>80.0</v>
      </c>
      <c r="P795" s="497" t="s">
        <v>6897</v>
      </c>
      <c r="Q795" s="499"/>
      <c r="R795" s="500"/>
      <c r="S795" s="500"/>
      <c r="T795" s="500"/>
      <c r="U795" s="500"/>
      <c r="V795" s="500"/>
      <c r="W795" s="500"/>
      <c r="X795" s="500"/>
      <c r="Y795" s="500"/>
      <c r="Z795" s="500"/>
      <c r="AA795" s="500"/>
      <c r="AB795" s="500"/>
      <c r="AC795" s="500"/>
      <c r="AD795" s="500"/>
      <c r="AE795" s="497"/>
    </row>
    <row r="796">
      <c r="A796" s="535" t="s">
        <v>6898</v>
      </c>
      <c r="B796" s="531" t="s">
        <v>6488</v>
      </c>
      <c r="C796" s="531" t="s">
        <v>5657</v>
      </c>
      <c r="D796" s="531" t="s">
        <v>5716</v>
      </c>
      <c r="E796" s="531" t="s">
        <v>6241</v>
      </c>
      <c r="F796" s="497" t="s">
        <v>847</v>
      </c>
      <c r="G796" s="498">
        <v>2.0</v>
      </c>
      <c r="H796" s="497" t="s">
        <v>6243</v>
      </c>
      <c r="I796" s="497" t="s">
        <v>2704</v>
      </c>
      <c r="J796" s="497" t="s">
        <v>6899</v>
      </c>
      <c r="K796" s="497" t="s">
        <v>5711</v>
      </c>
      <c r="L796" s="498">
        <v>7.0</v>
      </c>
      <c r="M796" s="497" t="s">
        <v>6322</v>
      </c>
      <c r="N796" s="497" t="s">
        <v>6900</v>
      </c>
      <c r="O796" s="498">
        <v>706.0</v>
      </c>
      <c r="P796" s="497" t="s">
        <v>6901</v>
      </c>
      <c r="Q796" s="499"/>
      <c r="R796" s="500"/>
      <c r="S796" s="500"/>
      <c r="T796" s="500"/>
      <c r="U796" s="500"/>
      <c r="V796" s="500"/>
      <c r="W796" s="500"/>
      <c r="X796" s="500"/>
      <c r="Y796" s="500"/>
      <c r="Z796" s="500"/>
      <c r="AA796" s="500"/>
      <c r="AB796" s="500"/>
      <c r="AC796" s="500"/>
      <c r="AD796" s="500"/>
      <c r="AE796" s="497"/>
    </row>
    <row r="797">
      <c r="A797" s="535" t="s">
        <v>863</v>
      </c>
      <c r="B797" s="534" t="s">
        <v>5701</v>
      </c>
      <c r="C797" s="531" t="s">
        <v>5671</v>
      </c>
      <c r="D797" s="531" t="s">
        <v>5716</v>
      </c>
      <c r="E797" s="531" t="s">
        <v>6241</v>
      </c>
      <c r="F797" s="228" t="s">
        <v>5951</v>
      </c>
    </row>
    <row r="798">
      <c r="A798" s="535" t="s">
        <v>6902</v>
      </c>
      <c r="B798" s="531" t="s">
        <v>6110</v>
      </c>
      <c r="C798" s="531" t="s">
        <v>6794</v>
      </c>
      <c r="D798" s="531" t="s">
        <v>5716</v>
      </c>
      <c r="E798" s="531" t="s">
        <v>6241</v>
      </c>
      <c r="F798" s="497" t="s">
        <v>867</v>
      </c>
      <c r="G798" s="498">
        <v>2.0</v>
      </c>
      <c r="H798" s="497" t="s">
        <v>6243</v>
      </c>
      <c r="I798" s="497" t="s">
        <v>2698</v>
      </c>
      <c r="J798" s="497" t="s">
        <v>1352</v>
      </c>
      <c r="K798" s="497" t="s">
        <v>5721</v>
      </c>
      <c r="L798" s="498">
        <v>7.0</v>
      </c>
      <c r="M798" s="497" t="s">
        <v>5763</v>
      </c>
      <c r="N798" s="497" t="s">
        <v>6903</v>
      </c>
      <c r="O798" s="498">
        <v>174.0</v>
      </c>
      <c r="P798" s="497" t="s">
        <v>6904</v>
      </c>
      <c r="Q798" s="499"/>
      <c r="R798" s="500"/>
      <c r="S798" s="500"/>
      <c r="T798" s="500"/>
      <c r="U798" s="500"/>
      <c r="V798" s="500"/>
      <c r="W798" s="500"/>
      <c r="X798" s="500"/>
      <c r="Y798" s="500"/>
      <c r="Z798" s="500"/>
      <c r="AA798" s="500"/>
      <c r="AB798" s="500"/>
      <c r="AC798" s="500"/>
      <c r="AD798" s="500"/>
      <c r="AE798" s="497"/>
    </row>
    <row r="799">
      <c r="A799" s="535" t="s">
        <v>6905</v>
      </c>
      <c r="B799" s="531" t="s">
        <v>2709</v>
      </c>
      <c r="C799" s="531" t="s">
        <v>6794</v>
      </c>
      <c r="D799" s="531" t="s">
        <v>5716</v>
      </c>
      <c r="E799" s="531" t="s">
        <v>6241</v>
      </c>
      <c r="F799" s="497" t="s">
        <v>873</v>
      </c>
      <c r="G799" s="498">
        <v>2.0</v>
      </c>
      <c r="H799" s="497" t="s">
        <v>6243</v>
      </c>
      <c r="I799" s="497" t="s">
        <v>2709</v>
      </c>
      <c r="J799" s="497" t="s">
        <v>6462</v>
      </c>
      <c r="K799" s="497" t="s">
        <v>5721</v>
      </c>
      <c r="L799" s="498">
        <v>7.0</v>
      </c>
      <c r="M799" s="497" t="s">
        <v>6906</v>
      </c>
      <c r="N799" s="497" t="s">
        <v>6907</v>
      </c>
      <c r="O799" s="498">
        <v>181.0</v>
      </c>
      <c r="P799" s="497" t="s">
        <v>6908</v>
      </c>
      <c r="Q799" s="499"/>
      <c r="R799" s="500"/>
      <c r="S799" s="500"/>
      <c r="T799" s="500"/>
      <c r="U799" s="500"/>
      <c r="V799" s="500"/>
      <c r="W799" s="500"/>
      <c r="X799" s="500"/>
      <c r="Y799" s="500"/>
      <c r="Z799" s="500"/>
      <c r="AA799" s="500"/>
      <c r="AB799" s="500"/>
      <c r="AC799" s="500"/>
      <c r="AD799" s="500"/>
      <c r="AE799" s="497"/>
    </row>
    <row r="800">
      <c r="A800" s="535" t="s">
        <v>6909</v>
      </c>
      <c r="B800" s="531" t="s">
        <v>2709</v>
      </c>
      <c r="C800" s="531" t="s">
        <v>5667</v>
      </c>
      <c r="D800" s="531" t="s">
        <v>5719</v>
      </c>
      <c r="E800" s="531" t="s">
        <v>6241</v>
      </c>
      <c r="F800" s="497" t="s">
        <v>38</v>
      </c>
      <c r="G800" s="498">
        <v>2.0</v>
      </c>
      <c r="H800" s="497" t="s">
        <v>6243</v>
      </c>
      <c r="I800" s="497" t="s">
        <v>2709</v>
      </c>
      <c r="J800" s="497" t="s">
        <v>6910</v>
      </c>
      <c r="K800" s="497" t="s">
        <v>5734</v>
      </c>
      <c r="L800" s="498">
        <v>8.0</v>
      </c>
      <c r="M800" s="497" t="s">
        <v>5987</v>
      </c>
      <c r="N800" s="497" t="s">
        <v>6911</v>
      </c>
      <c r="O800" s="498">
        <v>368.0</v>
      </c>
      <c r="P800" s="497" t="s">
        <v>6912</v>
      </c>
      <c r="Q800" s="499"/>
      <c r="R800" s="500"/>
      <c r="S800" s="500"/>
      <c r="T800" s="500"/>
      <c r="U800" s="500"/>
      <c r="V800" s="500"/>
      <c r="W800" s="500"/>
      <c r="X800" s="500"/>
      <c r="Y800" s="500"/>
      <c r="Z800" s="500"/>
      <c r="AA800" s="500"/>
      <c r="AB800" s="500"/>
      <c r="AC800" s="500"/>
      <c r="AD800" s="500"/>
      <c r="AE800" s="497"/>
    </row>
    <row r="801">
      <c r="A801" s="535" t="s">
        <v>6913</v>
      </c>
      <c r="B801" s="531" t="s">
        <v>6109</v>
      </c>
      <c r="C801" s="531" t="s">
        <v>5670</v>
      </c>
      <c r="D801" s="531" t="s">
        <v>5719</v>
      </c>
      <c r="E801" s="531" t="s">
        <v>6241</v>
      </c>
      <c r="F801" s="497" t="s">
        <v>40</v>
      </c>
      <c r="G801" s="498">
        <v>2.0</v>
      </c>
      <c r="H801" s="497" t="s">
        <v>6243</v>
      </c>
      <c r="I801" s="497" t="s">
        <v>2695</v>
      </c>
      <c r="J801" s="497" t="s">
        <v>6348</v>
      </c>
      <c r="K801" s="497" t="s">
        <v>5786</v>
      </c>
      <c r="L801" s="498">
        <v>8.0</v>
      </c>
      <c r="M801" s="497" t="s">
        <v>5879</v>
      </c>
      <c r="N801" s="497" t="s">
        <v>6914</v>
      </c>
      <c r="O801" s="498">
        <v>297.0</v>
      </c>
      <c r="P801" s="497" t="s">
        <v>6915</v>
      </c>
      <c r="Q801" s="500"/>
      <c r="R801" s="500"/>
      <c r="S801" s="500"/>
      <c r="T801" s="500"/>
      <c r="U801" s="500"/>
      <c r="V801" s="500"/>
      <c r="W801" s="500"/>
      <c r="X801" s="500"/>
      <c r="Y801" s="500"/>
      <c r="Z801" s="500"/>
      <c r="AA801" s="500"/>
      <c r="AB801" s="500"/>
      <c r="AC801" s="500"/>
      <c r="AD801" s="500"/>
      <c r="AE801" s="497"/>
    </row>
    <row r="802">
      <c r="A802" s="535" t="s">
        <v>45</v>
      </c>
      <c r="B802" s="531" t="s">
        <v>6109</v>
      </c>
      <c r="C802" s="531" t="s">
        <v>5657</v>
      </c>
      <c r="D802" s="531" t="s">
        <v>5719</v>
      </c>
      <c r="E802" s="531" t="s">
        <v>6241</v>
      </c>
      <c r="F802" s="228" t="s">
        <v>5951</v>
      </c>
    </row>
    <row r="803">
      <c r="A803" s="535" t="s">
        <v>6916</v>
      </c>
      <c r="B803" s="531" t="s">
        <v>6488</v>
      </c>
      <c r="C803" s="531" t="s">
        <v>5657</v>
      </c>
      <c r="D803" s="531" t="s">
        <v>5719</v>
      </c>
      <c r="E803" s="531" t="s">
        <v>6241</v>
      </c>
      <c r="F803" s="497" t="s">
        <v>46</v>
      </c>
      <c r="G803" s="498">
        <v>2.0</v>
      </c>
      <c r="H803" s="497" t="s">
        <v>6243</v>
      </c>
      <c r="I803" s="497" t="s">
        <v>2704</v>
      </c>
      <c r="J803" s="497" t="s">
        <v>1399</v>
      </c>
      <c r="K803" s="497" t="s">
        <v>5711</v>
      </c>
      <c r="L803" s="498">
        <v>8.0</v>
      </c>
      <c r="M803" s="497" t="s">
        <v>5993</v>
      </c>
      <c r="N803" s="497" t="s">
        <v>6917</v>
      </c>
      <c r="O803" s="498">
        <v>473.0</v>
      </c>
      <c r="P803" s="497" t="s">
        <v>6918</v>
      </c>
      <c r="Q803" s="499"/>
      <c r="R803" s="500"/>
      <c r="S803" s="500"/>
      <c r="T803" s="500"/>
      <c r="U803" s="500"/>
      <c r="V803" s="500"/>
      <c r="W803" s="500"/>
      <c r="X803" s="500"/>
      <c r="Y803" s="500"/>
      <c r="Z803" s="500"/>
      <c r="AA803" s="500"/>
      <c r="AB803" s="500"/>
      <c r="AC803" s="500"/>
      <c r="AD803" s="500"/>
      <c r="AE803" s="497"/>
    </row>
    <row r="804">
      <c r="A804" s="535" t="s">
        <v>6919</v>
      </c>
      <c r="B804" s="531" t="s">
        <v>6532</v>
      </c>
      <c r="C804" s="531" t="s">
        <v>5657</v>
      </c>
      <c r="D804" s="531" t="s">
        <v>5719</v>
      </c>
      <c r="E804" s="531" t="s">
        <v>6241</v>
      </c>
      <c r="F804" s="497" t="s">
        <v>51</v>
      </c>
      <c r="G804" s="498">
        <v>2.0</v>
      </c>
      <c r="H804" s="497" t="s">
        <v>6243</v>
      </c>
      <c r="I804" s="497" t="s">
        <v>2740</v>
      </c>
      <c r="J804" s="497" t="s">
        <v>1399</v>
      </c>
      <c r="K804" s="497" t="s">
        <v>5711</v>
      </c>
      <c r="L804" s="498">
        <v>8.0</v>
      </c>
      <c r="M804" s="497" t="s">
        <v>5712</v>
      </c>
      <c r="N804" s="497" t="s">
        <v>6920</v>
      </c>
      <c r="O804" s="498">
        <v>422.0</v>
      </c>
      <c r="P804" s="497" t="s">
        <v>6921</v>
      </c>
      <c r="Q804" s="500"/>
      <c r="R804" s="500"/>
      <c r="S804" s="500"/>
      <c r="T804" s="500"/>
      <c r="U804" s="500"/>
      <c r="V804" s="500"/>
      <c r="W804" s="500"/>
      <c r="X804" s="500"/>
      <c r="Y804" s="500"/>
      <c r="Z804" s="500"/>
      <c r="AA804" s="500"/>
      <c r="AB804" s="500"/>
      <c r="AC804" s="500"/>
      <c r="AD804" s="500"/>
      <c r="AE804" s="497"/>
    </row>
    <row r="805">
      <c r="A805" s="535" t="s">
        <v>55</v>
      </c>
      <c r="B805" s="534" t="s">
        <v>5699</v>
      </c>
      <c r="C805" s="531" t="s">
        <v>5681</v>
      </c>
      <c r="D805" s="531" t="s">
        <v>5719</v>
      </c>
      <c r="E805" s="531" t="s">
        <v>6241</v>
      </c>
      <c r="F805" s="228" t="s">
        <v>5951</v>
      </c>
    </row>
    <row r="806">
      <c r="A806" s="535" t="s">
        <v>56</v>
      </c>
      <c r="B806" s="531" t="s">
        <v>2692</v>
      </c>
      <c r="C806" s="531" t="s">
        <v>5664</v>
      </c>
      <c r="D806" s="531" t="s">
        <v>5719</v>
      </c>
      <c r="E806" s="531" t="s">
        <v>6241</v>
      </c>
      <c r="F806" s="228" t="s">
        <v>5951</v>
      </c>
    </row>
    <row r="807">
      <c r="A807" s="535" t="s">
        <v>68</v>
      </c>
      <c r="B807" s="531" t="s">
        <v>6109</v>
      </c>
      <c r="C807" s="531" t="s">
        <v>5664</v>
      </c>
      <c r="D807" s="531" t="s">
        <v>5725</v>
      </c>
      <c r="E807" s="531" t="s">
        <v>6241</v>
      </c>
      <c r="F807" s="228" t="s">
        <v>5951</v>
      </c>
    </row>
    <row r="808">
      <c r="A808" s="535" t="s">
        <v>69</v>
      </c>
      <c r="B808" s="534" t="s">
        <v>5701</v>
      </c>
      <c r="C808" s="531" t="s">
        <v>5664</v>
      </c>
      <c r="D808" s="531" t="s">
        <v>5725</v>
      </c>
      <c r="E808" s="531" t="s">
        <v>6241</v>
      </c>
      <c r="F808" s="228" t="s">
        <v>5951</v>
      </c>
    </row>
    <row r="809">
      <c r="A809" s="535" t="s">
        <v>70</v>
      </c>
      <c r="B809" s="531" t="s">
        <v>6110</v>
      </c>
      <c r="C809" s="531" t="s">
        <v>5664</v>
      </c>
      <c r="D809" s="531" t="s">
        <v>5725</v>
      </c>
      <c r="E809" s="531" t="s">
        <v>6241</v>
      </c>
      <c r="F809" s="228" t="s">
        <v>5951</v>
      </c>
    </row>
    <row r="810">
      <c r="A810" s="535" t="s">
        <v>71</v>
      </c>
      <c r="B810" s="531" t="s">
        <v>2692</v>
      </c>
      <c r="C810" s="531" t="s">
        <v>5670</v>
      </c>
      <c r="D810" s="531" t="s">
        <v>5725</v>
      </c>
      <c r="E810" s="531" t="s">
        <v>6241</v>
      </c>
      <c r="F810" s="228" t="s">
        <v>5951</v>
      </c>
    </row>
    <row r="811">
      <c r="A811" s="535" t="s">
        <v>72</v>
      </c>
      <c r="B811" s="534" t="s">
        <v>5749</v>
      </c>
      <c r="C811" s="531" t="s">
        <v>5670</v>
      </c>
      <c r="D811" s="531" t="s">
        <v>5725</v>
      </c>
      <c r="E811" s="531" t="s">
        <v>6241</v>
      </c>
      <c r="F811" s="228" t="s">
        <v>5951</v>
      </c>
    </row>
    <row r="812">
      <c r="A812" s="461" t="s">
        <v>6922</v>
      </c>
      <c r="B812" s="531" t="s">
        <v>6109</v>
      </c>
      <c r="C812" s="531" t="s">
        <v>5670</v>
      </c>
      <c r="D812" s="531" t="s">
        <v>5658</v>
      </c>
      <c r="E812" s="531" t="s">
        <v>6889</v>
      </c>
      <c r="F812" s="497" t="s">
        <v>86</v>
      </c>
      <c r="G812" s="498">
        <v>2.0</v>
      </c>
      <c r="H812" s="497" t="s">
        <v>6647</v>
      </c>
      <c r="I812" s="497" t="s">
        <v>2695</v>
      </c>
      <c r="J812" s="497" t="s">
        <v>6923</v>
      </c>
      <c r="K812" s="497" t="s">
        <v>5786</v>
      </c>
      <c r="L812" s="498">
        <v>1.0</v>
      </c>
      <c r="M812" s="497" t="s">
        <v>6270</v>
      </c>
      <c r="N812" s="497" t="s">
        <v>6924</v>
      </c>
      <c r="O812" s="498">
        <v>430.0</v>
      </c>
      <c r="P812" s="497" t="s">
        <v>6925</v>
      </c>
      <c r="Q812" s="500"/>
      <c r="R812" s="500"/>
      <c r="S812" s="500"/>
      <c r="T812" s="500"/>
      <c r="U812" s="500"/>
      <c r="V812" s="500"/>
      <c r="W812" s="500"/>
      <c r="X812" s="500"/>
      <c r="Y812" s="500"/>
      <c r="Z812" s="500"/>
      <c r="AA812" s="500"/>
      <c r="AB812" s="500"/>
      <c r="AC812" s="500"/>
      <c r="AD812" s="500"/>
      <c r="AE812" s="497"/>
    </row>
    <row r="813">
      <c r="A813" s="461" t="s">
        <v>91</v>
      </c>
      <c r="B813" s="534" t="s">
        <v>5699</v>
      </c>
      <c r="C813" s="531" t="s">
        <v>5671</v>
      </c>
      <c r="D813" s="531" t="s">
        <v>5658</v>
      </c>
      <c r="E813" s="531" t="s">
        <v>6889</v>
      </c>
      <c r="F813" s="228" t="s">
        <v>5951</v>
      </c>
    </row>
    <row r="814">
      <c r="A814" s="461" t="s">
        <v>6926</v>
      </c>
      <c r="B814" s="531" t="s">
        <v>6109</v>
      </c>
      <c r="C814" s="531" t="s">
        <v>5657</v>
      </c>
      <c r="D814" s="531" t="s">
        <v>5658</v>
      </c>
      <c r="E814" s="531" t="s">
        <v>6889</v>
      </c>
      <c r="F814" s="497" t="s">
        <v>95</v>
      </c>
      <c r="G814" s="498">
        <v>2.0</v>
      </c>
      <c r="H814" s="497" t="s">
        <v>6647</v>
      </c>
      <c r="I814" s="497" t="s">
        <v>2695</v>
      </c>
      <c r="J814" s="497" t="s">
        <v>6826</v>
      </c>
      <c r="K814" s="497" t="s">
        <v>5711</v>
      </c>
      <c r="L814" s="498">
        <v>1.0</v>
      </c>
      <c r="M814" s="497" t="s">
        <v>5722</v>
      </c>
      <c r="N814" s="497" t="s">
        <v>6927</v>
      </c>
      <c r="O814" s="498">
        <v>375.0</v>
      </c>
      <c r="P814" s="497" t="s">
        <v>6928</v>
      </c>
      <c r="Q814" s="500"/>
      <c r="R814" s="500"/>
      <c r="S814" s="500"/>
      <c r="T814" s="500"/>
      <c r="U814" s="500"/>
      <c r="V814" s="500"/>
      <c r="W814" s="500"/>
      <c r="X814" s="500"/>
      <c r="Y814" s="500"/>
      <c r="Z814" s="500"/>
      <c r="AA814" s="500"/>
      <c r="AB814" s="500"/>
      <c r="AC814" s="500"/>
      <c r="AD814" s="500"/>
      <c r="AE814" s="497"/>
    </row>
    <row r="815">
      <c r="A815" s="461" t="s">
        <v>6929</v>
      </c>
      <c r="B815" s="531" t="s">
        <v>6109</v>
      </c>
      <c r="C815" s="531" t="s">
        <v>5667</v>
      </c>
      <c r="D815" s="531" t="s">
        <v>5668</v>
      </c>
      <c r="E815" s="531" t="s">
        <v>6889</v>
      </c>
      <c r="F815" s="497" t="s">
        <v>120</v>
      </c>
      <c r="G815" s="498">
        <v>2.0</v>
      </c>
      <c r="H815" s="497" t="s">
        <v>6647</v>
      </c>
      <c r="I815" s="497" t="s">
        <v>2695</v>
      </c>
      <c r="J815" s="497" t="s">
        <v>6233</v>
      </c>
      <c r="K815" s="497" t="s">
        <v>5734</v>
      </c>
      <c r="L815" s="498">
        <v>2.0</v>
      </c>
      <c r="M815" s="497" t="s">
        <v>5722</v>
      </c>
      <c r="N815" s="497" t="s">
        <v>6930</v>
      </c>
      <c r="O815" s="498">
        <v>408.0</v>
      </c>
      <c r="P815" s="497" t="s">
        <v>6931</v>
      </c>
      <c r="Q815" s="500"/>
      <c r="R815" s="500"/>
      <c r="S815" s="500"/>
      <c r="T815" s="500"/>
      <c r="U815" s="500"/>
      <c r="V815" s="500"/>
      <c r="W815" s="500"/>
      <c r="X815" s="500"/>
      <c r="Y815" s="500"/>
      <c r="Z815" s="500"/>
      <c r="AA815" s="500"/>
      <c r="AB815" s="500"/>
      <c r="AC815" s="500"/>
      <c r="AD815" s="500"/>
      <c r="AE815" s="497"/>
    </row>
    <row r="816">
      <c r="A816" s="461" t="s">
        <v>6932</v>
      </c>
      <c r="B816" s="531" t="s">
        <v>2709</v>
      </c>
      <c r="C816" s="531" t="s">
        <v>5667</v>
      </c>
      <c r="D816" s="531" t="s">
        <v>5675</v>
      </c>
      <c r="E816" s="531" t="s">
        <v>6889</v>
      </c>
      <c r="F816" s="497" t="s">
        <v>122</v>
      </c>
      <c r="G816" s="498">
        <v>2.0</v>
      </c>
      <c r="H816" s="497" t="s">
        <v>6647</v>
      </c>
      <c r="I816" s="497" t="s">
        <v>2709</v>
      </c>
      <c r="J816" s="497" t="s">
        <v>6933</v>
      </c>
      <c r="K816" s="497" t="s">
        <v>5734</v>
      </c>
      <c r="L816" s="498">
        <v>3.0</v>
      </c>
      <c r="M816" s="497" t="s">
        <v>5987</v>
      </c>
      <c r="N816" s="497" t="s">
        <v>6934</v>
      </c>
      <c r="O816" s="498">
        <v>714.0</v>
      </c>
      <c r="P816" s="497" t="s">
        <v>6935</v>
      </c>
      <c r="Q816" s="499"/>
      <c r="R816" s="500"/>
      <c r="S816" s="500"/>
      <c r="T816" s="500"/>
      <c r="U816" s="500"/>
      <c r="V816" s="500"/>
      <c r="W816" s="500"/>
      <c r="X816" s="500"/>
      <c r="Y816" s="500"/>
      <c r="Z816" s="500"/>
      <c r="AA816" s="500"/>
      <c r="AB816" s="500"/>
      <c r="AC816" s="500"/>
      <c r="AD816" s="500"/>
      <c r="AE816" s="497"/>
    </row>
    <row r="817">
      <c r="A817" s="461" t="s">
        <v>6936</v>
      </c>
      <c r="B817" s="531" t="s">
        <v>6110</v>
      </c>
      <c r="C817" s="531" t="s">
        <v>5664</v>
      </c>
      <c r="D817" s="531" t="s">
        <v>5675</v>
      </c>
      <c r="E817" s="531" t="s">
        <v>6889</v>
      </c>
      <c r="F817" s="497" t="s">
        <v>139</v>
      </c>
      <c r="G817" s="498">
        <v>2.0</v>
      </c>
      <c r="H817" s="497" t="s">
        <v>6647</v>
      </c>
      <c r="I817" s="497" t="s">
        <v>2698</v>
      </c>
      <c r="J817" s="497" t="s">
        <v>6285</v>
      </c>
      <c r="K817" s="497" t="s">
        <v>5754</v>
      </c>
      <c r="L817" s="498">
        <v>3.0</v>
      </c>
      <c r="M817" s="497" t="s">
        <v>5763</v>
      </c>
      <c r="N817" s="497" t="s">
        <v>6937</v>
      </c>
      <c r="O817" s="498">
        <v>260.0</v>
      </c>
      <c r="P817" s="497" t="s">
        <v>6938</v>
      </c>
      <c r="Q817" s="499"/>
      <c r="R817" s="500"/>
      <c r="S817" s="500"/>
      <c r="T817" s="500"/>
      <c r="U817" s="500"/>
      <c r="V817" s="500"/>
      <c r="W817" s="500"/>
      <c r="X817" s="500"/>
      <c r="Y817" s="500"/>
      <c r="Z817" s="500"/>
      <c r="AA817" s="500"/>
      <c r="AB817" s="500"/>
      <c r="AC817" s="500"/>
      <c r="AD817" s="500"/>
      <c r="AE817" s="497"/>
    </row>
    <row r="818">
      <c r="A818" s="461" t="s">
        <v>1656</v>
      </c>
      <c r="B818" s="531" t="s">
        <v>2707</v>
      </c>
      <c r="C818" s="531" t="s">
        <v>5657</v>
      </c>
      <c r="D818" s="531" t="s">
        <v>5675</v>
      </c>
      <c r="E818" s="531" t="s">
        <v>6889</v>
      </c>
      <c r="F818" s="497" t="s">
        <v>152</v>
      </c>
      <c r="G818" s="498">
        <v>2.0</v>
      </c>
      <c r="H818" s="497" t="s">
        <v>6647</v>
      </c>
      <c r="I818" s="497" t="s">
        <v>2707</v>
      </c>
      <c r="J818" s="497" t="s">
        <v>6404</v>
      </c>
      <c r="K818" s="497" t="s">
        <v>5711</v>
      </c>
      <c r="L818" s="498">
        <v>3.0</v>
      </c>
      <c r="M818" s="497" t="s">
        <v>6939</v>
      </c>
      <c r="N818" s="497" t="s">
        <v>6940</v>
      </c>
      <c r="O818" s="498">
        <v>219.0</v>
      </c>
      <c r="P818" s="497" t="s">
        <v>6941</v>
      </c>
      <c r="Q818" s="499"/>
      <c r="R818" s="500"/>
      <c r="S818" s="500"/>
      <c r="T818" s="500"/>
      <c r="U818" s="500"/>
      <c r="V818" s="500"/>
      <c r="W818" s="500"/>
      <c r="X818" s="500"/>
      <c r="Y818" s="500"/>
      <c r="Z818" s="500"/>
      <c r="AA818" s="500"/>
      <c r="AB818" s="500"/>
      <c r="AC818" s="500"/>
      <c r="AD818" s="500"/>
      <c r="AE818" s="497"/>
    </row>
    <row r="819">
      <c r="A819" s="461" t="s">
        <v>6942</v>
      </c>
      <c r="B819" s="531" t="s">
        <v>2704</v>
      </c>
      <c r="C819" s="531" t="s">
        <v>5667</v>
      </c>
      <c r="D819" s="531" t="s">
        <v>5675</v>
      </c>
      <c r="E819" s="531" t="s">
        <v>6889</v>
      </c>
      <c r="F819" s="497" t="s">
        <v>161</v>
      </c>
      <c r="G819" s="498">
        <v>2.0</v>
      </c>
      <c r="H819" s="497" t="s">
        <v>6647</v>
      </c>
      <c r="I819" s="497" t="s">
        <v>2704</v>
      </c>
      <c r="J819" s="497" t="s">
        <v>6943</v>
      </c>
      <c r="K819" s="497" t="s">
        <v>5734</v>
      </c>
      <c r="L819" s="498">
        <v>3.0</v>
      </c>
      <c r="M819" s="497" t="s">
        <v>6322</v>
      </c>
      <c r="N819" s="497" t="s">
        <v>6944</v>
      </c>
      <c r="O819" s="498">
        <v>266.0</v>
      </c>
      <c r="P819" s="497" t="s">
        <v>6945</v>
      </c>
      <c r="Q819" s="499"/>
      <c r="R819" s="500"/>
      <c r="S819" s="500"/>
      <c r="T819" s="500"/>
      <c r="U819" s="500"/>
      <c r="V819" s="500"/>
      <c r="W819" s="500"/>
      <c r="X819" s="500"/>
      <c r="Y819" s="500"/>
      <c r="Z819" s="500"/>
      <c r="AA819" s="500"/>
      <c r="AB819" s="500"/>
      <c r="AC819" s="500"/>
      <c r="AD819" s="500"/>
      <c r="AE819" s="497"/>
    </row>
    <row r="820">
      <c r="A820" s="461" t="s">
        <v>6946</v>
      </c>
      <c r="B820" s="531" t="s">
        <v>6112</v>
      </c>
      <c r="C820" s="531" t="s">
        <v>5664</v>
      </c>
      <c r="D820" s="531" t="s">
        <v>5683</v>
      </c>
      <c r="E820" s="531" t="s">
        <v>6889</v>
      </c>
      <c r="F820" s="497" t="s">
        <v>179</v>
      </c>
      <c r="G820" s="498">
        <v>2.0</v>
      </c>
      <c r="H820" s="497" t="s">
        <v>6647</v>
      </c>
      <c r="I820" s="497" t="s">
        <v>2707</v>
      </c>
      <c r="J820" s="497" t="s">
        <v>6423</v>
      </c>
      <c r="K820" s="497" t="s">
        <v>5754</v>
      </c>
      <c r="L820" s="498">
        <v>4.0</v>
      </c>
      <c r="M820" s="497" t="s">
        <v>6939</v>
      </c>
      <c r="N820" s="497" t="s">
        <v>6947</v>
      </c>
      <c r="O820" s="498">
        <v>339.0</v>
      </c>
      <c r="P820" s="497" t="s">
        <v>6948</v>
      </c>
      <c r="Q820" s="499"/>
      <c r="R820" s="500"/>
      <c r="S820" s="500"/>
      <c r="T820" s="500"/>
      <c r="U820" s="500"/>
      <c r="V820" s="500"/>
      <c r="W820" s="500"/>
      <c r="X820" s="500"/>
      <c r="Y820" s="500"/>
      <c r="Z820" s="500"/>
      <c r="AA820" s="500"/>
      <c r="AB820" s="500"/>
      <c r="AC820" s="500"/>
      <c r="AD820" s="500"/>
      <c r="AE820" s="497"/>
    </row>
    <row r="821">
      <c r="A821" s="461" t="s">
        <v>6949</v>
      </c>
      <c r="B821" s="531" t="s">
        <v>6096</v>
      </c>
      <c r="C821" s="531" t="s">
        <v>5667</v>
      </c>
      <c r="D821" s="531" t="s">
        <v>5683</v>
      </c>
      <c r="E821" s="531" t="s">
        <v>6647</v>
      </c>
      <c r="F821" s="516" t="s">
        <v>184</v>
      </c>
      <c r="G821" s="498">
        <v>2.0</v>
      </c>
      <c r="H821" s="497" t="s">
        <v>6647</v>
      </c>
      <c r="I821" s="497" t="s">
        <v>2709</v>
      </c>
      <c r="J821" s="497" t="s">
        <v>6950</v>
      </c>
      <c r="K821" s="497" t="s">
        <v>5734</v>
      </c>
      <c r="L821" s="498">
        <v>4.0</v>
      </c>
      <c r="M821" s="497" t="s">
        <v>5909</v>
      </c>
      <c r="N821" s="497" t="s">
        <v>6951</v>
      </c>
      <c r="O821" s="498">
        <v>360.0</v>
      </c>
      <c r="P821" s="497" t="s">
        <v>6952</v>
      </c>
      <c r="Q821" s="499"/>
      <c r="R821" s="500"/>
      <c r="S821" s="500"/>
      <c r="T821" s="500"/>
      <c r="U821" s="500"/>
      <c r="V821" s="500"/>
      <c r="W821" s="500"/>
      <c r="X821" s="500"/>
      <c r="Y821" s="500"/>
      <c r="Z821" s="500"/>
      <c r="AA821" s="500"/>
      <c r="AB821" s="500"/>
      <c r="AC821" s="500"/>
      <c r="AD821" s="500"/>
      <c r="AE821" s="497"/>
    </row>
    <row r="822">
      <c r="A822" s="461" t="s">
        <v>6953</v>
      </c>
      <c r="B822" s="531" t="s">
        <v>6096</v>
      </c>
      <c r="C822" s="531" t="s">
        <v>5682</v>
      </c>
      <c r="D822" s="531" t="s">
        <v>5683</v>
      </c>
      <c r="E822" s="531" t="s">
        <v>6647</v>
      </c>
      <c r="F822" s="497" t="s">
        <v>186</v>
      </c>
      <c r="G822" s="498">
        <v>2.0</v>
      </c>
      <c r="H822" s="497" t="s">
        <v>6647</v>
      </c>
      <c r="I822" s="497" t="s">
        <v>2709</v>
      </c>
      <c r="J822" s="497" t="s">
        <v>6408</v>
      </c>
      <c r="K822" s="497" t="s">
        <v>5721</v>
      </c>
      <c r="L822" s="498">
        <v>4.0</v>
      </c>
      <c r="M822" s="497" t="s">
        <v>6401</v>
      </c>
      <c r="N822" s="497" t="s">
        <v>6954</v>
      </c>
      <c r="O822" s="498">
        <v>294.0</v>
      </c>
      <c r="P822" s="497" t="s">
        <v>6955</v>
      </c>
      <c r="Q822" s="499"/>
      <c r="R822" s="500"/>
      <c r="S822" s="500"/>
      <c r="T822" s="500"/>
      <c r="U822" s="500"/>
      <c r="V822" s="500"/>
      <c r="W822" s="500"/>
      <c r="X822" s="500"/>
      <c r="Y822" s="500"/>
      <c r="Z822" s="500"/>
      <c r="AA822" s="500"/>
      <c r="AB822" s="500"/>
      <c r="AC822" s="500"/>
      <c r="AD822" s="500"/>
      <c r="AE822" s="497"/>
    </row>
    <row r="823">
      <c r="A823" s="461" t="s">
        <v>199</v>
      </c>
      <c r="B823" s="534" t="s">
        <v>5749</v>
      </c>
      <c r="C823" s="531" t="s">
        <v>5657</v>
      </c>
      <c r="D823" s="531" t="s">
        <v>5683</v>
      </c>
      <c r="E823" s="531" t="s">
        <v>6647</v>
      </c>
      <c r="F823" s="228" t="s">
        <v>5951</v>
      </c>
    </row>
    <row r="824">
      <c r="A824" s="461" t="s">
        <v>6956</v>
      </c>
      <c r="B824" s="531" t="s">
        <v>2704</v>
      </c>
      <c r="C824" s="531" t="s">
        <v>5664</v>
      </c>
      <c r="D824" s="531" t="s">
        <v>5683</v>
      </c>
      <c r="E824" s="531" t="s">
        <v>6647</v>
      </c>
      <c r="F824" s="497" t="s">
        <v>200</v>
      </c>
      <c r="G824" s="498">
        <v>2.0</v>
      </c>
      <c r="H824" s="497" t="s">
        <v>6647</v>
      </c>
      <c r="I824" s="497" t="s">
        <v>2704</v>
      </c>
      <c r="J824" s="497" t="s">
        <v>6957</v>
      </c>
      <c r="K824" s="497" t="s">
        <v>5754</v>
      </c>
      <c r="L824" s="498">
        <v>4.0</v>
      </c>
      <c r="M824" s="497" t="s">
        <v>5839</v>
      </c>
      <c r="N824" s="497" t="s">
        <v>6958</v>
      </c>
      <c r="O824" s="498">
        <v>1125.0</v>
      </c>
      <c r="P824" s="497" t="s">
        <v>6959</v>
      </c>
      <c r="Q824" s="499"/>
      <c r="R824" s="500"/>
      <c r="S824" s="500"/>
      <c r="T824" s="500"/>
      <c r="U824" s="500"/>
      <c r="V824" s="500"/>
      <c r="W824" s="500"/>
      <c r="X824" s="500"/>
      <c r="Y824" s="500"/>
      <c r="Z824" s="500"/>
      <c r="AA824" s="500"/>
      <c r="AB824" s="500"/>
      <c r="AC824" s="500"/>
      <c r="AD824" s="500"/>
      <c r="AE824" s="497"/>
    </row>
    <row r="825">
      <c r="A825" s="461" t="s">
        <v>207</v>
      </c>
      <c r="B825" s="531" t="s">
        <v>2692</v>
      </c>
      <c r="C825" s="531" t="s">
        <v>5657</v>
      </c>
      <c r="D825" s="531" t="s">
        <v>5692</v>
      </c>
      <c r="E825" s="531" t="s">
        <v>6647</v>
      </c>
      <c r="F825" s="228" t="s">
        <v>5951</v>
      </c>
    </row>
    <row r="826">
      <c r="A826" s="461" t="s">
        <v>6960</v>
      </c>
      <c r="B826" s="531" t="s">
        <v>6110</v>
      </c>
      <c r="C826" s="531" t="s">
        <v>5657</v>
      </c>
      <c r="D826" s="531" t="s">
        <v>5692</v>
      </c>
      <c r="E826" s="531" t="s">
        <v>6647</v>
      </c>
      <c r="F826" s="497" t="s">
        <v>208</v>
      </c>
      <c r="G826" s="498">
        <v>2.0</v>
      </c>
      <c r="H826" s="497" t="s">
        <v>6647</v>
      </c>
      <c r="I826" s="497" t="s">
        <v>2698</v>
      </c>
      <c r="J826" s="497" t="s">
        <v>6175</v>
      </c>
      <c r="K826" s="497" t="s">
        <v>5711</v>
      </c>
      <c r="L826" s="498">
        <v>5.0</v>
      </c>
      <c r="M826" s="497" t="s">
        <v>5790</v>
      </c>
      <c r="N826" s="497" t="s">
        <v>6961</v>
      </c>
      <c r="O826" s="498">
        <v>334.0</v>
      </c>
      <c r="P826" s="497" t="s">
        <v>6962</v>
      </c>
      <c r="Q826" s="499"/>
      <c r="R826" s="500"/>
      <c r="S826" s="500"/>
      <c r="T826" s="500"/>
      <c r="U826" s="500"/>
      <c r="V826" s="500"/>
      <c r="W826" s="500"/>
      <c r="X826" s="500"/>
      <c r="Y826" s="500"/>
      <c r="Z826" s="500"/>
      <c r="AA826" s="500"/>
      <c r="AB826" s="500"/>
      <c r="AC826" s="500"/>
      <c r="AD826" s="500"/>
      <c r="AE826" s="497"/>
    </row>
    <row r="827">
      <c r="A827" s="461" t="s">
        <v>2315</v>
      </c>
      <c r="B827" s="531" t="s">
        <v>2692</v>
      </c>
      <c r="C827" s="531" t="s">
        <v>5671</v>
      </c>
      <c r="D827" s="531" t="s">
        <v>5658</v>
      </c>
      <c r="E827" s="531" t="s">
        <v>6241</v>
      </c>
      <c r="F827" s="228" t="s">
        <v>5951</v>
      </c>
    </row>
    <row r="828">
      <c r="A828" s="461" t="s">
        <v>2317</v>
      </c>
      <c r="B828" s="532" t="str">
        <f>HYPERLINK("https://dunia.tempo.co/read/1170822/pemimpin-kuil-setan-takut-kepada-wapres-as-mike-pence-alasannya/full&amp;view=ok","Tempo.co")</f>
        <v>Tempo.co</v>
      </c>
      <c r="C828" s="531" t="s">
        <v>6489</v>
      </c>
      <c r="D828" s="531" t="s">
        <v>5658</v>
      </c>
      <c r="E828" s="531" t="s">
        <v>6241</v>
      </c>
      <c r="F828" s="228" t="s">
        <v>5951</v>
      </c>
    </row>
    <row r="829">
      <c r="A829" s="461" t="s">
        <v>2329</v>
      </c>
      <c r="B829" s="531" t="s">
        <v>2704</v>
      </c>
      <c r="C829" s="531" t="s">
        <v>6489</v>
      </c>
      <c r="D829" s="531" t="s">
        <v>6687</v>
      </c>
      <c r="E829" s="531" t="s">
        <v>6241</v>
      </c>
      <c r="F829" s="228" t="s">
        <v>5951</v>
      </c>
    </row>
    <row r="830">
      <c r="A830" s="461" t="s">
        <v>2348</v>
      </c>
      <c r="B830" s="532" t="str">
        <f>HYPERLINK("https://sains.kompas.com/read/2019/03/11/100200223/dalang-punahnya-hewan-raksasa-adalah-moyang-kita-2-hal-ini-buktinya?page=all#page2","Kompas")</f>
        <v>Kompas</v>
      </c>
      <c r="C830" s="531" t="s">
        <v>5657</v>
      </c>
      <c r="D830" s="531" t="s">
        <v>5675</v>
      </c>
      <c r="E830" s="531" t="s">
        <v>6241</v>
      </c>
      <c r="F830" s="228" t="s">
        <v>5951</v>
      </c>
    </row>
    <row r="831">
      <c r="A831" s="461" t="s">
        <v>6963</v>
      </c>
      <c r="B831" s="532" t="str">
        <f>HYPERLINK("https://celebrity.okezone.com/read/2019/03/22/33/2033367/klaim-sudah-menikah-intip-deretan-foto-seksi-lucinta-luna","okezone")</f>
        <v>okezone</v>
      </c>
      <c r="C831" s="531" t="s">
        <v>5667</v>
      </c>
      <c r="D831" s="531" t="s">
        <v>5675</v>
      </c>
      <c r="E831" s="531" t="s">
        <v>6241</v>
      </c>
      <c r="F831" s="497" t="s">
        <v>2354</v>
      </c>
      <c r="G831" s="498">
        <v>2.0</v>
      </c>
      <c r="H831" s="497" t="s">
        <v>6243</v>
      </c>
      <c r="I831" s="497" t="s">
        <v>2709</v>
      </c>
      <c r="J831" s="497" t="s">
        <v>6964</v>
      </c>
      <c r="K831" s="497" t="s">
        <v>5734</v>
      </c>
      <c r="L831" s="498">
        <v>3.0</v>
      </c>
      <c r="M831" s="497" t="s">
        <v>6159</v>
      </c>
      <c r="N831" s="497" t="s">
        <v>6965</v>
      </c>
      <c r="O831" s="498">
        <v>379.0</v>
      </c>
      <c r="P831" s="497" t="s">
        <v>6966</v>
      </c>
      <c r="Q831" s="499"/>
      <c r="R831" s="500"/>
      <c r="S831" s="500"/>
      <c r="T831" s="500"/>
      <c r="U831" s="500"/>
      <c r="V831" s="500"/>
      <c r="W831" s="500"/>
      <c r="X831" s="500"/>
      <c r="Y831" s="500"/>
      <c r="Z831" s="500"/>
      <c r="AA831" s="500"/>
      <c r="AB831" s="500"/>
      <c r="AC831" s="500"/>
      <c r="AD831" s="500"/>
      <c r="AE831" s="497"/>
    </row>
    <row r="832">
      <c r="A832" s="461" t="s">
        <v>6967</v>
      </c>
      <c r="B832" s="532" t="str">
        <f>HYPERLINK("https://seleb.tempo.co/read/1193244/dinilai-mengandung-ilmu-sihir-buku-harry-potter-dibakar/full&amp;view=ok","Tempo.co")</f>
        <v>Tempo.co</v>
      </c>
      <c r="C832" s="531" t="s">
        <v>5671</v>
      </c>
      <c r="D832" s="531" t="s">
        <v>5683</v>
      </c>
      <c r="E832" s="531" t="s">
        <v>6241</v>
      </c>
      <c r="F832" s="497" t="s">
        <v>2377</v>
      </c>
      <c r="G832" s="498">
        <v>2.0</v>
      </c>
      <c r="H832" s="497" t="s">
        <v>6243</v>
      </c>
      <c r="I832" s="497" t="s">
        <v>2702</v>
      </c>
      <c r="J832" s="497" t="s">
        <v>1495</v>
      </c>
      <c r="K832" s="497" t="s">
        <v>5729</v>
      </c>
      <c r="L832" s="498">
        <v>4.0</v>
      </c>
      <c r="M832" s="497" t="s">
        <v>6968</v>
      </c>
      <c r="N832" s="497" t="s">
        <v>6969</v>
      </c>
      <c r="O832" s="498">
        <v>290.0</v>
      </c>
      <c r="P832" s="497" t="s">
        <v>6970</v>
      </c>
      <c r="Q832" s="499"/>
      <c r="R832" s="500"/>
      <c r="S832" s="500"/>
      <c r="T832" s="500"/>
      <c r="U832" s="500"/>
      <c r="V832" s="500"/>
      <c r="W832" s="500"/>
      <c r="X832" s="500"/>
      <c r="Y832" s="500"/>
      <c r="Z832" s="500"/>
      <c r="AA832" s="500"/>
      <c r="AB832" s="500"/>
      <c r="AC832" s="500"/>
      <c r="AD832" s="500"/>
      <c r="AE832" s="497"/>
    </row>
    <row r="833">
      <c r="A833" s="461" t="s">
        <v>6971</v>
      </c>
      <c r="B833" s="531" t="s">
        <v>6112</v>
      </c>
      <c r="C833" s="531" t="s">
        <v>5681</v>
      </c>
      <c r="D833" s="531" t="s">
        <v>5683</v>
      </c>
      <c r="E833" s="531" t="s">
        <v>6241</v>
      </c>
      <c r="F833" s="497" t="s">
        <v>2379</v>
      </c>
      <c r="G833" s="498">
        <v>2.0</v>
      </c>
      <c r="H833" s="497" t="s">
        <v>6243</v>
      </c>
      <c r="I833" s="497" t="s">
        <v>2707</v>
      </c>
      <c r="J833" s="497" t="s">
        <v>6972</v>
      </c>
      <c r="K833" s="497" t="s">
        <v>5750</v>
      </c>
      <c r="L833" s="498">
        <v>4.0</v>
      </c>
      <c r="M833" s="497" t="s">
        <v>6973</v>
      </c>
      <c r="N833" s="497" t="s">
        <v>6974</v>
      </c>
      <c r="O833" s="498">
        <v>451.0</v>
      </c>
      <c r="P833" s="497" t="s">
        <v>6975</v>
      </c>
      <c r="Q833" s="499"/>
      <c r="R833" s="500"/>
      <c r="S833" s="500"/>
      <c r="T833" s="500"/>
      <c r="U833" s="500"/>
      <c r="V833" s="500"/>
      <c r="W833" s="500"/>
      <c r="X833" s="500"/>
      <c r="Y833" s="500"/>
      <c r="Z833" s="500"/>
      <c r="AA833" s="500"/>
      <c r="AB833" s="500"/>
      <c r="AC833" s="500"/>
      <c r="AD833" s="500"/>
      <c r="AE833" s="497"/>
    </row>
    <row r="834">
      <c r="A834" s="461" t="s">
        <v>2381</v>
      </c>
      <c r="B834" s="531" t="s">
        <v>6109</v>
      </c>
      <c r="C834" s="531" t="s">
        <v>5682</v>
      </c>
      <c r="D834" s="531" t="s">
        <v>5683</v>
      </c>
      <c r="E834" s="531" t="s">
        <v>6241</v>
      </c>
      <c r="F834" s="228" t="s">
        <v>5951</v>
      </c>
    </row>
    <row r="835">
      <c r="A835" s="461" t="s">
        <v>6976</v>
      </c>
      <c r="B835" s="531" t="s">
        <v>6109</v>
      </c>
      <c r="C835" s="531" t="s">
        <v>5681</v>
      </c>
      <c r="D835" s="531" t="s">
        <v>6493</v>
      </c>
      <c r="E835" s="531" t="s">
        <v>6241</v>
      </c>
      <c r="F835" s="497" t="s">
        <v>2391</v>
      </c>
      <c r="G835" s="498">
        <v>2.0</v>
      </c>
      <c r="H835" s="497" t="s">
        <v>6243</v>
      </c>
      <c r="I835" s="497" t="s">
        <v>2695</v>
      </c>
      <c r="J835" s="497" t="s">
        <v>6584</v>
      </c>
      <c r="K835" s="497" t="s">
        <v>5750</v>
      </c>
      <c r="L835" s="498">
        <v>5.0</v>
      </c>
      <c r="M835" s="497" t="s">
        <v>5722</v>
      </c>
      <c r="N835" s="497" t="s">
        <v>6977</v>
      </c>
      <c r="O835" s="498">
        <v>421.0</v>
      </c>
      <c r="P835" s="497" t="s">
        <v>6978</v>
      </c>
      <c r="Q835" s="500"/>
      <c r="R835" s="500"/>
      <c r="S835" s="500"/>
      <c r="T835" s="500"/>
      <c r="U835" s="500"/>
      <c r="V835" s="500"/>
      <c r="W835" s="500"/>
      <c r="X835" s="500"/>
      <c r="Y835" s="500"/>
      <c r="Z835" s="500"/>
      <c r="AA835" s="500"/>
      <c r="AB835" s="500"/>
      <c r="AC835" s="500"/>
      <c r="AD835" s="500"/>
      <c r="AE835" s="497"/>
    </row>
    <row r="836">
      <c r="A836" s="461" t="s">
        <v>2398</v>
      </c>
      <c r="B836" s="531" t="s">
        <v>2709</v>
      </c>
      <c r="C836" s="531" t="s">
        <v>5671</v>
      </c>
      <c r="D836" s="531" t="s">
        <v>5692</v>
      </c>
      <c r="E836" s="531" t="s">
        <v>6241</v>
      </c>
      <c r="F836" s="228" t="s">
        <v>5951</v>
      </c>
    </row>
    <row r="837">
      <c r="A837" s="461" t="s">
        <v>6979</v>
      </c>
      <c r="B837" s="532" t="str">
        <f>HYPERLINK("https://kolom.tempo.co/read/1207896/setelah-jokowi-menang-lagi/full&amp;view=ok","Tempo.co")</f>
        <v>Tempo.co</v>
      </c>
      <c r="C837" s="531" t="s">
        <v>5657</v>
      </c>
      <c r="D837" s="531" t="s">
        <v>6493</v>
      </c>
      <c r="E837" s="531" t="s">
        <v>6241</v>
      </c>
      <c r="F837" s="497" t="s">
        <v>2399</v>
      </c>
      <c r="G837" s="498">
        <v>2.0</v>
      </c>
      <c r="H837" s="497" t="s">
        <v>6243</v>
      </c>
      <c r="I837" s="497" t="s">
        <v>2702</v>
      </c>
      <c r="J837" s="497" t="s">
        <v>6980</v>
      </c>
      <c r="K837" s="497" t="s">
        <v>5711</v>
      </c>
      <c r="L837" s="498">
        <v>5.0</v>
      </c>
      <c r="M837" s="497" t="s">
        <v>6357</v>
      </c>
      <c r="N837" s="497" t="s">
        <v>6981</v>
      </c>
      <c r="O837" s="498">
        <v>407.0</v>
      </c>
      <c r="P837" s="497" t="s">
        <v>6982</v>
      </c>
      <c r="Q837" s="499"/>
      <c r="R837" s="500"/>
      <c r="S837" s="500"/>
      <c r="T837" s="500"/>
      <c r="U837" s="500"/>
      <c r="V837" s="500"/>
      <c r="W837" s="500"/>
      <c r="X837" s="500"/>
      <c r="Y837" s="500"/>
      <c r="Z837" s="500"/>
      <c r="AA837" s="500"/>
      <c r="AB837" s="500"/>
      <c r="AC837" s="500"/>
      <c r="AD837" s="500"/>
      <c r="AE837" s="497"/>
    </row>
    <row r="838">
      <c r="A838" s="461" t="s">
        <v>6983</v>
      </c>
      <c r="B838" s="531" t="s">
        <v>6561</v>
      </c>
      <c r="C838" s="531" t="s">
        <v>5681</v>
      </c>
      <c r="D838" s="531" t="s">
        <v>5705</v>
      </c>
      <c r="E838" s="531" t="s">
        <v>6241</v>
      </c>
      <c r="F838" s="497" t="s">
        <v>2402</v>
      </c>
      <c r="G838" s="498">
        <v>2.0</v>
      </c>
      <c r="H838" s="497" t="s">
        <v>6243</v>
      </c>
      <c r="I838" s="497" t="s">
        <v>2724</v>
      </c>
      <c r="J838" s="497" t="s">
        <v>6589</v>
      </c>
      <c r="K838" s="497" t="s">
        <v>5750</v>
      </c>
      <c r="L838" s="498">
        <v>6.0</v>
      </c>
      <c r="M838" s="497" t="s">
        <v>5879</v>
      </c>
      <c r="N838" s="497" t="s">
        <v>6984</v>
      </c>
      <c r="O838" s="498">
        <v>290.0</v>
      </c>
      <c r="P838" s="497" t="s">
        <v>6985</v>
      </c>
      <c r="Q838" s="499"/>
      <c r="R838" s="500"/>
      <c r="S838" s="500"/>
      <c r="T838" s="500"/>
      <c r="U838" s="500"/>
      <c r="V838" s="500"/>
      <c r="W838" s="500"/>
      <c r="X838" s="500"/>
      <c r="Y838" s="500"/>
      <c r="Z838" s="500"/>
      <c r="AA838" s="500"/>
      <c r="AB838" s="500"/>
      <c r="AC838" s="500"/>
      <c r="AD838" s="500"/>
      <c r="AE838" s="497"/>
    </row>
    <row r="839">
      <c r="A839" s="461" t="s">
        <v>6986</v>
      </c>
      <c r="B839" s="531" t="s">
        <v>6112</v>
      </c>
      <c r="C839" s="531" t="s">
        <v>5671</v>
      </c>
      <c r="D839" s="531" t="s">
        <v>5705</v>
      </c>
      <c r="E839" s="531" t="s">
        <v>6241</v>
      </c>
      <c r="F839" s="497" t="s">
        <v>2404</v>
      </c>
      <c r="G839" s="498">
        <v>2.0</v>
      </c>
      <c r="H839" s="497" t="s">
        <v>6243</v>
      </c>
      <c r="I839" s="497" t="s">
        <v>2707</v>
      </c>
      <c r="J839" s="497" t="s">
        <v>6503</v>
      </c>
      <c r="K839" s="497" t="s">
        <v>5729</v>
      </c>
      <c r="L839" s="498">
        <v>6.0</v>
      </c>
      <c r="M839" s="497" t="s">
        <v>6113</v>
      </c>
      <c r="N839" s="497" t="s">
        <v>6987</v>
      </c>
      <c r="O839" s="498">
        <v>269.0</v>
      </c>
      <c r="P839" s="497" t="s">
        <v>6988</v>
      </c>
      <c r="Q839" s="499"/>
      <c r="R839" s="500"/>
      <c r="S839" s="500"/>
      <c r="T839" s="500"/>
      <c r="U839" s="500"/>
      <c r="V839" s="500"/>
      <c r="W839" s="500"/>
      <c r="X839" s="500"/>
      <c r="Y839" s="500"/>
      <c r="Z839" s="500"/>
      <c r="AA839" s="500"/>
      <c r="AB839" s="500"/>
      <c r="AC839" s="500"/>
      <c r="AD839" s="500"/>
      <c r="AE839" s="497"/>
    </row>
    <row r="840">
      <c r="A840" s="461" t="s">
        <v>2415</v>
      </c>
      <c r="B840" s="532" t="str">
        <f>HYPERLINK("https://gayahidup.republika.co.id/berita/gaya-hidup/tips/pt4do1/ini-25-universitas-terbaik-di-dunia","Republika")</f>
        <v>Republika</v>
      </c>
      <c r="C840" s="531" t="s">
        <v>6489</v>
      </c>
      <c r="D840" s="531" t="s">
        <v>5705</v>
      </c>
      <c r="E840" s="531" t="s">
        <v>6241</v>
      </c>
      <c r="F840" s="228" t="s">
        <v>5951</v>
      </c>
    </row>
    <row r="841">
      <c r="A841" s="461" t="s">
        <v>6989</v>
      </c>
      <c r="B841" s="531" t="s">
        <v>6101</v>
      </c>
      <c r="C841" s="531" t="s">
        <v>5667</v>
      </c>
      <c r="D841" s="531" t="s">
        <v>5705</v>
      </c>
      <c r="E841" s="531" t="s">
        <v>6241</v>
      </c>
      <c r="F841" s="497" t="s">
        <v>2420</v>
      </c>
      <c r="G841" s="498">
        <v>2.0</v>
      </c>
      <c r="H841" s="497" t="s">
        <v>6243</v>
      </c>
      <c r="I841" s="497" t="s">
        <v>2715</v>
      </c>
      <c r="J841" s="497" t="s">
        <v>6885</v>
      </c>
      <c r="K841" s="497" t="s">
        <v>5734</v>
      </c>
      <c r="L841" s="498">
        <v>6.0</v>
      </c>
      <c r="M841" s="497" t="s">
        <v>5993</v>
      </c>
      <c r="N841" s="497" t="s">
        <v>6990</v>
      </c>
      <c r="O841" s="498">
        <v>277.0</v>
      </c>
      <c r="P841" s="497" t="s">
        <v>6991</v>
      </c>
      <c r="Q841" s="499"/>
      <c r="R841" s="500"/>
      <c r="S841" s="500"/>
      <c r="T841" s="500"/>
      <c r="U841" s="500"/>
      <c r="V841" s="500"/>
      <c r="W841" s="500"/>
      <c r="X841" s="500"/>
      <c r="Y841" s="500"/>
      <c r="Z841" s="500"/>
      <c r="AA841" s="500"/>
      <c r="AB841" s="500"/>
      <c r="AC841" s="500"/>
      <c r="AD841" s="500"/>
      <c r="AE841" s="497"/>
    </row>
    <row r="842">
      <c r="A842" s="461" t="s">
        <v>6992</v>
      </c>
      <c r="B842" s="531" t="s">
        <v>6532</v>
      </c>
      <c r="C842" s="531" t="s">
        <v>5657</v>
      </c>
      <c r="D842" s="531" t="s">
        <v>5716</v>
      </c>
      <c r="E842" s="531" t="s">
        <v>6241</v>
      </c>
      <c r="F842" s="497" t="s">
        <v>2428</v>
      </c>
      <c r="G842" s="498">
        <v>2.0</v>
      </c>
      <c r="H842" s="497" t="s">
        <v>6243</v>
      </c>
      <c r="I842" s="497" t="s">
        <v>2740</v>
      </c>
      <c r="J842" s="497" t="s">
        <v>6993</v>
      </c>
      <c r="K842" s="497" t="s">
        <v>5711</v>
      </c>
      <c r="L842" s="498">
        <v>7.0</v>
      </c>
      <c r="M842" s="497" t="s">
        <v>5755</v>
      </c>
      <c r="N842" s="497" t="s">
        <v>6994</v>
      </c>
      <c r="O842" s="498">
        <v>768.0</v>
      </c>
      <c r="P842" s="497" t="s">
        <v>6995</v>
      </c>
      <c r="Q842" s="500"/>
      <c r="R842" s="500"/>
      <c r="S842" s="500"/>
      <c r="T842" s="500"/>
      <c r="U842" s="500"/>
      <c r="V842" s="500"/>
      <c r="W842" s="500"/>
      <c r="X842" s="500"/>
      <c r="Y842" s="500"/>
      <c r="Z842" s="500"/>
      <c r="AA842" s="500"/>
      <c r="AB842" s="500"/>
      <c r="AC842" s="500"/>
      <c r="AD842" s="500"/>
      <c r="AE842" s="497"/>
    </row>
    <row r="843">
      <c r="A843" s="461" t="s">
        <v>6996</v>
      </c>
      <c r="B843" s="531" t="s">
        <v>2692</v>
      </c>
      <c r="C843" s="531" t="s">
        <v>6489</v>
      </c>
      <c r="D843" s="531" t="s">
        <v>5716</v>
      </c>
      <c r="E843" s="531" t="s">
        <v>6241</v>
      </c>
      <c r="F843" s="497" t="s">
        <v>2437</v>
      </c>
      <c r="G843" s="498">
        <v>2.0</v>
      </c>
      <c r="H843" s="497" t="s">
        <v>6243</v>
      </c>
      <c r="I843" s="497" t="s">
        <v>2692</v>
      </c>
      <c r="J843" s="497" t="s">
        <v>6997</v>
      </c>
      <c r="K843" s="497" t="s">
        <v>5754</v>
      </c>
      <c r="L843" s="498">
        <v>7.0</v>
      </c>
      <c r="M843" s="497" t="s">
        <v>5854</v>
      </c>
      <c r="N843" s="497" t="s">
        <v>6998</v>
      </c>
      <c r="O843" s="498">
        <v>179.0</v>
      </c>
      <c r="P843" s="497" t="s">
        <v>6999</v>
      </c>
      <c r="Q843" s="499"/>
      <c r="R843" s="500"/>
      <c r="S843" s="500"/>
      <c r="T843" s="500"/>
      <c r="U843" s="500"/>
      <c r="V843" s="500"/>
      <c r="W843" s="500"/>
      <c r="X843" s="500"/>
      <c r="Y843" s="500"/>
      <c r="Z843" s="500"/>
      <c r="AA843" s="500"/>
      <c r="AB843" s="500"/>
      <c r="AC843" s="500"/>
      <c r="AD843" s="500"/>
      <c r="AE843" s="497"/>
    </row>
    <row r="844">
      <c r="A844" s="461" t="s">
        <v>7000</v>
      </c>
      <c r="B844" s="534" t="s">
        <v>5699</v>
      </c>
      <c r="C844" s="531" t="s">
        <v>5667</v>
      </c>
      <c r="D844" s="531" t="s">
        <v>5716</v>
      </c>
      <c r="E844" s="531" t="s">
        <v>6241</v>
      </c>
      <c r="F844" s="497" t="s">
        <v>2440</v>
      </c>
      <c r="G844" s="498">
        <v>2.0</v>
      </c>
      <c r="H844" s="497" t="s">
        <v>6243</v>
      </c>
      <c r="I844" s="497" t="s">
        <v>2702</v>
      </c>
      <c r="J844" s="497" t="s">
        <v>7001</v>
      </c>
      <c r="K844" s="497" t="s">
        <v>5734</v>
      </c>
      <c r="L844" s="498">
        <v>7.0</v>
      </c>
      <c r="M844" s="497" t="s">
        <v>5803</v>
      </c>
      <c r="N844" s="497" t="s">
        <v>7002</v>
      </c>
      <c r="O844" s="498">
        <v>616.0</v>
      </c>
      <c r="P844" s="497" t="s">
        <v>7003</v>
      </c>
      <c r="Q844" s="499"/>
      <c r="R844" s="500"/>
      <c r="S844" s="500"/>
      <c r="T844" s="500"/>
      <c r="U844" s="500"/>
      <c r="V844" s="500"/>
      <c r="W844" s="500"/>
      <c r="X844" s="500"/>
      <c r="Y844" s="500"/>
      <c r="Z844" s="500"/>
      <c r="AA844" s="500"/>
      <c r="AB844" s="500"/>
      <c r="AC844" s="500"/>
      <c r="AD844" s="500"/>
      <c r="AE844" s="497"/>
    </row>
    <row r="845">
      <c r="A845" s="461" t="s">
        <v>2445</v>
      </c>
      <c r="B845" s="531" t="s">
        <v>6109</v>
      </c>
      <c r="C845" s="531" t="s">
        <v>5681</v>
      </c>
      <c r="D845" s="531" t="s">
        <v>5716</v>
      </c>
      <c r="E845" s="531" t="s">
        <v>6241</v>
      </c>
      <c r="F845" s="228" t="s">
        <v>5951</v>
      </c>
    </row>
    <row r="846">
      <c r="A846" s="461" t="s">
        <v>7004</v>
      </c>
      <c r="B846" s="531" t="s">
        <v>6532</v>
      </c>
      <c r="C846" s="531" t="s">
        <v>6489</v>
      </c>
      <c r="D846" s="531" t="s">
        <v>5716</v>
      </c>
      <c r="E846" s="531" t="s">
        <v>6241</v>
      </c>
      <c r="F846" s="497" t="s">
        <v>2455</v>
      </c>
      <c r="G846" s="498">
        <v>2.0</v>
      </c>
      <c r="H846" s="497" t="s">
        <v>6243</v>
      </c>
      <c r="I846" s="497" t="s">
        <v>2740</v>
      </c>
      <c r="J846" s="497" t="s">
        <v>6633</v>
      </c>
      <c r="K846" s="497" t="s">
        <v>5754</v>
      </c>
      <c r="L846" s="498">
        <v>7.0</v>
      </c>
      <c r="M846" s="497" t="s">
        <v>5712</v>
      </c>
      <c r="N846" s="497" t="s">
        <v>7005</v>
      </c>
      <c r="O846" s="498">
        <v>373.0</v>
      </c>
      <c r="P846" s="497" t="s">
        <v>7006</v>
      </c>
      <c r="Q846" s="500"/>
      <c r="R846" s="500"/>
      <c r="S846" s="500"/>
      <c r="T846" s="500"/>
      <c r="U846" s="500"/>
      <c r="V846" s="500"/>
      <c r="W846" s="500"/>
      <c r="X846" s="500"/>
      <c r="Y846" s="500"/>
      <c r="Z846" s="500"/>
      <c r="AA846" s="500"/>
      <c r="AB846" s="500"/>
      <c r="AC846" s="500"/>
      <c r="AD846" s="500"/>
      <c r="AE846" s="497"/>
    </row>
    <row r="847">
      <c r="A847" s="461" t="s">
        <v>2464</v>
      </c>
      <c r="B847" s="531" t="s">
        <v>6482</v>
      </c>
      <c r="C847" s="531" t="s">
        <v>5667</v>
      </c>
      <c r="D847" s="531" t="s">
        <v>5719</v>
      </c>
      <c r="E847" s="531" t="s">
        <v>6241</v>
      </c>
      <c r="F847" s="228" t="s">
        <v>5951</v>
      </c>
    </row>
    <row r="848">
      <c r="A848" s="461" t="s">
        <v>2465</v>
      </c>
      <c r="B848" s="531" t="s">
        <v>6488</v>
      </c>
      <c r="C848" s="531" t="s">
        <v>5671</v>
      </c>
      <c r="D848" s="531" t="s">
        <v>5719</v>
      </c>
      <c r="E848" s="531" t="s">
        <v>6241</v>
      </c>
      <c r="F848" s="228" t="s">
        <v>5951</v>
      </c>
    </row>
    <row r="849">
      <c r="A849" s="461" t="s">
        <v>2471</v>
      </c>
      <c r="B849" s="531" t="s">
        <v>6532</v>
      </c>
      <c r="C849" s="531" t="s">
        <v>6794</v>
      </c>
      <c r="D849" s="531" t="s">
        <v>5719</v>
      </c>
      <c r="E849" s="531" t="s">
        <v>6241</v>
      </c>
      <c r="F849" s="228" t="s">
        <v>5951</v>
      </c>
    </row>
    <row r="850">
      <c r="A850" s="461" t="s">
        <v>2475</v>
      </c>
      <c r="B850" s="531" t="s">
        <v>6116</v>
      </c>
      <c r="C850" s="531" t="s">
        <v>7007</v>
      </c>
      <c r="D850" s="531" t="s">
        <v>5719</v>
      </c>
      <c r="E850" s="531" t="s">
        <v>6241</v>
      </c>
      <c r="F850" s="228" t="s">
        <v>5951</v>
      </c>
    </row>
    <row r="851">
      <c r="A851" s="461" t="s">
        <v>7008</v>
      </c>
      <c r="B851" s="531" t="s">
        <v>6110</v>
      </c>
      <c r="C851" s="531" t="s">
        <v>7009</v>
      </c>
      <c r="D851" s="531" t="s">
        <v>5719</v>
      </c>
      <c r="E851" s="531" t="s">
        <v>6241</v>
      </c>
      <c r="F851" s="497" t="s">
        <v>2481</v>
      </c>
      <c r="G851" s="498">
        <v>2.0</v>
      </c>
      <c r="H851" s="497" t="s">
        <v>6243</v>
      </c>
      <c r="I851" s="497" t="s">
        <v>2698</v>
      </c>
      <c r="J851" s="497" t="s">
        <v>1399</v>
      </c>
      <c r="K851" s="497" t="s">
        <v>5711</v>
      </c>
      <c r="L851" s="498">
        <v>8.0</v>
      </c>
      <c r="M851" s="497" t="s">
        <v>5790</v>
      </c>
      <c r="N851" s="497" t="s">
        <v>7010</v>
      </c>
      <c r="O851" s="498">
        <v>294.0</v>
      </c>
      <c r="P851" s="497" t="s">
        <v>7011</v>
      </c>
      <c r="Q851" s="499"/>
      <c r="R851" s="500"/>
      <c r="S851" s="500"/>
      <c r="T851" s="500"/>
      <c r="U851" s="500"/>
      <c r="V851" s="500"/>
      <c r="W851" s="500"/>
      <c r="X851" s="500"/>
      <c r="Y851" s="500"/>
      <c r="Z851" s="500"/>
      <c r="AA851" s="500"/>
      <c r="AB851" s="500"/>
      <c r="AC851" s="500"/>
      <c r="AD851" s="500"/>
      <c r="AE851" s="497"/>
    </row>
    <row r="852">
      <c r="A852" s="461" t="s">
        <v>2483</v>
      </c>
      <c r="B852" s="531" t="s">
        <v>6109</v>
      </c>
      <c r="C852" s="531" t="s">
        <v>5671</v>
      </c>
      <c r="D852" s="531" t="s">
        <v>5725</v>
      </c>
      <c r="E852" s="531" t="s">
        <v>6241</v>
      </c>
      <c r="F852" s="228" t="s">
        <v>5951</v>
      </c>
    </row>
    <row r="853">
      <c r="A853" s="461" t="s">
        <v>2486</v>
      </c>
      <c r="B853" s="532" t="str">
        <f>HYPERLINK("https://nasional.tempo.co/read/1243313/banser-laporkan-pembicara-parade-ukhuwah-ke-polisi/full&amp;view=ok","Tempo.co")</f>
        <v>Tempo.co</v>
      </c>
      <c r="C853" s="531" t="s">
        <v>7007</v>
      </c>
      <c r="D853" s="531" t="s">
        <v>5725</v>
      </c>
      <c r="E853" s="531" t="s">
        <v>6241</v>
      </c>
      <c r="F853" s="228" t="s">
        <v>5951</v>
      </c>
    </row>
    <row r="854">
      <c r="A854" s="461" t="s">
        <v>2490</v>
      </c>
      <c r="B854" s="532" t="str">
        <f>HYPERLINK("https://www.suara.com/news/2019/09/27/104301/jadi-buronan-anak-stm-ini-komentar-lucu-denny-siregar","Suara")</f>
        <v>Suara</v>
      </c>
      <c r="C854" s="531" t="s">
        <v>5667</v>
      </c>
      <c r="D854" s="531" t="s">
        <v>5725</v>
      </c>
      <c r="E854" s="531" t="s">
        <v>6241</v>
      </c>
      <c r="F854" s="228" t="s">
        <v>5951</v>
      </c>
    </row>
    <row r="855">
      <c r="A855" s="461" t="s">
        <v>2574</v>
      </c>
      <c r="B855" s="531" t="s">
        <v>6561</v>
      </c>
      <c r="C855" s="531" t="s">
        <v>7007</v>
      </c>
      <c r="D855" s="531" t="s">
        <v>5683</v>
      </c>
      <c r="E855" s="531" t="s">
        <v>6647</v>
      </c>
      <c r="F855" s="228" t="s">
        <v>5951</v>
      </c>
    </row>
    <row r="856">
      <c r="A856" s="461" t="s">
        <v>7012</v>
      </c>
      <c r="B856" s="534" t="s">
        <v>5699</v>
      </c>
      <c r="C856" s="531" t="s">
        <v>5657</v>
      </c>
      <c r="D856" s="531" t="s">
        <v>5683</v>
      </c>
      <c r="E856" s="531" t="s">
        <v>6647</v>
      </c>
      <c r="F856" s="497" t="s">
        <v>2575</v>
      </c>
      <c r="G856" s="498">
        <v>2.0</v>
      </c>
      <c r="H856" s="497" t="s">
        <v>6647</v>
      </c>
      <c r="I856" s="497" t="s">
        <v>2702</v>
      </c>
      <c r="J856" s="497" t="s">
        <v>6170</v>
      </c>
      <c r="K856" s="497" t="s">
        <v>5711</v>
      </c>
      <c r="L856" s="498">
        <v>4.0</v>
      </c>
      <c r="M856" s="497" t="s">
        <v>6023</v>
      </c>
      <c r="N856" s="497" t="s">
        <v>7013</v>
      </c>
      <c r="O856" s="498">
        <v>317.0</v>
      </c>
      <c r="P856" s="497" t="s">
        <v>7014</v>
      </c>
      <c r="Q856" s="499"/>
      <c r="R856" s="500"/>
      <c r="S856" s="500"/>
      <c r="T856" s="500"/>
      <c r="U856" s="500"/>
      <c r="V856" s="500"/>
      <c r="W856" s="500"/>
      <c r="X856" s="500"/>
      <c r="Y856" s="500"/>
      <c r="Z856" s="500"/>
      <c r="AA856" s="500"/>
      <c r="AB856" s="500"/>
      <c r="AC856" s="500"/>
      <c r="AD856" s="500"/>
      <c r="AE856" s="497"/>
    </row>
    <row r="857">
      <c r="A857" s="461" t="s">
        <v>7015</v>
      </c>
      <c r="B857" s="531" t="s">
        <v>2707</v>
      </c>
      <c r="C857" s="531" t="s">
        <v>5671</v>
      </c>
      <c r="D857" s="531" t="s">
        <v>5692</v>
      </c>
      <c r="E857" s="531" t="s">
        <v>6647</v>
      </c>
      <c r="F857" s="497" t="s">
        <v>2598</v>
      </c>
      <c r="G857" s="498">
        <v>2.0</v>
      </c>
      <c r="H857" s="497" t="s">
        <v>6647</v>
      </c>
      <c r="I857" s="497" t="s">
        <v>2707</v>
      </c>
      <c r="J857" s="497" t="s">
        <v>6432</v>
      </c>
      <c r="K857" s="497" t="s">
        <v>5729</v>
      </c>
      <c r="L857" s="498">
        <v>5.0</v>
      </c>
      <c r="M857" s="497" t="s">
        <v>6415</v>
      </c>
      <c r="N857" s="497" t="s">
        <v>7016</v>
      </c>
      <c r="O857" s="498">
        <v>346.0</v>
      </c>
      <c r="P857" s="497" t="s">
        <v>7017</v>
      </c>
      <c r="Q857" s="499"/>
      <c r="R857" s="500"/>
      <c r="S857" s="500"/>
      <c r="T857" s="500"/>
      <c r="U857" s="500"/>
      <c r="V857" s="500"/>
      <c r="W857" s="500"/>
      <c r="X857" s="500"/>
      <c r="Y857" s="500"/>
      <c r="Z857" s="500"/>
      <c r="AA857" s="500"/>
      <c r="AB857" s="500"/>
      <c r="AC857" s="500"/>
      <c r="AD857" s="500"/>
      <c r="AE857" s="497"/>
    </row>
    <row r="858">
      <c r="A858" s="461" t="s">
        <v>7018</v>
      </c>
      <c r="B858" s="531" t="s">
        <v>6112</v>
      </c>
      <c r="C858" s="531" t="s">
        <v>6794</v>
      </c>
      <c r="D858" s="531" t="s">
        <v>5705</v>
      </c>
      <c r="E858" s="531" t="s">
        <v>6647</v>
      </c>
      <c r="F858" s="321" t="s">
        <v>5951</v>
      </c>
      <c r="G858" s="506"/>
      <c r="H858" s="507"/>
      <c r="I858" s="507"/>
      <c r="J858" s="507"/>
      <c r="K858" s="507"/>
      <c r="L858" s="506"/>
      <c r="M858" s="507"/>
      <c r="N858" s="507"/>
      <c r="O858" s="506"/>
      <c r="P858" s="507"/>
      <c r="Q858" s="508"/>
      <c r="R858" s="509"/>
      <c r="S858" s="509"/>
      <c r="T858" s="509"/>
      <c r="U858" s="509"/>
      <c r="V858" s="509"/>
      <c r="W858" s="509"/>
      <c r="X858" s="509"/>
      <c r="Y858" s="509"/>
      <c r="Z858" s="509"/>
      <c r="AA858" s="509"/>
      <c r="AB858" s="509"/>
      <c r="AC858" s="509"/>
      <c r="AD858" s="509"/>
      <c r="AE858" s="507"/>
    </row>
    <row r="859">
      <c r="A859" s="461" t="s">
        <v>7019</v>
      </c>
      <c r="B859" s="531" t="s">
        <v>6112</v>
      </c>
      <c r="C859" s="531" t="s">
        <v>7007</v>
      </c>
      <c r="D859" s="531" t="s">
        <v>5705</v>
      </c>
      <c r="E859" s="531" t="s">
        <v>6647</v>
      </c>
      <c r="F859" s="497" t="s">
        <v>2612</v>
      </c>
      <c r="G859" s="498">
        <v>2.0</v>
      </c>
      <c r="H859" s="497" t="s">
        <v>6647</v>
      </c>
      <c r="I859" s="497" t="s">
        <v>2707</v>
      </c>
      <c r="J859" s="497" t="s">
        <v>6876</v>
      </c>
      <c r="K859" s="497" t="s">
        <v>5750</v>
      </c>
      <c r="L859" s="498">
        <v>6.0</v>
      </c>
      <c r="M859" s="497" t="s">
        <v>6973</v>
      </c>
      <c r="N859" s="497" t="s">
        <v>7020</v>
      </c>
      <c r="O859" s="498">
        <v>217.0</v>
      </c>
      <c r="P859" s="497" t="s">
        <v>7021</v>
      </c>
      <c r="Q859" s="499"/>
      <c r="R859" s="500"/>
      <c r="S859" s="500"/>
      <c r="T859" s="500"/>
      <c r="U859" s="500"/>
      <c r="V859" s="500"/>
      <c r="W859" s="500"/>
      <c r="X859" s="500"/>
      <c r="Y859" s="500"/>
      <c r="Z859" s="500"/>
      <c r="AA859" s="500"/>
      <c r="AB859" s="500"/>
      <c r="AC859" s="500"/>
      <c r="AD859" s="500"/>
      <c r="AE859" s="497"/>
    </row>
    <row r="860">
      <c r="A860" s="461" t="s">
        <v>2617</v>
      </c>
      <c r="B860" s="532" t="str">
        <f>HYPERLINK("https://hot.detik.com/movie/d-4603034/james-wan-sibuk-banget-aquaman-2-kapan-digarap","detik")</f>
        <v>detik</v>
      </c>
      <c r="C860" s="531" t="s">
        <v>5664</v>
      </c>
      <c r="D860" s="531" t="s">
        <v>5705</v>
      </c>
      <c r="E860" s="531" t="s">
        <v>6647</v>
      </c>
      <c r="F860" s="228" t="s">
        <v>5951</v>
      </c>
    </row>
    <row r="861">
      <c r="A861" s="461" t="s">
        <v>7022</v>
      </c>
      <c r="B861" s="531" t="s">
        <v>2724</v>
      </c>
      <c r="C861" s="531" t="s">
        <v>6794</v>
      </c>
      <c r="D861" s="531" t="s">
        <v>5716</v>
      </c>
      <c r="E861" s="531" t="s">
        <v>6647</v>
      </c>
      <c r="F861" s="497" t="s">
        <v>1726</v>
      </c>
      <c r="G861" s="498">
        <v>2.0</v>
      </c>
      <c r="H861" s="497" t="s">
        <v>6647</v>
      </c>
      <c r="I861" s="497" t="s">
        <v>2724</v>
      </c>
      <c r="J861" s="497" t="s">
        <v>1352</v>
      </c>
      <c r="K861" s="497" t="s">
        <v>5721</v>
      </c>
      <c r="L861" s="498">
        <v>7.0</v>
      </c>
      <c r="M861" s="497" t="s">
        <v>6118</v>
      </c>
      <c r="N861" s="497" t="s">
        <v>7023</v>
      </c>
      <c r="O861" s="498">
        <v>201.0</v>
      </c>
      <c r="P861" s="497" t="s">
        <v>7024</v>
      </c>
      <c r="Q861" s="499"/>
      <c r="R861" s="500"/>
      <c r="S861" s="500"/>
      <c r="T861" s="500"/>
      <c r="U861" s="500"/>
      <c r="V861" s="500"/>
      <c r="W861" s="500"/>
      <c r="X861" s="500"/>
      <c r="Y861" s="500"/>
      <c r="Z861" s="500"/>
      <c r="AA861" s="500"/>
      <c r="AB861" s="500"/>
      <c r="AC861" s="500"/>
      <c r="AD861" s="500"/>
      <c r="AE861" s="497"/>
    </row>
    <row r="862">
      <c r="A862" s="461" t="s">
        <v>7025</v>
      </c>
      <c r="B862" s="531" t="s">
        <v>6532</v>
      </c>
      <c r="C862" s="531" t="s">
        <v>7007</v>
      </c>
      <c r="D862" s="531" t="s">
        <v>5716</v>
      </c>
      <c r="E862" s="531" t="s">
        <v>6647</v>
      </c>
      <c r="F862" s="497" t="s">
        <v>2624</v>
      </c>
      <c r="G862" s="498">
        <v>2.0</v>
      </c>
      <c r="H862" s="497" t="s">
        <v>6647</v>
      </c>
      <c r="I862" s="497" t="s">
        <v>2740</v>
      </c>
      <c r="J862" s="497" t="s">
        <v>6035</v>
      </c>
      <c r="K862" s="497" t="s">
        <v>5750</v>
      </c>
      <c r="L862" s="498">
        <v>7.0</v>
      </c>
      <c r="M862" s="497" t="s">
        <v>5755</v>
      </c>
      <c r="N862" s="497" t="s">
        <v>7026</v>
      </c>
      <c r="O862" s="498">
        <v>1002.0</v>
      </c>
      <c r="P862" s="497" t="s">
        <v>7027</v>
      </c>
      <c r="Q862" s="500"/>
      <c r="R862" s="500"/>
      <c r="S862" s="500"/>
      <c r="T862" s="500"/>
      <c r="U862" s="500"/>
      <c r="V862" s="500"/>
      <c r="W862" s="500"/>
      <c r="X862" s="500"/>
      <c r="Y862" s="500"/>
      <c r="Z862" s="500"/>
      <c r="AA862" s="500"/>
      <c r="AB862" s="500"/>
      <c r="AC862" s="500"/>
      <c r="AD862" s="500"/>
      <c r="AE862" s="497"/>
    </row>
    <row r="863">
      <c r="A863" s="461" t="s">
        <v>2628</v>
      </c>
      <c r="B863" s="531" t="s">
        <v>6109</v>
      </c>
      <c r="C863" s="531" t="s">
        <v>7007</v>
      </c>
      <c r="D863" s="531" t="s">
        <v>5716</v>
      </c>
      <c r="E863" s="531" t="s">
        <v>6647</v>
      </c>
      <c r="F863" s="228" t="s">
        <v>5951</v>
      </c>
    </row>
    <row r="864">
      <c r="A864" s="461" t="s">
        <v>2650</v>
      </c>
      <c r="B864" s="531" t="s">
        <v>6109</v>
      </c>
      <c r="C864" s="531" t="s">
        <v>5667</v>
      </c>
      <c r="D864" s="531" t="s">
        <v>5719</v>
      </c>
      <c r="E864" s="531" t="s">
        <v>6647</v>
      </c>
      <c r="F864" s="228" t="s">
        <v>5951</v>
      </c>
    </row>
    <row r="865">
      <c r="A865" s="461" t="s">
        <v>7028</v>
      </c>
      <c r="B865" s="531" t="s">
        <v>6110</v>
      </c>
      <c r="C865" s="531" t="s">
        <v>6794</v>
      </c>
      <c r="D865" s="531" t="s">
        <v>5725</v>
      </c>
      <c r="E865" s="531" t="s">
        <v>6647</v>
      </c>
      <c r="F865" s="497" t="s">
        <v>2682</v>
      </c>
      <c r="G865" s="498">
        <v>2.0</v>
      </c>
      <c r="H865" s="497" t="s">
        <v>6647</v>
      </c>
      <c r="I865" s="497" t="s">
        <v>2698</v>
      </c>
      <c r="J865" s="497" t="s">
        <v>6674</v>
      </c>
      <c r="K865" s="497" t="s">
        <v>5721</v>
      </c>
      <c r="L865" s="498">
        <v>9.0</v>
      </c>
      <c r="M865" s="497" t="s">
        <v>5854</v>
      </c>
      <c r="N865" s="497" t="s">
        <v>7029</v>
      </c>
      <c r="O865" s="498">
        <v>173.0</v>
      </c>
      <c r="P865" s="497" t="s">
        <v>7030</v>
      </c>
      <c r="Q865" s="500"/>
      <c r="R865" s="500"/>
      <c r="S865" s="500"/>
      <c r="T865" s="500"/>
      <c r="U865" s="500"/>
      <c r="V865" s="500"/>
      <c r="W865" s="500"/>
      <c r="X865" s="500"/>
      <c r="Y865" s="500"/>
      <c r="Z865" s="500"/>
      <c r="AA865" s="500"/>
      <c r="AB865" s="500"/>
      <c r="AC865" s="500"/>
      <c r="AD865" s="500"/>
      <c r="AE865" s="497"/>
    </row>
    <row r="866">
      <c r="A866" s="461" t="s">
        <v>2690</v>
      </c>
      <c r="B866" s="532" t="str">
        <f>HYPERLINK("https://tirto.id/kontras-demo-mujahid-212-dengan-aksi-mahasiswa-eiUo","tirto")</f>
        <v>tirto</v>
      </c>
      <c r="C866" s="531" t="s">
        <v>5671</v>
      </c>
      <c r="D866" s="531" t="s">
        <v>7031</v>
      </c>
      <c r="E866" s="531" t="s">
        <v>6647</v>
      </c>
      <c r="F866" s="228" t="s">
        <v>5951</v>
      </c>
    </row>
    <row r="867">
      <c r="A867" s="528" t="s">
        <v>4450</v>
      </c>
      <c r="B867" s="532" t="str">
        <f>HYPERLINK("https://celebrity.okezone.com/read/2019/07/05/205/2075263/comeback-aida-saskia-gabungkan-dangdut-dan-edm","okezone")</f>
        <v>okezone</v>
      </c>
      <c r="C867" s="531" t="s">
        <v>5667</v>
      </c>
      <c r="D867" s="531" t="s">
        <v>5716</v>
      </c>
      <c r="E867" s="531" t="s">
        <v>6241</v>
      </c>
      <c r="F867" s="228" t="s">
        <v>5951</v>
      </c>
    </row>
    <row r="868" ht="16.5" customHeight="1">
      <c r="A868" s="528" t="s">
        <v>4451</v>
      </c>
      <c r="B868" s="531" t="s">
        <v>2692</v>
      </c>
      <c r="C868" s="531" t="s">
        <v>7032</v>
      </c>
      <c r="D868" s="531" t="s">
        <v>5718</v>
      </c>
      <c r="E868" s="531" t="s">
        <v>6241</v>
      </c>
      <c r="F868" s="228" t="s">
        <v>5951</v>
      </c>
    </row>
    <row r="869">
      <c r="A869" s="528" t="s">
        <v>3496</v>
      </c>
      <c r="B869" s="531" t="s">
        <v>6112</v>
      </c>
      <c r="C869" s="531" t="s">
        <v>7032</v>
      </c>
      <c r="D869" s="531" t="s">
        <v>5718</v>
      </c>
      <c r="E869" s="531" t="s">
        <v>6241</v>
      </c>
      <c r="F869" s="228" t="s">
        <v>5951</v>
      </c>
    </row>
    <row r="870">
      <c r="A870" s="528" t="s">
        <v>7033</v>
      </c>
      <c r="B870" s="531" t="s">
        <v>6109</v>
      </c>
      <c r="C870" s="531" t="s">
        <v>5667</v>
      </c>
      <c r="D870" s="531" t="s">
        <v>5719</v>
      </c>
      <c r="E870" s="531" t="s">
        <v>6241</v>
      </c>
      <c r="F870" s="497" t="s">
        <v>4467</v>
      </c>
      <c r="G870" s="498">
        <v>2.0</v>
      </c>
      <c r="H870" s="497" t="s">
        <v>6243</v>
      </c>
      <c r="I870" s="497" t="s">
        <v>2695</v>
      </c>
      <c r="J870" s="497" t="s">
        <v>7034</v>
      </c>
      <c r="K870" s="497" t="s">
        <v>5734</v>
      </c>
      <c r="L870" s="498">
        <v>8.0</v>
      </c>
      <c r="M870" s="497" t="s">
        <v>5722</v>
      </c>
      <c r="N870" s="497" t="s">
        <v>7035</v>
      </c>
      <c r="O870" s="498">
        <v>263.0</v>
      </c>
      <c r="P870" s="497" t="s">
        <v>7036</v>
      </c>
      <c r="Q870" s="500"/>
      <c r="R870" s="500"/>
      <c r="S870" s="500"/>
      <c r="T870" s="500"/>
      <c r="U870" s="500"/>
      <c r="V870" s="500"/>
      <c r="W870" s="500"/>
      <c r="X870" s="500"/>
      <c r="Y870" s="500"/>
      <c r="Z870" s="500"/>
      <c r="AA870" s="500"/>
      <c r="AB870" s="500"/>
      <c r="AC870" s="500"/>
      <c r="AD870" s="500"/>
      <c r="AE870" s="497"/>
    </row>
    <row r="871">
      <c r="A871" s="528" t="s">
        <v>7037</v>
      </c>
      <c r="B871" s="531" t="s">
        <v>6109</v>
      </c>
      <c r="C871" s="531" t="s">
        <v>7007</v>
      </c>
      <c r="D871" s="531" t="s">
        <v>5719</v>
      </c>
      <c r="E871" s="531" t="s">
        <v>6241</v>
      </c>
      <c r="F871" s="497" t="s">
        <v>4469</v>
      </c>
      <c r="G871" s="498">
        <v>2.0</v>
      </c>
      <c r="H871" s="497" t="s">
        <v>6243</v>
      </c>
      <c r="I871" s="497" t="s">
        <v>2695</v>
      </c>
      <c r="J871" s="497" t="s">
        <v>6139</v>
      </c>
      <c r="K871" s="497" t="s">
        <v>5750</v>
      </c>
      <c r="L871" s="498">
        <v>8.0</v>
      </c>
      <c r="M871" s="497" t="s">
        <v>5777</v>
      </c>
      <c r="N871" s="497" t="s">
        <v>7038</v>
      </c>
      <c r="O871" s="498">
        <v>230.0</v>
      </c>
      <c r="P871" s="497" t="s">
        <v>7039</v>
      </c>
      <c r="Q871" s="500"/>
      <c r="R871" s="500"/>
      <c r="S871" s="500"/>
      <c r="T871" s="500"/>
      <c r="U871" s="500"/>
      <c r="V871" s="500"/>
      <c r="W871" s="500"/>
      <c r="X871" s="500"/>
      <c r="Y871" s="500"/>
      <c r="Z871" s="500"/>
      <c r="AA871" s="500"/>
      <c r="AB871" s="500"/>
      <c r="AC871" s="500"/>
      <c r="AD871" s="500"/>
      <c r="AE871" s="497"/>
    </row>
    <row r="872">
      <c r="A872" s="527" t="s">
        <v>5337</v>
      </c>
      <c r="B872" s="534" t="s">
        <v>5699</v>
      </c>
      <c r="C872" s="531" t="s">
        <v>7040</v>
      </c>
      <c r="D872" s="531" t="s">
        <v>5675</v>
      </c>
      <c r="E872" s="531" t="s">
        <v>6647</v>
      </c>
      <c r="F872" s="497" t="s">
        <v>7041</v>
      </c>
      <c r="G872" s="498">
        <v>2.0</v>
      </c>
      <c r="H872" s="497" t="s">
        <v>6647</v>
      </c>
      <c r="I872" s="497" t="s">
        <v>2702</v>
      </c>
      <c r="J872" s="497" t="s">
        <v>6943</v>
      </c>
      <c r="K872" s="497" t="s">
        <v>5734</v>
      </c>
      <c r="L872" s="498">
        <v>3.0</v>
      </c>
      <c r="M872" s="497" t="s">
        <v>5839</v>
      </c>
      <c r="N872" s="497" t="s">
        <v>7042</v>
      </c>
      <c r="O872" s="498">
        <v>347.0</v>
      </c>
      <c r="P872" s="497" t="s">
        <v>7043</v>
      </c>
      <c r="Q872" s="499"/>
      <c r="R872" s="500"/>
      <c r="S872" s="500"/>
      <c r="T872" s="500"/>
      <c r="U872" s="500"/>
      <c r="V872" s="500"/>
      <c r="W872" s="500"/>
      <c r="X872" s="500"/>
      <c r="Y872" s="500"/>
      <c r="Z872" s="500"/>
      <c r="AA872" s="500"/>
      <c r="AB872" s="500"/>
      <c r="AC872" s="500"/>
      <c r="AD872" s="500"/>
      <c r="AE872" s="497"/>
    </row>
    <row r="873">
      <c r="A873" s="461" t="s">
        <v>7044</v>
      </c>
      <c r="B873" s="531" t="s">
        <v>6561</v>
      </c>
      <c r="C873" s="531" t="s">
        <v>7040</v>
      </c>
      <c r="D873" s="531" t="s">
        <v>5692</v>
      </c>
      <c r="E873" s="531" t="s">
        <v>6647</v>
      </c>
      <c r="F873" s="497" t="s">
        <v>211</v>
      </c>
      <c r="G873" s="498">
        <v>2.0</v>
      </c>
      <c r="H873" s="497" t="s">
        <v>6647</v>
      </c>
      <c r="I873" s="497" t="s">
        <v>2724</v>
      </c>
      <c r="J873" s="497" t="s">
        <v>6297</v>
      </c>
      <c r="K873" s="497" t="s">
        <v>5734</v>
      </c>
      <c r="L873" s="498">
        <v>5.0</v>
      </c>
      <c r="M873" s="497" t="s">
        <v>5879</v>
      </c>
      <c r="N873" s="497" t="s">
        <v>7045</v>
      </c>
      <c r="O873" s="498">
        <v>272.0</v>
      </c>
      <c r="P873" s="497" t="s">
        <v>7046</v>
      </c>
      <c r="Q873" s="499"/>
      <c r="R873" s="500"/>
      <c r="S873" s="500"/>
      <c r="T873" s="500"/>
      <c r="U873" s="500"/>
      <c r="V873" s="500"/>
      <c r="W873" s="500"/>
      <c r="X873" s="500"/>
      <c r="Y873" s="500"/>
      <c r="Z873" s="500"/>
      <c r="AA873" s="500"/>
      <c r="AB873" s="500"/>
      <c r="AC873" s="500"/>
      <c r="AD873" s="500"/>
      <c r="AE873" s="497"/>
    </row>
    <row r="874">
      <c r="A874" s="461" t="s">
        <v>7047</v>
      </c>
      <c r="B874" s="531" t="s">
        <v>6561</v>
      </c>
      <c r="C874" s="531" t="s">
        <v>7032</v>
      </c>
      <c r="D874" s="531" t="s">
        <v>5692</v>
      </c>
      <c r="E874" s="531" t="s">
        <v>6647</v>
      </c>
      <c r="F874" s="497" t="s">
        <v>215</v>
      </c>
      <c r="G874" s="498">
        <v>2.0</v>
      </c>
      <c r="H874" s="497" t="s">
        <v>6647</v>
      </c>
      <c r="I874" s="497" t="s">
        <v>2724</v>
      </c>
      <c r="J874" s="497" t="s">
        <v>7048</v>
      </c>
      <c r="K874" s="497" t="s">
        <v>5786</v>
      </c>
      <c r="L874" s="498">
        <v>5.0</v>
      </c>
      <c r="M874" s="497" t="s">
        <v>5828</v>
      </c>
      <c r="N874" s="497" t="s">
        <v>7049</v>
      </c>
      <c r="O874" s="498">
        <v>328.0</v>
      </c>
      <c r="P874" s="497" t="s">
        <v>7050</v>
      </c>
      <c r="Q874" s="499"/>
      <c r="R874" s="500"/>
      <c r="S874" s="500"/>
      <c r="T874" s="500"/>
      <c r="U874" s="500"/>
      <c r="V874" s="500"/>
      <c r="W874" s="500"/>
      <c r="X874" s="500"/>
      <c r="Y874" s="500"/>
      <c r="Z874" s="500"/>
      <c r="AA874" s="500"/>
      <c r="AB874" s="500"/>
      <c r="AC874" s="500"/>
      <c r="AD874" s="500"/>
      <c r="AE874" s="497"/>
    </row>
    <row r="875">
      <c r="A875" s="461" t="s">
        <v>218</v>
      </c>
      <c r="B875" s="531" t="s">
        <v>2692</v>
      </c>
      <c r="C875" s="531" t="s">
        <v>5671</v>
      </c>
      <c r="D875" s="531" t="s">
        <v>6493</v>
      </c>
      <c r="E875" s="531" t="s">
        <v>6647</v>
      </c>
      <c r="F875" s="228" t="s">
        <v>5951</v>
      </c>
    </row>
    <row r="876">
      <c r="A876" s="461" t="s">
        <v>225</v>
      </c>
      <c r="B876" s="531" t="s">
        <v>2704</v>
      </c>
      <c r="C876" s="531" t="s">
        <v>7007</v>
      </c>
      <c r="D876" s="531" t="s">
        <v>5692</v>
      </c>
      <c r="E876" s="531" t="s">
        <v>6647</v>
      </c>
      <c r="F876" s="228" t="s">
        <v>5951</v>
      </c>
    </row>
    <row r="877">
      <c r="A877" s="461" t="s">
        <v>230</v>
      </c>
      <c r="B877" s="531" t="s">
        <v>6105</v>
      </c>
      <c r="C877" s="531" t="s">
        <v>5671</v>
      </c>
      <c r="D877" s="531" t="s">
        <v>5692</v>
      </c>
      <c r="E877" s="531" t="s">
        <v>6647</v>
      </c>
      <c r="F877" s="228" t="s">
        <v>5951</v>
      </c>
    </row>
    <row r="878">
      <c r="A878" s="461" t="s">
        <v>7051</v>
      </c>
      <c r="B878" s="531" t="s">
        <v>6112</v>
      </c>
      <c r="C878" s="531" t="s">
        <v>6794</v>
      </c>
      <c r="D878" s="531" t="s">
        <v>5692</v>
      </c>
      <c r="E878" s="531" t="s">
        <v>6647</v>
      </c>
      <c r="F878" s="497" t="s">
        <v>243</v>
      </c>
      <c r="G878" s="498">
        <v>2.0</v>
      </c>
      <c r="H878" s="497" t="s">
        <v>6647</v>
      </c>
      <c r="I878" s="497" t="s">
        <v>2707</v>
      </c>
      <c r="J878" s="497" t="s">
        <v>6440</v>
      </c>
      <c r="K878" s="497" t="s">
        <v>5721</v>
      </c>
      <c r="L878" s="498">
        <v>5.0</v>
      </c>
      <c r="M878" s="497" t="s">
        <v>6113</v>
      </c>
      <c r="N878" s="497" t="s">
        <v>7052</v>
      </c>
      <c r="O878" s="498">
        <v>341.0</v>
      </c>
      <c r="P878" s="497" t="s">
        <v>7053</v>
      </c>
      <c r="Q878" s="499"/>
      <c r="R878" s="500"/>
      <c r="S878" s="500"/>
      <c r="T878" s="500"/>
      <c r="U878" s="500"/>
      <c r="V878" s="500"/>
      <c r="W878" s="500"/>
      <c r="X878" s="500"/>
      <c r="Y878" s="500"/>
      <c r="Z878" s="500"/>
      <c r="AA878" s="500"/>
      <c r="AB878" s="500"/>
      <c r="AC878" s="500"/>
      <c r="AD878" s="500"/>
      <c r="AE878" s="497"/>
    </row>
    <row r="879">
      <c r="A879" s="461" t="s">
        <v>7054</v>
      </c>
      <c r="B879" s="534" t="s">
        <v>5699</v>
      </c>
      <c r="C879" s="531" t="s">
        <v>6794</v>
      </c>
      <c r="D879" s="531" t="s">
        <v>5692</v>
      </c>
      <c r="E879" s="531" t="s">
        <v>6647</v>
      </c>
      <c r="F879" s="497" t="s">
        <v>246</v>
      </c>
      <c r="G879" s="498">
        <v>2.0</v>
      </c>
      <c r="H879" s="497" t="s">
        <v>6647</v>
      </c>
      <c r="I879" s="497" t="s">
        <v>2702</v>
      </c>
      <c r="J879" s="497" t="s">
        <v>1320</v>
      </c>
      <c r="K879" s="497" t="s">
        <v>5721</v>
      </c>
      <c r="L879" s="498">
        <v>5.0</v>
      </c>
      <c r="M879" s="497" t="s">
        <v>6939</v>
      </c>
      <c r="N879" s="497" t="s">
        <v>7055</v>
      </c>
      <c r="O879" s="498">
        <v>243.0</v>
      </c>
      <c r="P879" s="497" t="s">
        <v>7056</v>
      </c>
      <c r="Q879" s="499"/>
      <c r="R879" s="500"/>
      <c r="S879" s="500"/>
      <c r="T879" s="500"/>
      <c r="U879" s="500"/>
      <c r="V879" s="500"/>
      <c r="W879" s="500"/>
      <c r="X879" s="500"/>
      <c r="Y879" s="500"/>
      <c r="Z879" s="500"/>
      <c r="AA879" s="500"/>
      <c r="AB879" s="500"/>
      <c r="AC879" s="500"/>
      <c r="AD879" s="500"/>
      <c r="AE879" s="497"/>
    </row>
    <row r="880">
      <c r="A880" s="461" t="s">
        <v>7057</v>
      </c>
      <c r="B880" s="534" t="s">
        <v>5701</v>
      </c>
      <c r="C880" s="531" t="s">
        <v>7007</v>
      </c>
      <c r="D880" s="531" t="s">
        <v>5692</v>
      </c>
      <c r="E880" s="531" t="s">
        <v>6647</v>
      </c>
      <c r="F880" s="497" t="s">
        <v>249</v>
      </c>
      <c r="G880" s="498">
        <v>2.0</v>
      </c>
      <c r="H880" s="497" t="s">
        <v>6647</v>
      </c>
      <c r="I880" s="497" t="s">
        <v>2740</v>
      </c>
      <c r="J880" s="497" t="s">
        <v>6584</v>
      </c>
      <c r="K880" s="497" t="s">
        <v>5750</v>
      </c>
      <c r="L880" s="498">
        <v>5.0</v>
      </c>
      <c r="M880" s="497" t="s">
        <v>5879</v>
      </c>
      <c r="N880" s="497" t="s">
        <v>7058</v>
      </c>
      <c r="O880" s="498">
        <v>458.0</v>
      </c>
      <c r="P880" s="497" t="s">
        <v>7059</v>
      </c>
      <c r="Q880" s="500"/>
      <c r="R880" s="500"/>
      <c r="S880" s="500"/>
      <c r="T880" s="500"/>
      <c r="U880" s="500"/>
      <c r="V880" s="500"/>
      <c r="W880" s="500"/>
      <c r="X880" s="500"/>
      <c r="Y880" s="500"/>
      <c r="Z880" s="500"/>
      <c r="AA880" s="500"/>
      <c r="AB880" s="500"/>
      <c r="AC880" s="500"/>
      <c r="AD880" s="500"/>
      <c r="AE880" s="497"/>
    </row>
    <row r="881">
      <c r="A881" s="461" t="s">
        <v>7060</v>
      </c>
      <c r="B881" s="531" t="s">
        <v>2709</v>
      </c>
      <c r="C881" s="531" t="s">
        <v>7040</v>
      </c>
      <c r="D881" s="531" t="s">
        <v>5705</v>
      </c>
      <c r="E881" s="531" t="s">
        <v>6647</v>
      </c>
      <c r="F881" s="497" t="s">
        <v>251</v>
      </c>
      <c r="G881" s="498">
        <v>2.0</v>
      </c>
      <c r="H881" s="497" t="s">
        <v>6647</v>
      </c>
      <c r="I881" s="497" t="s">
        <v>2709</v>
      </c>
      <c r="J881" s="497" t="s">
        <v>7061</v>
      </c>
      <c r="K881" s="497" t="s">
        <v>5734</v>
      </c>
      <c r="L881" s="498">
        <v>6.0</v>
      </c>
      <c r="M881" s="497" t="s">
        <v>5987</v>
      </c>
      <c r="N881" s="497" t="s">
        <v>7062</v>
      </c>
      <c r="O881" s="498">
        <v>509.0</v>
      </c>
      <c r="P881" s="497" t="s">
        <v>7063</v>
      </c>
      <c r="Q881" s="499"/>
      <c r="R881" s="500"/>
      <c r="S881" s="500"/>
      <c r="T881" s="500"/>
      <c r="U881" s="500"/>
      <c r="V881" s="500"/>
      <c r="W881" s="500"/>
      <c r="X881" s="500"/>
      <c r="Y881" s="500"/>
      <c r="Z881" s="500"/>
      <c r="AA881" s="500"/>
      <c r="AB881" s="500"/>
      <c r="AC881" s="500"/>
      <c r="AD881" s="500"/>
      <c r="AE881" s="497"/>
    </row>
    <row r="882">
      <c r="A882" s="461" t="s">
        <v>254</v>
      </c>
      <c r="B882" s="531" t="s">
        <v>6109</v>
      </c>
      <c r="C882" s="531" t="s">
        <v>5671</v>
      </c>
      <c r="D882" s="531" t="s">
        <v>5705</v>
      </c>
      <c r="E882" s="531" t="s">
        <v>6647</v>
      </c>
      <c r="F882" s="228" t="s">
        <v>5951</v>
      </c>
    </row>
    <row r="883">
      <c r="A883" s="461" t="s">
        <v>255</v>
      </c>
      <c r="B883" s="531" t="s">
        <v>2704</v>
      </c>
      <c r="C883" s="531" t="s">
        <v>6794</v>
      </c>
      <c r="D883" s="531" t="s">
        <v>5705</v>
      </c>
      <c r="E883" s="531" t="s">
        <v>6647</v>
      </c>
      <c r="F883" s="228" t="s">
        <v>5951</v>
      </c>
    </row>
    <row r="884">
      <c r="A884" s="461" t="s">
        <v>263</v>
      </c>
      <c r="B884" s="531" t="s">
        <v>2692</v>
      </c>
      <c r="C884" s="531" t="s">
        <v>7040</v>
      </c>
      <c r="D884" s="531" t="s">
        <v>5705</v>
      </c>
      <c r="E884" s="531" t="s">
        <v>6647</v>
      </c>
      <c r="F884" s="228" t="s">
        <v>5951</v>
      </c>
    </row>
    <row r="885">
      <c r="A885" s="461" t="s">
        <v>7064</v>
      </c>
      <c r="B885" s="534" t="s">
        <v>5749</v>
      </c>
      <c r="C885" s="531" t="s">
        <v>5671</v>
      </c>
      <c r="D885" s="531" t="s">
        <v>5719</v>
      </c>
      <c r="E885" s="531" t="s">
        <v>6647</v>
      </c>
      <c r="F885" s="497" t="s">
        <v>299</v>
      </c>
      <c r="G885" s="498">
        <v>2.0</v>
      </c>
      <c r="H885" s="497" t="s">
        <v>6647</v>
      </c>
      <c r="I885" s="497" t="s">
        <v>2715</v>
      </c>
      <c r="J885" s="497" t="s">
        <v>7065</v>
      </c>
      <c r="K885" s="497" t="s">
        <v>5729</v>
      </c>
      <c r="L885" s="498">
        <v>8.0</v>
      </c>
      <c r="M885" s="497" t="s">
        <v>5798</v>
      </c>
      <c r="N885" s="497" t="s">
        <v>7066</v>
      </c>
      <c r="O885" s="498">
        <v>232.0</v>
      </c>
      <c r="P885" s="497" t="s">
        <v>7067</v>
      </c>
      <c r="Q885" s="499"/>
      <c r="R885" s="500"/>
      <c r="S885" s="500"/>
      <c r="T885" s="500"/>
      <c r="U885" s="500"/>
      <c r="V885" s="500"/>
      <c r="W885" s="500"/>
      <c r="X885" s="500"/>
      <c r="Y885" s="500"/>
      <c r="Z885" s="500"/>
      <c r="AA885" s="500"/>
      <c r="AB885" s="500"/>
      <c r="AC885" s="500"/>
      <c r="AD885" s="500"/>
      <c r="AE885" s="497"/>
    </row>
    <row r="886">
      <c r="A886" s="461" t="s">
        <v>7068</v>
      </c>
      <c r="B886" s="534" t="s">
        <v>5701</v>
      </c>
      <c r="C886" s="531" t="s">
        <v>5681</v>
      </c>
      <c r="D886" s="531" t="s">
        <v>5719</v>
      </c>
      <c r="E886" s="531" t="s">
        <v>6647</v>
      </c>
      <c r="F886" s="497" t="s">
        <v>312</v>
      </c>
      <c r="G886" s="498">
        <v>2.0</v>
      </c>
      <c r="H886" s="497" t="s">
        <v>6647</v>
      </c>
      <c r="I886" s="497" t="s">
        <v>2740</v>
      </c>
      <c r="J886" s="497" t="s">
        <v>6139</v>
      </c>
      <c r="K886" s="497" t="s">
        <v>5750</v>
      </c>
      <c r="L886" s="498">
        <v>8.0</v>
      </c>
      <c r="M886" s="497" t="s">
        <v>5846</v>
      </c>
      <c r="N886" s="497" t="s">
        <v>7069</v>
      </c>
      <c r="O886" s="498">
        <v>434.0</v>
      </c>
      <c r="P886" s="497" t="s">
        <v>7070</v>
      </c>
      <c r="Q886" s="500"/>
      <c r="R886" s="500"/>
      <c r="S886" s="500"/>
      <c r="T886" s="500"/>
      <c r="U886" s="500"/>
      <c r="V886" s="500"/>
      <c r="W886" s="500"/>
      <c r="X886" s="500"/>
      <c r="Y886" s="500"/>
      <c r="Z886" s="500"/>
      <c r="AA886" s="500"/>
      <c r="AB886" s="500"/>
      <c r="AC886" s="500"/>
      <c r="AD886" s="500"/>
      <c r="AE886" s="497"/>
    </row>
    <row r="887">
      <c r="A887" s="461" t="s">
        <v>7071</v>
      </c>
      <c r="B887" s="531" t="s">
        <v>2704</v>
      </c>
      <c r="C887" s="531" t="s">
        <v>7040</v>
      </c>
      <c r="D887" s="531" t="s">
        <v>5719</v>
      </c>
      <c r="E887" s="531" t="s">
        <v>6647</v>
      </c>
      <c r="F887" s="497" t="s">
        <v>320</v>
      </c>
      <c r="G887" s="498">
        <v>2.0</v>
      </c>
      <c r="H887" s="497" t="s">
        <v>6647</v>
      </c>
      <c r="I887" s="497" t="s">
        <v>2704</v>
      </c>
      <c r="J887" s="497" t="s">
        <v>6910</v>
      </c>
      <c r="K887" s="497" t="s">
        <v>5734</v>
      </c>
      <c r="L887" s="498">
        <v>8.0</v>
      </c>
      <c r="M887" s="497" t="s">
        <v>5993</v>
      </c>
      <c r="N887" s="497" t="s">
        <v>7072</v>
      </c>
      <c r="O887" s="498">
        <v>311.0</v>
      </c>
      <c r="P887" s="497" t="s">
        <v>7073</v>
      </c>
      <c r="Q887" s="499"/>
      <c r="R887" s="500"/>
      <c r="S887" s="500"/>
      <c r="T887" s="500"/>
      <c r="U887" s="500"/>
      <c r="V887" s="500"/>
      <c r="W887" s="500"/>
      <c r="X887" s="500"/>
      <c r="Y887" s="500"/>
      <c r="Z887" s="500"/>
      <c r="AA887" s="500"/>
      <c r="AB887" s="500"/>
      <c r="AC887" s="500"/>
      <c r="AD887" s="500"/>
      <c r="AE887" s="497"/>
    </row>
    <row r="888">
      <c r="A888" s="527" t="s">
        <v>5342</v>
      </c>
      <c r="B888" s="531" t="s">
        <v>6109</v>
      </c>
      <c r="C888" s="531" t="s">
        <v>7007</v>
      </c>
      <c r="D888" s="531" t="s">
        <v>5675</v>
      </c>
      <c r="E888" s="531" t="s">
        <v>6647</v>
      </c>
      <c r="F888" s="497" t="s">
        <v>7074</v>
      </c>
      <c r="G888" s="498">
        <v>2.0</v>
      </c>
      <c r="H888" s="497" t="s">
        <v>6647</v>
      </c>
      <c r="I888" s="497" t="s">
        <v>2695</v>
      </c>
      <c r="J888" s="497" t="s">
        <v>7075</v>
      </c>
      <c r="K888" s="497" t="s">
        <v>5750</v>
      </c>
      <c r="L888" s="498">
        <v>3.0</v>
      </c>
      <c r="M888" s="497" t="s">
        <v>6270</v>
      </c>
      <c r="N888" s="497" t="s">
        <v>7076</v>
      </c>
      <c r="O888" s="498">
        <v>302.0</v>
      </c>
      <c r="P888" s="497" t="s">
        <v>7077</v>
      </c>
      <c r="Q888" s="500"/>
      <c r="R888" s="500"/>
      <c r="S888" s="500"/>
      <c r="T888" s="500"/>
      <c r="U888" s="500"/>
      <c r="V888" s="500"/>
      <c r="W888" s="500"/>
      <c r="X888" s="500"/>
      <c r="Y888" s="500"/>
      <c r="Z888" s="500"/>
      <c r="AA888" s="500"/>
      <c r="AB888" s="500"/>
      <c r="AC888" s="500"/>
      <c r="AD888" s="500"/>
      <c r="AE888" s="497"/>
    </row>
    <row r="889">
      <c r="A889" s="527" t="s">
        <v>5345</v>
      </c>
      <c r="B889" s="531" t="s">
        <v>6532</v>
      </c>
      <c r="C889" s="531" t="s">
        <v>7032</v>
      </c>
      <c r="D889" s="531" t="s">
        <v>6044</v>
      </c>
      <c r="E889" s="531" t="s">
        <v>6647</v>
      </c>
      <c r="F889" s="497" t="s">
        <v>7078</v>
      </c>
      <c r="G889" s="498">
        <v>2.0</v>
      </c>
      <c r="H889" s="497" t="s">
        <v>6647</v>
      </c>
      <c r="I889" s="497" t="s">
        <v>2740</v>
      </c>
      <c r="J889" s="497" t="s">
        <v>6841</v>
      </c>
      <c r="K889" s="497" t="s">
        <v>5786</v>
      </c>
      <c r="L889" s="498">
        <v>3.0</v>
      </c>
      <c r="M889" s="497" t="s">
        <v>5712</v>
      </c>
      <c r="N889" s="497" t="s">
        <v>6842</v>
      </c>
      <c r="O889" s="498">
        <v>430.0</v>
      </c>
      <c r="P889" s="497" t="s">
        <v>6843</v>
      </c>
      <c r="Q889" s="500"/>
      <c r="R889" s="500"/>
      <c r="S889" s="500"/>
      <c r="T889" s="500"/>
      <c r="U889" s="500"/>
      <c r="V889" s="500"/>
      <c r="W889" s="500"/>
      <c r="X889" s="500"/>
      <c r="Y889" s="500"/>
      <c r="Z889" s="500"/>
      <c r="AA889" s="500"/>
      <c r="AB889" s="500"/>
      <c r="AC889" s="500"/>
      <c r="AD889" s="500"/>
      <c r="AE889" s="497"/>
    </row>
    <row r="890">
      <c r="A890" s="527" t="s">
        <v>5347</v>
      </c>
      <c r="B890" s="531" t="s">
        <v>7079</v>
      </c>
      <c r="C890" s="531" t="s">
        <v>7007</v>
      </c>
      <c r="D890" s="531" t="s">
        <v>6044</v>
      </c>
      <c r="E890" s="531" t="s">
        <v>6647</v>
      </c>
      <c r="F890" s="497" t="s">
        <v>7080</v>
      </c>
      <c r="G890" s="498">
        <v>2.0</v>
      </c>
      <c r="H890" s="497" t="s">
        <v>6647</v>
      </c>
      <c r="I890" s="497" t="s">
        <v>2698</v>
      </c>
      <c r="J890" s="497" t="s">
        <v>7081</v>
      </c>
      <c r="K890" s="497" t="s">
        <v>5750</v>
      </c>
      <c r="L890" s="498">
        <v>3.0</v>
      </c>
      <c r="M890" s="497" t="s">
        <v>5763</v>
      </c>
      <c r="N890" s="497" t="s">
        <v>7082</v>
      </c>
      <c r="O890" s="498">
        <v>167.0</v>
      </c>
      <c r="P890" s="497" t="s">
        <v>7083</v>
      </c>
      <c r="Q890" s="499"/>
      <c r="R890" s="500"/>
      <c r="S890" s="500"/>
      <c r="T890" s="500"/>
      <c r="U890" s="500"/>
      <c r="V890" s="500"/>
      <c r="W890" s="500"/>
      <c r="X890" s="500"/>
      <c r="Y890" s="500"/>
      <c r="Z890" s="500"/>
      <c r="AA890" s="500"/>
      <c r="AB890" s="500"/>
      <c r="AC890" s="500"/>
      <c r="AD890" s="500"/>
      <c r="AE890" s="497"/>
    </row>
    <row r="891">
      <c r="A891" s="527" t="s">
        <v>3659</v>
      </c>
      <c r="B891" s="531" t="s">
        <v>6112</v>
      </c>
      <c r="C891" s="531" t="s">
        <v>6489</v>
      </c>
      <c r="D891" s="531" t="s">
        <v>6044</v>
      </c>
      <c r="E891" s="531" t="s">
        <v>6647</v>
      </c>
      <c r="F891" s="228" t="s">
        <v>5951</v>
      </c>
    </row>
    <row r="892">
      <c r="A892" s="527" t="s">
        <v>5348</v>
      </c>
      <c r="B892" s="531" t="s">
        <v>6110</v>
      </c>
      <c r="C892" s="531" t="s">
        <v>7040</v>
      </c>
      <c r="D892" s="531" t="s">
        <v>6044</v>
      </c>
      <c r="E892" s="531" t="s">
        <v>6647</v>
      </c>
      <c r="F892" s="497" t="s">
        <v>7084</v>
      </c>
      <c r="G892" s="498">
        <v>2.0</v>
      </c>
      <c r="H892" s="497" t="s">
        <v>6647</v>
      </c>
      <c r="I892" s="497" t="s">
        <v>2698</v>
      </c>
      <c r="J892" s="497" t="s">
        <v>6363</v>
      </c>
      <c r="K892" s="497" t="s">
        <v>5734</v>
      </c>
      <c r="L892" s="498">
        <v>3.0</v>
      </c>
      <c r="M892" s="497" t="s">
        <v>5763</v>
      </c>
      <c r="N892" s="497" t="s">
        <v>7085</v>
      </c>
      <c r="O892" s="498">
        <v>322.0</v>
      </c>
      <c r="P892" s="497" t="s">
        <v>7086</v>
      </c>
      <c r="Q892" s="499"/>
      <c r="R892" s="500"/>
      <c r="S892" s="500"/>
      <c r="T892" s="500"/>
      <c r="U892" s="500"/>
      <c r="V892" s="500"/>
      <c r="W892" s="500"/>
      <c r="X892" s="500"/>
      <c r="Y892" s="500"/>
      <c r="Z892" s="500"/>
      <c r="AA892" s="500"/>
      <c r="AB892" s="500"/>
      <c r="AC892" s="500"/>
      <c r="AD892" s="500"/>
      <c r="AE892" s="497"/>
    </row>
    <row r="893">
      <c r="A893" s="527" t="s">
        <v>168</v>
      </c>
      <c r="B893" s="531" t="s">
        <v>6482</v>
      </c>
      <c r="C893" s="531" t="s">
        <v>7032</v>
      </c>
      <c r="D893" s="531" t="s">
        <v>6044</v>
      </c>
      <c r="E893" s="531" t="s">
        <v>6647</v>
      </c>
      <c r="F893" s="497" t="s">
        <v>7087</v>
      </c>
      <c r="G893" s="498">
        <v>2.0</v>
      </c>
      <c r="H893" s="497" t="s">
        <v>6647</v>
      </c>
      <c r="I893" s="497" t="s">
        <v>2715</v>
      </c>
      <c r="J893" s="497" t="s">
        <v>6022</v>
      </c>
      <c r="K893" s="497" t="s">
        <v>5786</v>
      </c>
      <c r="L893" s="498">
        <v>3.0</v>
      </c>
      <c r="M893" s="497" t="s">
        <v>5839</v>
      </c>
      <c r="N893" s="497" t="s">
        <v>6367</v>
      </c>
      <c r="O893" s="498">
        <v>223.0</v>
      </c>
      <c r="P893" s="497" t="s">
        <v>6368</v>
      </c>
      <c r="Q893" s="499"/>
      <c r="R893" s="500"/>
      <c r="S893" s="500"/>
      <c r="T893" s="500"/>
      <c r="U893" s="500"/>
      <c r="V893" s="500"/>
      <c r="W893" s="500"/>
      <c r="X893" s="500"/>
      <c r="Y893" s="500"/>
      <c r="Z893" s="500"/>
      <c r="AA893" s="500"/>
      <c r="AB893" s="500"/>
      <c r="AC893" s="500"/>
      <c r="AD893" s="500"/>
      <c r="AE893" s="497"/>
    </row>
    <row r="894">
      <c r="A894" s="527" t="s">
        <v>5354</v>
      </c>
      <c r="B894" s="531" t="s">
        <v>2724</v>
      </c>
      <c r="C894" s="531" t="s">
        <v>7040</v>
      </c>
      <c r="D894" s="531" t="s">
        <v>7088</v>
      </c>
      <c r="E894" s="531" t="s">
        <v>6647</v>
      </c>
      <c r="F894" s="497" t="s">
        <v>7089</v>
      </c>
      <c r="G894" s="498">
        <v>2.0</v>
      </c>
      <c r="H894" s="497" t="s">
        <v>6647</v>
      </c>
      <c r="I894" s="497" t="s">
        <v>2724</v>
      </c>
      <c r="J894" s="497" t="s">
        <v>6352</v>
      </c>
      <c r="K894" s="497" t="s">
        <v>5734</v>
      </c>
      <c r="L894" s="498">
        <v>4.0</v>
      </c>
      <c r="M894" s="497" t="s">
        <v>5828</v>
      </c>
      <c r="N894" s="497" t="s">
        <v>7090</v>
      </c>
      <c r="O894" s="498">
        <v>292.0</v>
      </c>
      <c r="P894" s="497" t="s">
        <v>7091</v>
      </c>
      <c r="Q894" s="499"/>
      <c r="R894" s="500"/>
      <c r="S894" s="500"/>
      <c r="T894" s="500"/>
      <c r="U894" s="500"/>
      <c r="V894" s="500"/>
      <c r="W894" s="500"/>
      <c r="X894" s="500"/>
      <c r="Y894" s="500"/>
      <c r="Z894" s="500"/>
      <c r="AA894" s="500"/>
      <c r="AB894" s="500"/>
      <c r="AC894" s="500"/>
      <c r="AD894" s="500"/>
      <c r="AE894" s="497"/>
    </row>
    <row r="895">
      <c r="A895" s="527" t="s">
        <v>5355</v>
      </c>
      <c r="B895" s="531" t="s">
        <v>6532</v>
      </c>
      <c r="C895" s="531" t="s">
        <v>7007</v>
      </c>
      <c r="D895" s="531" t="s">
        <v>7088</v>
      </c>
      <c r="E895" s="531" t="s">
        <v>6647</v>
      </c>
      <c r="F895" s="497" t="s">
        <v>7092</v>
      </c>
      <c r="G895" s="498">
        <v>2.0</v>
      </c>
      <c r="H895" s="497" t="s">
        <v>6647</v>
      </c>
      <c r="I895" s="497" t="s">
        <v>2740</v>
      </c>
      <c r="J895" s="497" t="s">
        <v>6412</v>
      </c>
      <c r="K895" s="497" t="s">
        <v>5750</v>
      </c>
      <c r="L895" s="498">
        <v>4.0</v>
      </c>
      <c r="M895" s="497" t="s">
        <v>5755</v>
      </c>
      <c r="N895" s="497" t="s">
        <v>7093</v>
      </c>
      <c r="O895" s="498">
        <v>342.0</v>
      </c>
      <c r="P895" s="497" t="s">
        <v>7094</v>
      </c>
      <c r="Q895" s="500"/>
      <c r="R895" s="500"/>
      <c r="S895" s="500"/>
      <c r="T895" s="500"/>
      <c r="U895" s="500"/>
      <c r="V895" s="500"/>
      <c r="W895" s="500"/>
      <c r="X895" s="500"/>
      <c r="Y895" s="500"/>
      <c r="Z895" s="500"/>
      <c r="AA895" s="500"/>
      <c r="AB895" s="500"/>
      <c r="AC895" s="500"/>
      <c r="AD895" s="500"/>
      <c r="AE895" s="497"/>
    </row>
    <row r="896">
      <c r="A896" s="527" t="s">
        <v>1670</v>
      </c>
      <c r="B896" s="531" t="s">
        <v>6096</v>
      </c>
      <c r="C896" s="531" t="s">
        <v>6489</v>
      </c>
      <c r="D896" s="531" t="s">
        <v>7088</v>
      </c>
      <c r="E896" s="531" t="s">
        <v>6647</v>
      </c>
      <c r="F896" s="497" t="s">
        <v>7095</v>
      </c>
      <c r="G896" s="498">
        <v>2.0</v>
      </c>
      <c r="H896" s="497" t="s">
        <v>6647</v>
      </c>
      <c r="I896" s="497" t="s">
        <v>2709</v>
      </c>
      <c r="J896" s="497" t="s">
        <v>6957</v>
      </c>
      <c r="K896" s="497" t="s">
        <v>5754</v>
      </c>
      <c r="L896" s="498">
        <v>4.0</v>
      </c>
      <c r="M896" s="497" t="s">
        <v>6401</v>
      </c>
      <c r="N896" s="497" t="s">
        <v>7096</v>
      </c>
      <c r="O896" s="498">
        <v>286.0</v>
      </c>
      <c r="P896" s="497" t="s">
        <v>7097</v>
      </c>
      <c r="Q896" s="499"/>
      <c r="R896" s="500"/>
      <c r="S896" s="500"/>
      <c r="T896" s="500"/>
      <c r="U896" s="500"/>
      <c r="V896" s="500"/>
      <c r="W896" s="500"/>
      <c r="X896" s="500"/>
      <c r="Y896" s="500"/>
      <c r="Z896" s="500"/>
      <c r="AA896" s="500"/>
      <c r="AB896" s="500"/>
      <c r="AC896" s="500"/>
      <c r="AD896" s="500"/>
      <c r="AE896" s="497"/>
    </row>
    <row r="897">
      <c r="A897" s="527" t="s">
        <v>5357</v>
      </c>
      <c r="B897" s="531" t="s">
        <v>2704</v>
      </c>
      <c r="C897" s="531" t="s">
        <v>7040</v>
      </c>
      <c r="D897" s="531" t="s">
        <v>7088</v>
      </c>
      <c r="E897" s="531" t="s">
        <v>6647</v>
      </c>
      <c r="F897" s="497" t="s">
        <v>7098</v>
      </c>
      <c r="G897" s="498">
        <v>2.0</v>
      </c>
      <c r="H897" s="497" t="s">
        <v>6647</v>
      </c>
      <c r="I897" s="497" t="s">
        <v>2704</v>
      </c>
      <c r="J897" s="497" t="s">
        <v>6950</v>
      </c>
      <c r="K897" s="497" t="s">
        <v>5734</v>
      </c>
      <c r="L897" s="498">
        <v>4.0</v>
      </c>
      <c r="M897" s="497" t="s">
        <v>6322</v>
      </c>
      <c r="N897" s="497" t="s">
        <v>7099</v>
      </c>
      <c r="O897" s="498">
        <v>499.0</v>
      </c>
      <c r="P897" s="497" t="s">
        <v>7100</v>
      </c>
      <c r="Q897" s="499"/>
      <c r="R897" s="500"/>
      <c r="S897" s="500"/>
      <c r="T897" s="500"/>
      <c r="U897" s="500"/>
      <c r="V897" s="500"/>
      <c r="W897" s="500"/>
      <c r="X897" s="500"/>
      <c r="Y897" s="500"/>
      <c r="Z897" s="500"/>
      <c r="AA897" s="500"/>
      <c r="AB897" s="500"/>
      <c r="AC897" s="500"/>
      <c r="AD897" s="500"/>
      <c r="AE897" s="497"/>
    </row>
    <row r="898">
      <c r="A898" s="527" t="s">
        <v>5358</v>
      </c>
      <c r="B898" s="531" t="s">
        <v>2692</v>
      </c>
      <c r="C898" s="531" t="s">
        <v>7032</v>
      </c>
      <c r="D898" s="531" t="s">
        <v>7088</v>
      </c>
      <c r="E898" s="531" t="s">
        <v>6647</v>
      </c>
      <c r="F898" s="228" t="s">
        <v>5951</v>
      </c>
    </row>
    <row r="899">
      <c r="A899" s="527" t="s">
        <v>5359</v>
      </c>
      <c r="B899" s="531" t="s">
        <v>2692</v>
      </c>
      <c r="C899" s="531" t="s">
        <v>6794</v>
      </c>
      <c r="D899" s="531" t="s">
        <v>7088</v>
      </c>
      <c r="E899" s="531" t="s">
        <v>6647</v>
      </c>
      <c r="F899" s="228" t="s">
        <v>5951</v>
      </c>
    </row>
    <row r="900">
      <c r="A900" s="527" t="s">
        <v>5361</v>
      </c>
      <c r="B900" s="531" t="s">
        <v>6109</v>
      </c>
      <c r="C900" s="531" t="s">
        <v>7007</v>
      </c>
      <c r="D900" s="531" t="s">
        <v>7088</v>
      </c>
      <c r="E900" s="531" t="s">
        <v>6647</v>
      </c>
      <c r="F900" s="497" t="s">
        <v>7101</v>
      </c>
      <c r="G900" s="498">
        <v>2.0</v>
      </c>
      <c r="H900" s="497" t="s">
        <v>6647</v>
      </c>
      <c r="I900" s="497" t="s">
        <v>2695</v>
      </c>
      <c r="J900" s="497" t="s">
        <v>7102</v>
      </c>
      <c r="K900" s="497" t="s">
        <v>5750</v>
      </c>
      <c r="L900" s="498">
        <v>4.0</v>
      </c>
      <c r="M900" s="497" t="s">
        <v>5722</v>
      </c>
      <c r="N900" s="497" t="s">
        <v>7103</v>
      </c>
      <c r="O900" s="498">
        <v>302.0</v>
      </c>
      <c r="P900" s="497" t="s">
        <v>7104</v>
      </c>
      <c r="Q900" s="500"/>
      <c r="R900" s="500"/>
      <c r="S900" s="500"/>
      <c r="T900" s="500"/>
      <c r="U900" s="500"/>
      <c r="V900" s="500"/>
      <c r="W900" s="500"/>
      <c r="X900" s="500"/>
      <c r="Y900" s="500"/>
      <c r="Z900" s="500"/>
      <c r="AA900" s="500"/>
      <c r="AB900" s="500"/>
      <c r="AC900" s="500"/>
      <c r="AD900" s="500"/>
      <c r="AE900" s="497"/>
    </row>
    <row r="901">
      <c r="A901" s="527" t="s">
        <v>5364</v>
      </c>
      <c r="B901" s="534" t="s">
        <v>5699</v>
      </c>
      <c r="C901" s="531" t="s">
        <v>7007</v>
      </c>
      <c r="D901" s="531" t="s">
        <v>7088</v>
      </c>
      <c r="E901" s="531" t="s">
        <v>6647</v>
      </c>
      <c r="F901" s="516" t="s">
        <v>7105</v>
      </c>
      <c r="G901" s="498">
        <v>2.0</v>
      </c>
      <c r="H901" s="497" t="s">
        <v>6647</v>
      </c>
      <c r="I901" s="497" t="s">
        <v>2702</v>
      </c>
      <c r="J901" s="497" t="s">
        <v>6972</v>
      </c>
      <c r="K901" s="497" t="s">
        <v>5750</v>
      </c>
      <c r="L901" s="498">
        <v>4.0</v>
      </c>
      <c r="M901" s="497" t="s">
        <v>6415</v>
      </c>
      <c r="N901" s="497" t="s">
        <v>7106</v>
      </c>
      <c r="O901" s="498">
        <v>245.0</v>
      </c>
      <c r="P901" s="497" t="s">
        <v>7107</v>
      </c>
      <c r="Q901" s="499"/>
      <c r="R901" s="500"/>
      <c r="S901" s="500"/>
      <c r="T901" s="500"/>
      <c r="U901" s="500"/>
      <c r="V901" s="500"/>
      <c r="W901" s="500"/>
      <c r="X901" s="500"/>
      <c r="Y901" s="500"/>
      <c r="Z901" s="500"/>
      <c r="AA901" s="500"/>
      <c r="AB901" s="500"/>
      <c r="AC901" s="500"/>
      <c r="AD901" s="500"/>
      <c r="AE901" s="497"/>
    </row>
    <row r="902">
      <c r="A902" s="527" t="s">
        <v>5365</v>
      </c>
      <c r="B902" s="531" t="s">
        <v>2692</v>
      </c>
      <c r="C902" s="531" t="s">
        <v>6489</v>
      </c>
      <c r="D902" s="531" t="s">
        <v>7088</v>
      </c>
      <c r="E902" s="531" t="s">
        <v>6647</v>
      </c>
      <c r="F902" s="228" t="s">
        <v>5951</v>
      </c>
    </row>
    <row r="903">
      <c r="A903" s="527" t="s">
        <v>5367</v>
      </c>
      <c r="B903" s="531" t="s">
        <v>2698</v>
      </c>
      <c r="C903" s="531" t="s">
        <v>6489</v>
      </c>
      <c r="D903" s="531" t="s">
        <v>6493</v>
      </c>
      <c r="E903" s="531" t="s">
        <v>6647</v>
      </c>
      <c r="F903" s="497" t="s">
        <v>7108</v>
      </c>
      <c r="G903" s="498">
        <v>2.0</v>
      </c>
      <c r="H903" s="497" t="s">
        <v>6647</v>
      </c>
      <c r="I903" s="497" t="s">
        <v>2698</v>
      </c>
      <c r="J903" s="497" t="s">
        <v>6428</v>
      </c>
      <c r="K903" s="497" t="s">
        <v>5754</v>
      </c>
      <c r="L903" s="498">
        <v>5.0</v>
      </c>
      <c r="M903" s="497" t="s">
        <v>5763</v>
      </c>
      <c r="N903" s="497" t="s">
        <v>7109</v>
      </c>
      <c r="O903" s="498">
        <v>203.0</v>
      </c>
      <c r="P903" s="497" t="s">
        <v>7110</v>
      </c>
      <c r="Q903" s="499"/>
      <c r="R903" s="500"/>
      <c r="S903" s="500"/>
      <c r="T903" s="500"/>
      <c r="U903" s="500"/>
      <c r="V903" s="500"/>
      <c r="W903" s="500"/>
      <c r="X903" s="500"/>
      <c r="Y903" s="500"/>
      <c r="Z903" s="500"/>
      <c r="AA903" s="500"/>
      <c r="AB903" s="500"/>
      <c r="AC903" s="500"/>
      <c r="AD903" s="500"/>
      <c r="AE903" s="497"/>
    </row>
    <row r="904">
      <c r="A904" s="527" t="s">
        <v>5368</v>
      </c>
      <c r="B904" s="534" t="s">
        <v>5699</v>
      </c>
      <c r="C904" s="531" t="s">
        <v>7040</v>
      </c>
      <c r="D904" s="531" t="s">
        <v>6493</v>
      </c>
      <c r="E904" s="531" t="s">
        <v>6647</v>
      </c>
      <c r="F904" s="497" t="s">
        <v>7111</v>
      </c>
      <c r="G904" s="498">
        <v>2.0</v>
      </c>
      <c r="H904" s="497" t="s">
        <v>6647</v>
      </c>
      <c r="I904" s="497" t="s">
        <v>2702</v>
      </c>
      <c r="J904" s="497" t="s">
        <v>6575</v>
      </c>
      <c r="K904" s="497" t="s">
        <v>5734</v>
      </c>
      <c r="L904" s="498">
        <v>5.0</v>
      </c>
      <c r="M904" s="497" t="s">
        <v>6415</v>
      </c>
      <c r="N904" s="497" t="s">
        <v>7112</v>
      </c>
      <c r="O904" s="498">
        <v>299.0</v>
      </c>
      <c r="P904" s="497" t="s">
        <v>7113</v>
      </c>
      <c r="Q904" s="499"/>
      <c r="R904" s="500"/>
      <c r="S904" s="500"/>
      <c r="T904" s="500"/>
      <c r="U904" s="500"/>
      <c r="V904" s="500"/>
      <c r="W904" s="500"/>
      <c r="X904" s="500"/>
      <c r="Y904" s="500"/>
      <c r="Z904" s="500"/>
      <c r="AA904" s="500"/>
      <c r="AB904" s="500"/>
      <c r="AC904" s="500"/>
      <c r="AD904" s="500"/>
      <c r="AE904" s="497"/>
    </row>
    <row r="905">
      <c r="A905" s="527" t="s">
        <v>5369</v>
      </c>
      <c r="B905" s="531" t="s">
        <v>2698</v>
      </c>
      <c r="C905" s="531" t="s">
        <v>5671</v>
      </c>
      <c r="D905" s="531" t="s">
        <v>6493</v>
      </c>
      <c r="E905" s="531" t="s">
        <v>6647</v>
      </c>
      <c r="F905" s="516" t="s">
        <v>7114</v>
      </c>
      <c r="G905" s="498">
        <v>2.0</v>
      </c>
      <c r="H905" s="497" t="s">
        <v>6647</v>
      </c>
      <c r="I905" s="497" t="s">
        <v>2698</v>
      </c>
      <c r="J905" s="497" t="s">
        <v>7115</v>
      </c>
      <c r="K905" s="497" t="s">
        <v>5729</v>
      </c>
      <c r="L905" s="498">
        <v>5.0</v>
      </c>
      <c r="M905" s="497" t="s">
        <v>5854</v>
      </c>
      <c r="N905" s="497" t="s">
        <v>7116</v>
      </c>
      <c r="O905" s="498">
        <v>227.0</v>
      </c>
      <c r="P905" s="497" t="s">
        <v>7117</v>
      </c>
      <c r="Q905" s="500"/>
      <c r="R905" s="500"/>
      <c r="S905" s="500"/>
      <c r="T905" s="500"/>
      <c r="U905" s="500"/>
      <c r="V905" s="500"/>
      <c r="W905" s="500"/>
      <c r="X905" s="500"/>
      <c r="Y905" s="500"/>
      <c r="Z905" s="500"/>
      <c r="AA905" s="500"/>
      <c r="AB905" s="500"/>
      <c r="AC905" s="500"/>
      <c r="AD905" s="500"/>
      <c r="AE905" s="497"/>
    </row>
    <row r="906">
      <c r="A906" s="527" t="s">
        <v>5374</v>
      </c>
      <c r="B906" s="531" t="s">
        <v>6109</v>
      </c>
      <c r="C906" s="531" t="s">
        <v>6794</v>
      </c>
      <c r="D906" s="531" t="s">
        <v>6493</v>
      </c>
      <c r="E906" s="531" t="s">
        <v>6647</v>
      </c>
      <c r="F906" s="497" t="s">
        <v>7118</v>
      </c>
      <c r="G906" s="498">
        <v>2.0</v>
      </c>
      <c r="H906" s="497" t="s">
        <v>6647</v>
      </c>
      <c r="I906" s="497" t="s">
        <v>2695</v>
      </c>
      <c r="J906" s="497" t="s">
        <v>7119</v>
      </c>
      <c r="K906" s="497" t="s">
        <v>5721</v>
      </c>
      <c r="L906" s="498">
        <v>5.0</v>
      </c>
      <c r="M906" s="497" t="s">
        <v>6270</v>
      </c>
      <c r="N906" s="497" t="s">
        <v>7120</v>
      </c>
      <c r="O906" s="498">
        <v>288.0</v>
      </c>
      <c r="P906" s="497" t="s">
        <v>7121</v>
      </c>
      <c r="Q906" s="500"/>
      <c r="R906" s="500"/>
      <c r="S906" s="500"/>
      <c r="T906" s="500"/>
      <c r="U906" s="500"/>
      <c r="V906" s="500"/>
      <c r="W906" s="500"/>
      <c r="X906" s="500"/>
      <c r="Y906" s="500"/>
      <c r="Z906" s="500"/>
      <c r="AA906" s="500"/>
      <c r="AB906" s="500"/>
      <c r="AC906" s="500"/>
      <c r="AD906" s="500"/>
      <c r="AE906" s="497"/>
    </row>
    <row r="907">
      <c r="A907" s="461" t="s">
        <v>2508</v>
      </c>
      <c r="B907" s="531" t="s">
        <v>6101</v>
      </c>
      <c r="C907" s="531" t="s">
        <v>7032</v>
      </c>
      <c r="D907" s="531" t="s">
        <v>6687</v>
      </c>
      <c r="E907" s="531" t="s">
        <v>6647</v>
      </c>
      <c r="F907" s="228" t="s">
        <v>5951</v>
      </c>
    </row>
    <row r="908">
      <c r="A908" s="461" t="s">
        <v>7122</v>
      </c>
      <c r="B908" s="531" t="s">
        <v>6488</v>
      </c>
      <c r="C908" s="531" t="s">
        <v>6794</v>
      </c>
      <c r="D908" s="531" t="s">
        <v>6687</v>
      </c>
      <c r="E908" s="531" t="s">
        <v>6647</v>
      </c>
      <c r="F908" s="497" t="s">
        <v>2510</v>
      </c>
      <c r="G908" s="498">
        <v>2.0</v>
      </c>
      <c r="H908" s="497" t="s">
        <v>6647</v>
      </c>
      <c r="I908" s="497" t="s">
        <v>2704</v>
      </c>
      <c r="J908" s="497" t="s">
        <v>6836</v>
      </c>
      <c r="K908" s="497" t="s">
        <v>5721</v>
      </c>
      <c r="L908" s="498">
        <v>2.0</v>
      </c>
      <c r="M908" s="497" t="s">
        <v>5993</v>
      </c>
      <c r="N908" s="497" t="s">
        <v>7123</v>
      </c>
      <c r="O908" s="498">
        <v>709.0</v>
      </c>
      <c r="P908" s="497" t="s">
        <v>7124</v>
      </c>
      <c r="Q908" s="499"/>
      <c r="R908" s="500"/>
      <c r="S908" s="500"/>
      <c r="T908" s="500"/>
      <c r="U908" s="500"/>
      <c r="V908" s="500"/>
      <c r="W908" s="500"/>
      <c r="X908" s="500"/>
      <c r="Y908" s="500"/>
      <c r="Z908" s="500"/>
      <c r="AA908" s="500"/>
      <c r="AB908" s="500"/>
      <c r="AC908" s="500"/>
      <c r="AD908" s="500"/>
      <c r="AE908" s="497"/>
    </row>
    <row r="909">
      <c r="A909" s="461" t="s">
        <v>7125</v>
      </c>
      <c r="B909" s="531" t="s">
        <v>6109</v>
      </c>
      <c r="C909" s="531" t="s">
        <v>7032</v>
      </c>
      <c r="D909" s="531" t="s">
        <v>5668</v>
      </c>
      <c r="E909" s="531" t="s">
        <v>6647</v>
      </c>
      <c r="F909" s="497" t="s">
        <v>2519</v>
      </c>
      <c r="G909" s="498">
        <v>2.0</v>
      </c>
      <c r="H909" s="497" t="s">
        <v>6647</v>
      </c>
      <c r="I909" s="497" t="s">
        <v>2695</v>
      </c>
      <c r="J909" s="497" t="s">
        <v>6061</v>
      </c>
      <c r="K909" s="497" t="s">
        <v>5786</v>
      </c>
      <c r="L909" s="498">
        <v>2.0</v>
      </c>
      <c r="M909" s="497" t="s">
        <v>5879</v>
      </c>
      <c r="N909" s="497" t="s">
        <v>7126</v>
      </c>
      <c r="O909" s="498">
        <v>299.0</v>
      </c>
      <c r="P909" s="497" t="s">
        <v>7127</v>
      </c>
      <c r="Q909" s="500"/>
      <c r="R909" s="500"/>
      <c r="S909" s="500"/>
      <c r="T909" s="500"/>
      <c r="U909" s="500"/>
      <c r="V909" s="500"/>
      <c r="W909" s="500"/>
      <c r="X909" s="500"/>
      <c r="Y909" s="500"/>
      <c r="Z909" s="500"/>
      <c r="AA909" s="500"/>
      <c r="AB909" s="500"/>
      <c r="AC909" s="500"/>
      <c r="AD909" s="500"/>
      <c r="AE909" s="497"/>
    </row>
    <row r="910">
      <c r="A910" s="461" t="s">
        <v>2536</v>
      </c>
      <c r="B910" s="531" t="s">
        <v>2692</v>
      </c>
      <c r="C910" s="531" t="s">
        <v>7040</v>
      </c>
      <c r="D910" s="531" t="s">
        <v>6044</v>
      </c>
      <c r="E910" s="531" t="s">
        <v>6647</v>
      </c>
      <c r="F910" s="228" t="s">
        <v>5951</v>
      </c>
    </row>
    <row r="911">
      <c r="A911" s="461" t="s">
        <v>7128</v>
      </c>
      <c r="B911" s="531" t="s">
        <v>2692</v>
      </c>
      <c r="C911" s="531" t="s">
        <v>7007</v>
      </c>
      <c r="D911" s="531" t="s">
        <v>6044</v>
      </c>
      <c r="E911" s="531" t="s">
        <v>6647</v>
      </c>
      <c r="F911" s="497" t="s">
        <v>2545</v>
      </c>
      <c r="G911" s="498">
        <v>2.0</v>
      </c>
      <c r="H911" s="497" t="s">
        <v>6647</v>
      </c>
      <c r="I911" s="497" t="s">
        <v>2692</v>
      </c>
      <c r="J911" s="497" t="s">
        <v>7075</v>
      </c>
      <c r="K911" s="497" t="s">
        <v>5750</v>
      </c>
      <c r="L911" s="498">
        <v>3.0</v>
      </c>
      <c r="M911" s="497" t="s">
        <v>7129</v>
      </c>
      <c r="N911" s="497" t="s">
        <v>7130</v>
      </c>
      <c r="O911" s="498">
        <v>212.0</v>
      </c>
      <c r="P911" s="497" t="s">
        <v>7131</v>
      </c>
      <c r="Q911" s="499"/>
      <c r="R911" s="500"/>
      <c r="S911" s="500"/>
      <c r="T911" s="500"/>
      <c r="U911" s="500"/>
      <c r="V911" s="500"/>
      <c r="W911" s="500"/>
      <c r="X911" s="500"/>
      <c r="Y911" s="500"/>
      <c r="Z911" s="500"/>
      <c r="AA911" s="500"/>
      <c r="AB911" s="500"/>
      <c r="AC911" s="500"/>
      <c r="AD911" s="500"/>
      <c r="AE911" s="497"/>
    </row>
    <row r="912">
      <c r="A912" s="495" t="s">
        <v>7132</v>
      </c>
      <c r="B912" s="531" t="s">
        <v>6488</v>
      </c>
      <c r="C912" s="531" t="s">
        <v>7133</v>
      </c>
      <c r="D912" s="531" t="s">
        <v>6493</v>
      </c>
      <c r="E912" s="531" t="s">
        <v>6647</v>
      </c>
      <c r="F912" s="497" t="s">
        <v>1687</v>
      </c>
      <c r="G912" s="498">
        <v>2.0</v>
      </c>
      <c r="H912" s="497" t="s">
        <v>6647</v>
      </c>
      <c r="I912" s="497" t="s">
        <v>2704</v>
      </c>
      <c r="J912" s="497" t="s">
        <v>6980</v>
      </c>
      <c r="K912" s="497" t="s">
        <v>5711</v>
      </c>
      <c r="L912" s="498">
        <v>5.0</v>
      </c>
      <c r="M912" s="497" t="s">
        <v>5993</v>
      </c>
      <c r="N912" s="497" t="s">
        <v>7134</v>
      </c>
      <c r="O912" s="498">
        <v>505.0</v>
      </c>
      <c r="P912" s="497" t="s">
        <v>7135</v>
      </c>
      <c r="Q912" s="499"/>
      <c r="R912" s="500"/>
      <c r="S912" s="500"/>
      <c r="T912" s="500"/>
      <c r="U912" s="500"/>
      <c r="V912" s="500"/>
      <c r="W912" s="500"/>
      <c r="X912" s="500"/>
      <c r="Y912" s="500"/>
      <c r="Z912" s="500"/>
      <c r="AA912" s="500"/>
      <c r="AB912" s="500"/>
      <c r="AC912" s="500"/>
      <c r="AD912" s="500"/>
      <c r="AE912" s="497"/>
    </row>
    <row r="913">
      <c r="A913" s="495" t="s">
        <v>228</v>
      </c>
      <c r="B913" s="531" t="s">
        <v>6101</v>
      </c>
      <c r="C913" s="531" t="s">
        <v>6489</v>
      </c>
      <c r="D913" s="531" t="s">
        <v>6493</v>
      </c>
      <c r="E913" s="531" t="s">
        <v>6647</v>
      </c>
      <c r="F913" s="497" t="s">
        <v>1690</v>
      </c>
      <c r="G913" s="498">
        <v>2.0</v>
      </c>
      <c r="H913" s="497" t="s">
        <v>6647</v>
      </c>
      <c r="I913" s="497" t="s">
        <v>2715</v>
      </c>
      <c r="J913" s="497" t="s">
        <v>6428</v>
      </c>
      <c r="K913" s="497" t="s">
        <v>5754</v>
      </c>
      <c r="L913" s="498">
        <v>5.0</v>
      </c>
      <c r="M913" s="497" t="s">
        <v>6720</v>
      </c>
      <c r="N913" s="497" t="s">
        <v>7136</v>
      </c>
      <c r="O913" s="498">
        <v>264.0</v>
      </c>
      <c r="P913" s="497" t="s">
        <v>7137</v>
      </c>
      <c r="Q913" s="499"/>
      <c r="R913" s="500"/>
      <c r="S913" s="500"/>
      <c r="T913" s="500"/>
      <c r="U913" s="500"/>
      <c r="V913" s="500"/>
      <c r="W913" s="500"/>
      <c r="X913" s="500"/>
      <c r="Y913" s="500"/>
      <c r="Z913" s="500"/>
      <c r="AA913" s="500"/>
      <c r="AB913" s="500"/>
      <c r="AC913" s="500"/>
      <c r="AD913" s="500"/>
      <c r="AE913" s="497"/>
    </row>
    <row r="914">
      <c r="A914" s="495" t="s">
        <v>1691</v>
      </c>
      <c r="B914" s="531" t="s">
        <v>6488</v>
      </c>
      <c r="C914" s="531" t="s">
        <v>7032</v>
      </c>
      <c r="D914" s="531" t="s">
        <v>6493</v>
      </c>
      <c r="E914" s="531" t="s">
        <v>6647</v>
      </c>
      <c r="F914" s="228" t="s">
        <v>5951</v>
      </c>
    </row>
    <row r="915">
      <c r="A915" s="495" t="s">
        <v>7138</v>
      </c>
      <c r="B915" s="531" t="s">
        <v>6116</v>
      </c>
      <c r="C915" s="531" t="s">
        <v>6489</v>
      </c>
      <c r="D915" s="531" t="s">
        <v>6493</v>
      </c>
      <c r="E915" s="531" t="s">
        <v>6647</v>
      </c>
      <c r="F915" s="497" t="s">
        <v>1694</v>
      </c>
      <c r="G915" s="498">
        <v>2.0</v>
      </c>
      <c r="H915" s="497" t="s">
        <v>6647</v>
      </c>
      <c r="I915" s="497" t="s">
        <v>2692</v>
      </c>
      <c r="J915" s="497" t="s">
        <v>6293</v>
      </c>
      <c r="K915" s="497" t="s">
        <v>5754</v>
      </c>
      <c r="L915" s="498">
        <v>5.0</v>
      </c>
      <c r="M915" s="497" t="s">
        <v>5970</v>
      </c>
      <c r="N915" s="497" t="s">
        <v>7139</v>
      </c>
      <c r="O915" s="498">
        <v>376.0</v>
      </c>
      <c r="P915" s="497" t="s">
        <v>7140</v>
      </c>
      <c r="Q915" s="499"/>
      <c r="R915" s="500"/>
      <c r="S915" s="500"/>
      <c r="T915" s="500"/>
      <c r="U915" s="500"/>
      <c r="V915" s="500"/>
      <c r="W915" s="500"/>
      <c r="X915" s="500"/>
      <c r="Y915" s="500"/>
      <c r="Z915" s="500"/>
      <c r="AA915" s="500"/>
      <c r="AB915" s="500"/>
      <c r="AC915" s="500"/>
      <c r="AD915" s="500"/>
      <c r="AE915" s="497"/>
    </row>
    <row r="916">
      <c r="A916" s="528" t="s">
        <v>4475</v>
      </c>
      <c r="B916" s="531" t="s">
        <v>6532</v>
      </c>
      <c r="C916" s="531" t="s">
        <v>7007</v>
      </c>
      <c r="D916" s="531" t="s">
        <v>5719</v>
      </c>
      <c r="E916" s="531" t="s">
        <v>6241</v>
      </c>
      <c r="F916" s="228" t="s">
        <v>5951</v>
      </c>
    </row>
    <row r="917">
      <c r="A917" s="528" t="s">
        <v>4476</v>
      </c>
      <c r="B917" s="534" t="s">
        <v>5699</v>
      </c>
      <c r="C917" s="531" t="s">
        <v>6794</v>
      </c>
      <c r="D917" s="531" t="s">
        <v>5719</v>
      </c>
      <c r="E917" s="531" t="s">
        <v>6241</v>
      </c>
      <c r="F917" s="228" t="s">
        <v>5951</v>
      </c>
    </row>
    <row r="918">
      <c r="A918" s="528" t="s">
        <v>4479</v>
      </c>
      <c r="B918" s="531" t="s">
        <v>6109</v>
      </c>
      <c r="C918" s="531" t="s">
        <v>5671</v>
      </c>
      <c r="D918" s="531" t="s">
        <v>5719</v>
      </c>
      <c r="E918" s="531" t="s">
        <v>6241</v>
      </c>
      <c r="F918" s="228" t="s">
        <v>5951</v>
      </c>
    </row>
    <row r="919">
      <c r="A919" s="528" t="s">
        <v>4488</v>
      </c>
      <c r="B919" s="531" t="s">
        <v>6109</v>
      </c>
      <c r="C919" s="531" t="s">
        <v>5671</v>
      </c>
      <c r="D919" s="531" t="s">
        <v>5658</v>
      </c>
      <c r="E919" s="531" t="s">
        <v>6795</v>
      </c>
      <c r="F919" s="228" t="s">
        <v>5951</v>
      </c>
    </row>
    <row r="920">
      <c r="A920" s="528" t="s">
        <v>4489</v>
      </c>
      <c r="B920" s="531" t="s">
        <v>6482</v>
      </c>
      <c r="C920" s="531" t="s">
        <v>5671</v>
      </c>
      <c r="D920" s="531" t="s">
        <v>5658</v>
      </c>
      <c r="E920" s="531" t="s">
        <v>6795</v>
      </c>
      <c r="F920" s="228" t="s">
        <v>5951</v>
      </c>
    </row>
    <row r="921">
      <c r="A921" s="528" t="s">
        <v>4490</v>
      </c>
      <c r="B921" s="531" t="s">
        <v>6561</v>
      </c>
      <c r="C921" s="531" t="s">
        <v>5682</v>
      </c>
      <c r="D921" s="531" t="s">
        <v>5658</v>
      </c>
      <c r="E921" s="531" t="s">
        <v>6795</v>
      </c>
      <c r="F921" s="497" t="s">
        <v>7141</v>
      </c>
      <c r="G921" s="498">
        <v>2.0</v>
      </c>
      <c r="H921" s="497" t="s">
        <v>6647</v>
      </c>
      <c r="I921" s="497" t="s">
        <v>2724</v>
      </c>
      <c r="J921" s="497" t="s">
        <v>6051</v>
      </c>
      <c r="K921" s="497" t="s">
        <v>5721</v>
      </c>
      <c r="L921" s="498">
        <v>1.0</v>
      </c>
      <c r="M921" s="497" t="s">
        <v>5828</v>
      </c>
      <c r="N921" s="497" t="s">
        <v>7142</v>
      </c>
      <c r="O921" s="498">
        <v>407.0</v>
      </c>
      <c r="P921" s="497" t="s">
        <v>7143</v>
      </c>
      <c r="Q921" s="499"/>
      <c r="R921" s="500"/>
      <c r="S921" s="500"/>
      <c r="T921" s="500"/>
      <c r="U921" s="500"/>
      <c r="V921" s="500"/>
      <c r="W921" s="500"/>
      <c r="X921" s="500"/>
      <c r="Y921" s="500"/>
      <c r="Z921" s="500"/>
      <c r="AA921" s="500"/>
      <c r="AB921" s="500"/>
      <c r="AC921" s="500"/>
      <c r="AD921" s="500"/>
      <c r="AE921" s="497"/>
    </row>
    <row r="922">
      <c r="A922" s="528" t="s">
        <v>3554</v>
      </c>
      <c r="B922" s="531" t="s">
        <v>6096</v>
      </c>
      <c r="C922" s="531" t="s">
        <v>5682</v>
      </c>
      <c r="D922" s="531" t="s">
        <v>5658</v>
      </c>
      <c r="E922" s="531" t="s">
        <v>6795</v>
      </c>
      <c r="F922" s="497" t="s">
        <v>7144</v>
      </c>
      <c r="G922" s="498">
        <v>2.0</v>
      </c>
      <c r="H922" s="497" t="s">
        <v>6647</v>
      </c>
      <c r="I922" s="497" t="s">
        <v>2709</v>
      </c>
      <c r="J922" s="497" t="s">
        <v>6051</v>
      </c>
      <c r="K922" s="497" t="s">
        <v>5721</v>
      </c>
      <c r="L922" s="498">
        <v>1.0</v>
      </c>
      <c r="M922" s="497" t="s">
        <v>5722</v>
      </c>
      <c r="N922" s="497" t="s">
        <v>7145</v>
      </c>
      <c r="O922" s="498">
        <v>957.0</v>
      </c>
      <c r="P922" s="497" t="s">
        <v>7146</v>
      </c>
      <c r="Q922" s="499"/>
      <c r="R922" s="500"/>
      <c r="S922" s="500"/>
      <c r="T922" s="500"/>
      <c r="U922" s="500"/>
      <c r="V922" s="500"/>
      <c r="W922" s="500"/>
      <c r="X922" s="500"/>
      <c r="Y922" s="500"/>
      <c r="Z922" s="500"/>
      <c r="AA922" s="500"/>
      <c r="AB922" s="500"/>
      <c r="AC922" s="500"/>
      <c r="AD922" s="500"/>
      <c r="AE922" s="497"/>
    </row>
    <row r="923">
      <c r="A923" s="528" t="s">
        <v>7147</v>
      </c>
      <c r="B923" s="531" t="s">
        <v>6532</v>
      </c>
      <c r="C923" s="531" t="s">
        <v>5681</v>
      </c>
      <c r="D923" s="531" t="s">
        <v>5658</v>
      </c>
      <c r="E923" s="531" t="s">
        <v>6795</v>
      </c>
      <c r="F923" s="497" t="s">
        <v>4491</v>
      </c>
      <c r="G923" s="498">
        <v>2.0</v>
      </c>
      <c r="H923" s="497" t="s">
        <v>6647</v>
      </c>
      <c r="I923" s="497" t="s">
        <v>2740</v>
      </c>
      <c r="J923" s="497" t="s">
        <v>6056</v>
      </c>
      <c r="K923" s="497" t="s">
        <v>5750</v>
      </c>
      <c r="L923" s="498">
        <v>1.0</v>
      </c>
      <c r="M923" s="497" t="s">
        <v>7148</v>
      </c>
      <c r="N923" s="497" t="s">
        <v>7149</v>
      </c>
      <c r="O923" s="498">
        <v>312.0</v>
      </c>
      <c r="P923" s="497" t="s">
        <v>7150</v>
      </c>
      <c r="Q923" s="500"/>
      <c r="R923" s="500"/>
      <c r="S923" s="500"/>
      <c r="T923" s="500"/>
      <c r="U923" s="500"/>
      <c r="V923" s="500"/>
      <c r="W923" s="500"/>
      <c r="X923" s="500"/>
      <c r="Y923" s="500"/>
      <c r="Z923" s="500"/>
      <c r="AA923" s="500"/>
      <c r="AB923" s="500"/>
      <c r="AC923" s="500"/>
      <c r="AD923" s="500"/>
      <c r="AE923" s="497"/>
    </row>
    <row r="924">
      <c r="A924" s="528" t="s">
        <v>7151</v>
      </c>
      <c r="B924" s="531" t="s">
        <v>6116</v>
      </c>
      <c r="C924" s="531" t="s">
        <v>5657</v>
      </c>
      <c r="D924" s="531" t="s">
        <v>5658</v>
      </c>
      <c r="E924" s="531" t="s">
        <v>6795</v>
      </c>
      <c r="F924" s="497" t="s">
        <v>4493</v>
      </c>
      <c r="G924" s="498">
        <v>2.0</v>
      </c>
      <c r="H924" s="497" t="s">
        <v>6647</v>
      </c>
      <c r="I924" s="497" t="s">
        <v>2692</v>
      </c>
      <c r="J924" s="497" t="s">
        <v>7152</v>
      </c>
      <c r="K924" s="497" t="s">
        <v>5711</v>
      </c>
      <c r="L924" s="498">
        <v>1.0</v>
      </c>
      <c r="M924" s="497" t="s">
        <v>5763</v>
      </c>
      <c r="N924" s="497" t="s">
        <v>7153</v>
      </c>
      <c r="O924" s="498">
        <v>341.0</v>
      </c>
      <c r="P924" s="497" t="s">
        <v>7154</v>
      </c>
      <c r="Q924" s="499"/>
      <c r="R924" s="500"/>
      <c r="S924" s="500"/>
      <c r="T924" s="500"/>
      <c r="U924" s="500"/>
      <c r="V924" s="500"/>
      <c r="W924" s="500"/>
      <c r="X924" s="500"/>
      <c r="Y924" s="500"/>
      <c r="Z924" s="500"/>
      <c r="AA924" s="500"/>
      <c r="AB924" s="500"/>
      <c r="AC924" s="500"/>
      <c r="AD924" s="500"/>
      <c r="AE924" s="497"/>
    </row>
    <row r="925">
      <c r="A925" s="528" t="s">
        <v>4495</v>
      </c>
      <c r="B925" s="531" t="s">
        <v>6116</v>
      </c>
      <c r="C925" s="531" t="s">
        <v>5664</v>
      </c>
      <c r="D925" s="531" t="s">
        <v>5658</v>
      </c>
      <c r="E925" s="531" t="s">
        <v>6795</v>
      </c>
      <c r="F925" s="228" t="s">
        <v>7155</v>
      </c>
    </row>
    <row r="926">
      <c r="A926" s="511" t="s">
        <v>5379</v>
      </c>
      <c r="B926" s="531" t="s">
        <v>6116</v>
      </c>
      <c r="C926" s="531" t="s">
        <v>7133</v>
      </c>
      <c r="D926" s="531" t="s">
        <v>5705</v>
      </c>
      <c r="E926" s="531" t="s">
        <v>6795</v>
      </c>
      <c r="F926" s="497" t="s">
        <v>7156</v>
      </c>
      <c r="G926" s="498">
        <v>2.0</v>
      </c>
      <c r="H926" s="497" t="s">
        <v>6647</v>
      </c>
      <c r="I926" s="497" t="s">
        <v>2692</v>
      </c>
      <c r="J926" s="497" t="s">
        <v>6304</v>
      </c>
      <c r="K926" s="497" t="s">
        <v>5711</v>
      </c>
      <c r="L926" s="498">
        <v>6.0</v>
      </c>
      <c r="M926" s="497" t="s">
        <v>7157</v>
      </c>
      <c r="N926" s="497" t="s">
        <v>7158</v>
      </c>
      <c r="O926" s="498">
        <v>223.0</v>
      </c>
      <c r="P926" s="497" t="s">
        <v>7159</v>
      </c>
      <c r="Q926" s="499"/>
      <c r="R926" s="500"/>
      <c r="S926" s="500"/>
      <c r="T926" s="500"/>
      <c r="U926" s="500"/>
      <c r="V926" s="500"/>
      <c r="W926" s="500"/>
      <c r="X926" s="500"/>
      <c r="Y926" s="500"/>
      <c r="Z926" s="500"/>
      <c r="AA926" s="500"/>
      <c r="AB926" s="500"/>
      <c r="AC926" s="500"/>
      <c r="AD926" s="500"/>
      <c r="AE926" s="497"/>
    </row>
    <row r="927">
      <c r="A927" s="527" t="s">
        <v>5380</v>
      </c>
      <c r="B927" s="534" t="s">
        <v>5699</v>
      </c>
      <c r="C927" s="531" t="s">
        <v>7133</v>
      </c>
      <c r="D927" s="531" t="s">
        <v>5705</v>
      </c>
      <c r="E927" s="531" t="s">
        <v>6795</v>
      </c>
      <c r="F927" s="228" t="s">
        <v>7155</v>
      </c>
    </row>
    <row r="928">
      <c r="A928" s="527" t="s">
        <v>5381</v>
      </c>
      <c r="B928" s="531" t="s">
        <v>6110</v>
      </c>
      <c r="C928" s="531" t="s">
        <v>5664</v>
      </c>
      <c r="D928" s="531" t="s">
        <v>5705</v>
      </c>
      <c r="E928" s="531" t="s">
        <v>6795</v>
      </c>
      <c r="F928" s="228" t="s">
        <v>7155</v>
      </c>
    </row>
    <row r="929">
      <c r="A929" s="527" t="s">
        <v>5382</v>
      </c>
      <c r="B929" s="531" t="s">
        <v>6109</v>
      </c>
      <c r="C929" s="531" t="s">
        <v>6794</v>
      </c>
      <c r="D929" s="531" t="s">
        <v>5705</v>
      </c>
      <c r="E929" s="531" t="s">
        <v>6795</v>
      </c>
      <c r="F929" s="228" t="s">
        <v>5951</v>
      </c>
    </row>
    <row r="930">
      <c r="A930" s="527" t="s">
        <v>1707</v>
      </c>
      <c r="B930" s="531" t="s">
        <v>6532</v>
      </c>
      <c r="C930" s="531" t="s">
        <v>6794</v>
      </c>
      <c r="D930" s="531" t="s">
        <v>5705</v>
      </c>
      <c r="E930" s="531" t="s">
        <v>6795</v>
      </c>
      <c r="F930" s="516" t="s">
        <v>7160</v>
      </c>
      <c r="G930" s="498">
        <v>2.0</v>
      </c>
      <c r="H930" s="497" t="s">
        <v>6647</v>
      </c>
      <c r="I930" s="497" t="s">
        <v>2740</v>
      </c>
      <c r="J930" s="497" t="s">
        <v>1348</v>
      </c>
      <c r="K930" s="497" t="s">
        <v>5721</v>
      </c>
      <c r="L930" s="498">
        <v>6.0</v>
      </c>
      <c r="M930" s="497" t="s">
        <v>5712</v>
      </c>
      <c r="N930" s="497" t="s">
        <v>7161</v>
      </c>
      <c r="O930" s="498">
        <v>206.0</v>
      </c>
      <c r="P930" s="497" t="s">
        <v>7162</v>
      </c>
      <c r="Q930" s="500"/>
      <c r="R930" s="500"/>
      <c r="S930" s="500"/>
      <c r="T930" s="500"/>
      <c r="U930" s="500"/>
      <c r="V930" s="500"/>
      <c r="W930" s="500"/>
      <c r="X930" s="500"/>
      <c r="Y930" s="500"/>
      <c r="Z930" s="500"/>
      <c r="AA930" s="500"/>
      <c r="AB930" s="500"/>
      <c r="AC930" s="500"/>
      <c r="AD930" s="500"/>
      <c r="AE930" s="497"/>
    </row>
    <row r="931">
      <c r="A931" s="527" t="s">
        <v>1709</v>
      </c>
      <c r="B931" s="534" t="s">
        <v>5699</v>
      </c>
      <c r="C931" s="531" t="s">
        <v>6794</v>
      </c>
      <c r="D931" s="531" t="s">
        <v>5705</v>
      </c>
      <c r="E931" s="531" t="s">
        <v>6795</v>
      </c>
      <c r="F931" s="228" t="s">
        <v>5951</v>
      </c>
    </row>
    <row r="932">
      <c r="A932" s="527" t="s">
        <v>5387</v>
      </c>
      <c r="B932" s="531" t="s">
        <v>6561</v>
      </c>
      <c r="C932" s="531" t="s">
        <v>5671</v>
      </c>
      <c r="D932" s="531" t="s">
        <v>5705</v>
      </c>
      <c r="E932" s="531" t="s">
        <v>6795</v>
      </c>
      <c r="F932" s="497" t="s">
        <v>7163</v>
      </c>
      <c r="G932" s="498">
        <v>2.0</v>
      </c>
      <c r="H932" s="497" t="s">
        <v>6647</v>
      </c>
      <c r="I932" s="497" t="s">
        <v>2724</v>
      </c>
      <c r="J932" s="497" t="s">
        <v>7164</v>
      </c>
      <c r="K932" s="497" t="s">
        <v>5729</v>
      </c>
      <c r="L932" s="498">
        <v>6.0</v>
      </c>
      <c r="M932" s="497" t="s">
        <v>7165</v>
      </c>
      <c r="N932" s="497" t="s">
        <v>7166</v>
      </c>
      <c r="O932" s="498">
        <v>406.0</v>
      </c>
      <c r="P932" s="497" t="s">
        <v>7167</v>
      </c>
      <c r="Q932" s="499"/>
      <c r="R932" s="500"/>
      <c r="S932" s="500"/>
      <c r="T932" s="500"/>
      <c r="U932" s="500"/>
      <c r="V932" s="500"/>
      <c r="W932" s="500"/>
      <c r="X932" s="500"/>
      <c r="Y932" s="500"/>
      <c r="Z932" s="500"/>
      <c r="AA932" s="500"/>
      <c r="AB932" s="500"/>
      <c r="AC932" s="500"/>
      <c r="AD932" s="500"/>
      <c r="AE932" s="497"/>
    </row>
    <row r="933">
      <c r="A933" s="527" t="s">
        <v>5388</v>
      </c>
      <c r="B933" s="531" t="s">
        <v>6482</v>
      </c>
      <c r="C933" s="531" t="s">
        <v>6794</v>
      </c>
      <c r="D933" s="531" t="s">
        <v>5705</v>
      </c>
      <c r="E933" s="531" t="s">
        <v>6795</v>
      </c>
      <c r="F933" s="497" t="s">
        <v>7168</v>
      </c>
      <c r="G933" s="498">
        <v>2.0</v>
      </c>
      <c r="H933" s="497" t="s">
        <v>6647</v>
      </c>
      <c r="I933" s="497" t="s">
        <v>2715</v>
      </c>
      <c r="J933" s="497" t="s">
        <v>1335</v>
      </c>
      <c r="K933" s="497" t="s">
        <v>5721</v>
      </c>
      <c r="L933" s="498">
        <v>6.0</v>
      </c>
      <c r="M933" s="497" t="s">
        <v>7169</v>
      </c>
      <c r="N933" s="497" t="s">
        <v>7170</v>
      </c>
      <c r="O933" s="498">
        <v>200.0</v>
      </c>
      <c r="P933" s="497" t="s">
        <v>7171</v>
      </c>
      <c r="Q933" s="499"/>
      <c r="R933" s="500"/>
      <c r="S933" s="500"/>
      <c r="T933" s="500"/>
      <c r="U933" s="500"/>
      <c r="V933" s="500"/>
      <c r="W933" s="500"/>
      <c r="X933" s="500"/>
      <c r="Y933" s="500"/>
      <c r="Z933" s="500"/>
      <c r="AA933" s="500"/>
      <c r="AB933" s="500"/>
      <c r="AC933" s="500"/>
      <c r="AD933" s="500"/>
      <c r="AE933" s="497"/>
    </row>
    <row r="934">
      <c r="A934" s="527" t="s">
        <v>5393</v>
      </c>
      <c r="B934" s="531" t="s">
        <v>6096</v>
      </c>
      <c r="C934" s="531" t="s">
        <v>7007</v>
      </c>
      <c r="D934" s="531" t="s">
        <v>5705</v>
      </c>
      <c r="E934" s="531" t="s">
        <v>6795</v>
      </c>
      <c r="F934" s="497" t="s">
        <v>7172</v>
      </c>
      <c r="G934" s="498">
        <v>2.0</v>
      </c>
      <c r="H934" s="497" t="s">
        <v>6647</v>
      </c>
      <c r="I934" s="497" t="s">
        <v>2709</v>
      </c>
      <c r="J934" s="497" t="s">
        <v>6876</v>
      </c>
      <c r="K934" s="497" t="s">
        <v>5750</v>
      </c>
      <c r="L934" s="498">
        <v>6.0</v>
      </c>
      <c r="M934" s="497" t="s">
        <v>6401</v>
      </c>
      <c r="N934" s="497" t="s">
        <v>7173</v>
      </c>
      <c r="O934" s="498">
        <v>382.0</v>
      </c>
      <c r="P934" s="497" t="s">
        <v>7174</v>
      </c>
      <c r="Q934" s="499"/>
      <c r="R934" s="500"/>
      <c r="S934" s="500"/>
      <c r="T934" s="500"/>
      <c r="U934" s="500"/>
      <c r="V934" s="500"/>
      <c r="W934" s="500"/>
      <c r="X934" s="500"/>
      <c r="Y934" s="500"/>
      <c r="Z934" s="500"/>
      <c r="AA934" s="500"/>
      <c r="AB934" s="500"/>
      <c r="AC934" s="500"/>
      <c r="AD934" s="500"/>
      <c r="AE934" s="497"/>
    </row>
    <row r="935">
      <c r="A935" s="527" t="s">
        <v>5394</v>
      </c>
      <c r="B935" s="531" t="s">
        <v>6532</v>
      </c>
      <c r="C935" s="531" t="s">
        <v>7133</v>
      </c>
      <c r="D935" s="531" t="s">
        <v>5705</v>
      </c>
      <c r="E935" s="531" t="s">
        <v>6795</v>
      </c>
      <c r="F935" s="497" t="s">
        <v>7175</v>
      </c>
      <c r="G935" s="498">
        <v>2.0</v>
      </c>
      <c r="H935" s="497" t="s">
        <v>6647</v>
      </c>
      <c r="I935" s="497" t="s">
        <v>2740</v>
      </c>
      <c r="J935" s="497" t="s">
        <v>6781</v>
      </c>
      <c r="K935" s="497" t="s">
        <v>5711</v>
      </c>
      <c r="L935" s="498">
        <v>6.0</v>
      </c>
      <c r="M935" s="497" t="s">
        <v>5846</v>
      </c>
      <c r="N935" s="497" t="s">
        <v>7176</v>
      </c>
      <c r="O935" s="498">
        <v>300.0</v>
      </c>
      <c r="P935" s="497" t="s">
        <v>7177</v>
      </c>
      <c r="Q935" s="500"/>
      <c r="R935" s="500"/>
      <c r="S935" s="500"/>
      <c r="T935" s="500"/>
      <c r="U935" s="500"/>
      <c r="V935" s="500"/>
      <c r="W935" s="500"/>
      <c r="X935" s="500"/>
      <c r="Y935" s="500"/>
      <c r="Z935" s="500"/>
      <c r="AA935" s="500"/>
      <c r="AB935" s="500"/>
      <c r="AC935" s="500"/>
      <c r="AD935" s="500"/>
      <c r="AE935" s="497"/>
    </row>
    <row r="936">
      <c r="A936" s="527" t="s">
        <v>5398</v>
      </c>
      <c r="B936" s="531" t="s">
        <v>6532</v>
      </c>
      <c r="C936" s="531" t="s">
        <v>5670</v>
      </c>
      <c r="D936" s="531" t="s">
        <v>5705</v>
      </c>
      <c r="E936" s="531" t="s">
        <v>6795</v>
      </c>
      <c r="F936" s="228" t="s">
        <v>5951</v>
      </c>
    </row>
    <row r="937">
      <c r="A937" s="527" t="s">
        <v>5400</v>
      </c>
      <c r="B937" s="531" t="s">
        <v>6110</v>
      </c>
      <c r="C937" s="531" t="s">
        <v>5671</v>
      </c>
      <c r="D937" s="531" t="s">
        <v>5705</v>
      </c>
      <c r="E937" s="531" t="s">
        <v>6795</v>
      </c>
      <c r="F937" s="497" t="s">
        <v>7178</v>
      </c>
      <c r="G937" s="498">
        <v>2.0</v>
      </c>
      <c r="H937" s="497" t="s">
        <v>6647</v>
      </c>
      <c r="I937" s="497" t="s">
        <v>2698</v>
      </c>
      <c r="J937" s="497" t="s">
        <v>7179</v>
      </c>
      <c r="K937" s="497" t="s">
        <v>5729</v>
      </c>
      <c r="L937" s="498">
        <v>6.0</v>
      </c>
      <c r="M937" s="497" t="s">
        <v>5763</v>
      </c>
      <c r="N937" s="497" t="s">
        <v>7180</v>
      </c>
      <c r="O937" s="498">
        <v>338.0</v>
      </c>
      <c r="P937" s="497" t="s">
        <v>7181</v>
      </c>
      <c r="Q937" s="499"/>
      <c r="R937" s="500"/>
      <c r="S937" s="500"/>
      <c r="T937" s="500"/>
      <c r="U937" s="500"/>
      <c r="V937" s="500"/>
      <c r="W937" s="500"/>
      <c r="X937" s="500"/>
      <c r="Y937" s="500"/>
      <c r="Z937" s="500"/>
      <c r="AA937" s="500"/>
      <c r="AB937" s="500"/>
      <c r="AC937" s="500"/>
      <c r="AD937" s="500"/>
      <c r="AE937" s="497"/>
    </row>
    <row r="938">
      <c r="A938" s="527" t="s">
        <v>5423</v>
      </c>
      <c r="B938" s="531" t="s">
        <v>6112</v>
      </c>
      <c r="C938" s="531" t="s">
        <v>5657</v>
      </c>
      <c r="D938" s="531" t="s">
        <v>5719</v>
      </c>
      <c r="E938" s="531" t="s">
        <v>6795</v>
      </c>
      <c r="F938" s="228" t="s">
        <v>5951</v>
      </c>
    </row>
    <row r="939">
      <c r="A939" s="527" t="s">
        <v>5430</v>
      </c>
      <c r="B939" s="531" t="s">
        <v>6532</v>
      </c>
      <c r="C939" s="531" t="s">
        <v>7040</v>
      </c>
      <c r="D939" s="531" t="s">
        <v>5719</v>
      </c>
      <c r="E939" s="531" t="s">
        <v>6795</v>
      </c>
      <c r="F939" s="497" t="s">
        <v>7182</v>
      </c>
      <c r="G939" s="498">
        <v>2.0</v>
      </c>
      <c r="H939" s="497" t="s">
        <v>6647</v>
      </c>
      <c r="I939" s="497" t="s">
        <v>2740</v>
      </c>
      <c r="J939" s="497" t="s">
        <v>6910</v>
      </c>
      <c r="K939" s="497" t="s">
        <v>5734</v>
      </c>
      <c r="L939" s="498">
        <v>8.0</v>
      </c>
      <c r="M939" s="497" t="s">
        <v>6106</v>
      </c>
      <c r="N939" s="497" t="s">
        <v>7183</v>
      </c>
      <c r="O939" s="498">
        <v>333.0</v>
      </c>
      <c r="P939" s="497" t="s">
        <v>7184</v>
      </c>
      <c r="Q939" s="500"/>
      <c r="R939" s="500"/>
      <c r="S939" s="500"/>
      <c r="T939" s="500"/>
      <c r="U939" s="500"/>
      <c r="V939" s="500"/>
      <c r="W939" s="500"/>
      <c r="X939" s="500"/>
      <c r="Y939" s="500"/>
      <c r="Z939" s="500"/>
      <c r="AA939" s="500"/>
      <c r="AB939" s="500"/>
      <c r="AC939" s="500"/>
      <c r="AD939" s="500"/>
      <c r="AE939" s="497"/>
    </row>
    <row r="940">
      <c r="A940" s="527" t="s">
        <v>3829</v>
      </c>
      <c r="B940" s="531" t="s">
        <v>6096</v>
      </c>
      <c r="C940" s="531" t="s">
        <v>7007</v>
      </c>
      <c r="D940" s="531" t="s">
        <v>7031</v>
      </c>
      <c r="E940" s="531" t="s">
        <v>6795</v>
      </c>
      <c r="F940" s="497" t="s">
        <v>7185</v>
      </c>
      <c r="G940" s="498">
        <v>2.0</v>
      </c>
      <c r="H940" s="497" t="s">
        <v>6647</v>
      </c>
      <c r="I940" s="497" t="s">
        <v>2709</v>
      </c>
      <c r="J940" s="497" t="s">
        <v>6679</v>
      </c>
      <c r="K940" s="497" t="s">
        <v>5750</v>
      </c>
      <c r="L940" s="498">
        <v>9.0</v>
      </c>
      <c r="M940" s="497" t="s">
        <v>5722</v>
      </c>
      <c r="N940" s="497" t="s">
        <v>7186</v>
      </c>
      <c r="O940" s="498">
        <v>305.0</v>
      </c>
      <c r="P940" s="497" t="s">
        <v>7187</v>
      </c>
      <c r="Q940" s="499"/>
      <c r="R940" s="500"/>
      <c r="S940" s="500"/>
      <c r="T940" s="500"/>
      <c r="U940" s="500"/>
      <c r="V940" s="500"/>
      <c r="W940" s="500"/>
      <c r="X940" s="500"/>
      <c r="Y940" s="500"/>
      <c r="Z940" s="500"/>
      <c r="AA940" s="500"/>
      <c r="AB940" s="500"/>
      <c r="AC940" s="500"/>
      <c r="AD940" s="500"/>
      <c r="AE940" s="497"/>
    </row>
    <row r="941">
      <c r="A941" s="527" t="s">
        <v>5452</v>
      </c>
      <c r="B941" s="531" t="s">
        <v>6488</v>
      </c>
      <c r="C941" s="531" t="s">
        <v>6489</v>
      </c>
      <c r="D941" s="531" t="s">
        <v>7031</v>
      </c>
      <c r="E941" s="531" t="s">
        <v>6795</v>
      </c>
      <c r="F941" s="228" t="s">
        <v>5951</v>
      </c>
    </row>
    <row r="942">
      <c r="A942" s="527" t="s">
        <v>5453</v>
      </c>
      <c r="B942" s="531" t="s">
        <v>6110</v>
      </c>
      <c r="C942" s="531" t="s">
        <v>7040</v>
      </c>
      <c r="D942" s="531" t="s">
        <v>7031</v>
      </c>
      <c r="E942" s="531" t="s">
        <v>6795</v>
      </c>
      <c r="F942" s="228" t="s">
        <v>5951</v>
      </c>
    </row>
    <row r="943">
      <c r="A943" s="527" t="s">
        <v>5454</v>
      </c>
      <c r="B943" s="531" t="s">
        <v>6116</v>
      </c>
      <c r="C943" s="531" t="s">
        <v>5670</v>
      </c>
      <c r="D943" s="531" t="s">
        <v>7031</v>
      </c>
      <c r="E943" s="531" t="s">
        <v>6795</v>
      </c>
      <c r="F943" s="497" t="s">
        <v>7188</v>
      </c>
      <c r="G943" s="498">
        <v>2.0</v>
      </c>
      <c r="H943" s="497" t="s">
        <v>6647</v>
      </c>
      <c r="I943" s="497" t="s">
        <v>2692</v>
      </c>
      <c r="J943" s="497" t="s">
        <v>6155</v>
      </c>
      <c r="K943" s="497" t="s">
        <v>5786</v>
      </c>
      <c r="L943" s="498">
        <v>9.0</v>
      </c>
      <c r="M943" s="497" t="s">
        <v>5790</v>
      </c>
      <c r="N943" s="497" t="s">
        <v>7189</v>
      </c>
      <c r="O943" s="498">
        <v>357.0</v>
      </c>
      <c r="P943" s="497" t="s">
        <v>7190</v>
      </c>
      <c r="Q943" s="499"/>
      <c r="R943" s="500"/>
      <c r="S943" s="500"/>
      <c r="T943" s="500"/>
      <c r="U943" s="500"/>
      <c r="V943" s="500"/>
      <c r="W943" s="500"/>
      <c r="X943" s="500"/>
      <c r="Y943" s="500"/>
      <c r="Z943" s="500"/>
      <c r="AA943" s="500"/>
      <c r="AB943" s="500"/>
      <c r="AC943" s="500"/>
      <c r="AD943" s="500"/>
      <c r="AE943" s="497"/>
    </row>
    <row r="944">
      <c r="A944" s="527" t="s">
        <v>5455</v>
      </c>
      <c r="B944" s="531" t="s">
        <v>6096</v>
      </c>
      <c r="C944" s="531" t="s">
        <v>5670</v>
      </c>
      <c r="D944" s="531" t="s">
        <v>7031</v>
      </c>
      <c r="E944" s="531" t="s">
        <v>6795</v>
      </c>
      <c r="F944" s="497" t="s">
        <v>7191</v>
      </c>
      <c r="G944" s="498">
        <v>2.0</v>
      </c>
      <c r="H944" s="497" t="s">
        <v>6647</v>
      </c>
      <c r="I944" s="497" t="s">
        <v>2709</v>
      </c>
      <c r="J944" s="497" t="s">
        <v>6155</v>
      </c>
      <c r="K944" s="497" t="s">
        <v>5786</v>
      </c>
      <c r="L944" s="498">
        <v>9.0</v>
      </c>
      <c r="M944" s="497" t="s">
        <v>6401</v>
      </c>
      <c r="N944" s="497" t="s">
        <v>7192</v>
      </c>
      <c r="O944" s="498">
        <v>456.0</v>
      </c>
      <c r="P944" s="497" t="s">
        <v>7193</v>
      </c>
      <c r="Q944" s="499"/>
      <c r="R944" s="500"/>
      <c r="S944" s="500"/>
      <c r="T944" s="500"/>
      <c r="U944" s="500"/>
      <c r="V944" s="500"/>
      <c r="W944" s="500"/>
      <c r="X944" s="500"/>
      <c r="Y944" s="500"/>
      <c r="Z944" s="500"/>
      <c r="AA944" s="500"/>
      <c r="AB944" s="500"/>
      <c r="AC944" s="500"/>
      <c r="AD944" s="500"/>
      <c r="AE944" s="497"/>
    </row>
    <row r="945">
      <c r="A945" s="527" t="s">
        <v>5456</v>
      </c>
      <c r="B945" s="531" t="s">
        <v>6112</v>
      </c>
      <c r="C945" s="531" t="s">
        <v>5670</v>
      </c>
      <c r="D945" s="531" t="s">
        <v>7031</v>
      </c>
      <c r="E945" s="531" t="s">
        <v>6795</v>
      </c>
      <c r="F945" s="228" t="s">
        <v>5951</v>
      </c>
    </row>
    <row r="946">
      <c r="A946" s="527" t="s">
        <v>5461</v>
      </c>
      <c r="B946" s="531" t="s">
        <v>6116</v>
      </c>
      <c r="C946" s="531" t="s">
        <v>5671</v>
      </c>
      <c r="D946" s="531" t="s">
        <v>7031</v>
      </c>
      <c r="E946" s="531" t="s">
        <v>6795</v>
      </c>
      <c r="F946" s="228" t="s">
        <v>5951</v>
      </c>
    </row>
    <row r="947">
      <c r="A947" s="461" t="s">
        <v>2559</v>
      </c>
      <c r="B947" s="531" t="s">
        <v>6116</v>
      </c>
      <c r="C947" s="531" t="s">
        <v>7040</v>
      </c>
      <c r="D947" s="531" t="s">
        <v>7088</v>
      </c>
      <c r="E947" s="531" t="s">
        <v>6795</v>
      </c>
      <c r="F947" s="228" t="s">
        <v>5951</v>
      </c>
    </row>
    <row r="948">
      <c r="A948" s="461" t="s">
        <v>2572</v>
      </c>
      <c r="B948" s="531" t="s">
        <v>6116</v>
      </c>
      <c r="C948" s="531" t="s">
        <v>7007</v>
      </c>
      <c r="D948" s="531" t="s">
        <v>7088</v>
      </c>
      <c r="E948" s="531" t="s">
        <v>6795</v>
      </c>
      <c r="F948" s="228" t="s">
        <v>5951</v>
      </c>
    </row>
    <row r="949">
      <c r="A949" s="461" t="s">
        <v>2588</v>
      </c>
      <c r="B949" s="531" t="s">
        <v>6096</v>
      </c>
      <c r="C949" s="531" t="s">
        <v>5671</v>
      </c>
      <c r="D949" s="531" t="s">
        <v>6493</v>
      </c>
      <c r="E949" s="531" t="s">
        <v>6795</v>
      </c>
      <c r="F949" s="228" t="s">
        <v>5951</v>
      </c>
    </row>
    <row r="950">
      <c r="A950" s="461" t="s">
        <v>2600</v>
      </c>
      <c r="B950" s="531" t="s">
        <v>6110</v>
      </c>
      <c r="C950" s="531" t="s">
        <v>7007</v>
      </c>
      <c r="D950" s="531" t="s">
        <v>6493</v>
      </c>
      <c r="E950" s="531" t="s">
        <v>6795</v>
      </c>
      <c r="F950" s="228" t="s">
        <v>5951</v>
      </c>
    </row>
    <row r="951">
      <c r="A951" s="461" t="s">
        <v>7194</v>
      </c>
      <c r="B951" s="531" t="s">
        <v>6112</v>
      </c>
      <c r="C951" s="531" t="s">
        <v>7040</v>
      </c>
      <c r="D951" s="531" t="s">
        <v>6493</v>
      </c>
      <c r="E951" s="531" t="s">
        <v>6795</v>
      </c>
      <c r="F951" s="497" t="s">
        <v>2601</v>
      </c>
      <c r="G951" s="498">
        <v>2.0</v>
      </c>
      <c r="H951" s="497" t="s">
        <v>6647</v>
      </c>
      <c r="I951" s="497" t="s">
        <v>2707</v>
      </c>
      <c r="J951" s="497" t="s">
        <v>7195</v>
      </c>
      <c r="K951" s="497" t="s">
        <v>5734</v>
      </c>
      <c r="L951" s="498">
        <v>5.0</v>
      </c>
      <c r="M951" s="497" t="s">
        <v>6939</v>
      </c>
      <c r="N951" s="497" t="s">
        <v>7196</v>
      </c>
      <c r="O951" s="498">
        <v>432.0</v>
      </c>
      <c r="P951" s="497" t="s">
        <v>7197</v>
      </c>
      <c r="Q951" s="499"/>
      <c r="R951" s="500"/>
      <c r="S951" s="500"/>
      <c r="T951" s="500"/>
      <c r="U951" s="500"/>
      <c r="V951" s="500"/>
      <c r="W951" s="500"/>
      <c r="X951" s="500"/>
      <c r="Y951" s="500"/>
      <c r="Z951" s="500"/>
      <c r="AA951" s="500"/>
      <c r="AB951" s="500"/>
      <c r="AC951" s="500"/>
      <c r="AD951" s="500"/>
      <c r="AE951" s="497"/>
    </row>
    <row r="952">
      <c r="A952" s="461" t="s">
        <v>2616</v>
      </c>
      <c r="B952" s="531" t="s">
        <v>6488</v>
      </c>
      <c r="C952" s="531" t="s">
        <v>7007</v>
      </c>
      <c r="D952" s="531" t="s">
        <v>5705</v>
      </c>
      <c r="E952" s="531" t="s">
        <v>6795</v>
      </c>
      <c r="F952" s="228" t="s">
        <v>5951</v>
      </c>
    </row>
    <row r="953">
      <c r="A953" s="461" t="s">
        <v>2620</v>
      </c>
      <c r="B953" s="531" t="s">
        <v>6532</v>
      </c>
      <c r="C953" s="531" t="s">
        <v>5670</v>
      </c>
      <c r="D953" s="531" t="s">
        <v>5718</v>
      </c>
      <c r="E953" s="531" t="s">
        <v>6795</v>
      </c>
      <c r="F953" s="228" t="s">
        <v>5951</v>
      </c>
    </row>
    <row r="954">
      <c r="A954" s="461" t="s">
        <v>7198</v>
      </c>
      <c r="B954" s="531" t="s">
        <v>6532</v>
      </c>
      <c r="C954" s="531" t="s">
        <v>5657</v>
      </c>
      <c r="D954" s="531" t="s">
        <v>5718</v>
      </c>
      <c r="E954" s="531" t="s">
        <v>6795</v>
      </c>
      <c r="F954" s="497" t="s">
        <v>2635</v>
      </c>
      <c r="G954" s="498">
        <v>2.0</v>
      </c>
      <c r="H954" s="497" t="s">
        <v>6647</v>
      </c>
      <c r="I954" s="497" t="s">
        <v>2740</v>
      </c>
      <c r="J954" s="497" t="s">
        <v>6448</v>
      </c>
      <c r="K954" s="497" t="s">
        <v>5711</v>
      </c>
      <c r="L954" s="498">
        <v>7.0</v>
      </c>
      <c r="M954" s="497" t="s">
        <v>5712</v>
      </c>
      <c r="N954" s="497" t="s">
        <v>7199</v>
      </c>
      <c r="O954" s="498">
        <v>354.0</v>
      </c>
      <c r="P954" s="497" t="s">
        <v>7200</v>
      </c>
      <c r="Q954" s="500"/>
      <c r="R954" s="500"/>
      <c r="S954" s="500"/>
      <c r="T954" s="500"/>
      <c r="U954" s="500"/>
      <c r="V954" s="500"/>
      <c r="W954" s="500"/>
      <c r="X954" s="500"/>
      <c r="Y954" s="500"/>
      <c r="Z954" s="500"/>
      <c r="AA954" s="500"/>
      <c r="AB954" s="500"/>
      <c r="AC954" s="500"/>
      <c r="AD954" s="500"/>
      <c r="AE954" s="497"/>
    </row>
    <row r="955">
      <c r="A955" s="461" t="s">
        <v>2674</v>
      </c>
      <c r="B955" s="531" t="s">
        <v>6110</v>
      </c>
      <c r="C955" s="531" t="s">
        <v>7007</v>
      </c>
      <c r="D955" s="531" t="s">
        <v>7031</v>
      </c>
      <c r="E955" s="531" t="s">
        <v>6795</v>
      </c>
      <c r="F955" s="228" t="s">
        <v>5951</v>
      </c>
    </row>
    <row r="956">
      <c r="A956" s="461" t="s">
        <v>7201</v>
      </c>
      <c r="B956" s="534" t="s">
        <v>5699</v>
      </c>
      <c r="C956" s="531" t="s">
        <v>5657</v>
      </c>
      <c r="D956" s="531" t="s">
        <v>7031</v>
      </c>
      <c r="E956" s="531" t="s">
        <v>6795</v>
      </c>
      <c r="F956" s="516" t="s">
        <v>2677</v>
      </c>
      <c r="G956" s="498">
        <v>2.0</v>
      </c>
      <c r="H956" s="497" t="s">
        <v>6647</v>
      </c>
      <c r="I956" s="497" t="s">
        <v>2702</v>
      </c>
      <c r="J956" s="497" t="s">
        <v>6238</v>
      </c>
      <c r="K956" s="497" t="s">
        <v>5711</v>
      </c>
      <c r="L956" s="498">
        <v>9.0</v>
      </c>
      <c r="M956" s="497" t="s">
        <v>5798</v>
      </c>
      <c r="N956" s="497" t="s">
        <v>7202</v>
      </c>
      <c r="O956" s="498">
        <v>271.0</v>
      </c>
      <c r="P956" s="497" t="s">
        <v>7203</v>
      </c>
      <c r="Q956" s="499"/>
      <c r="R956" s="500"/>
      <c r="S956" s="500"/>
      <c r="T956" s="500"/>
      <c r="U956" s="500"/>
      <c r="V956" s="500"/>
      <c r="W956" s="500"/>
      <c r="X956" s="500"/>
      <c r="Y956" s="500"/>
      <c r="Z956" s="500"/>
      <c r="AA956" s="500"/>
      <c r="AB956" s="500"/>
      <c r="AC956" s="500"/>
      <c r="AD956" s="500"/>
      <c r="AE956" s="497"/>
    </row>
    <row r="957">
      <c r="A957" s="537" t="s">
        <v>7204</v>
      </c>
      <c r="B957" s="534" t="s">
        <v>5701</v>
      </c>
      <c r="C957" s="531" t="s">
        <v>7007</v>
      </c>
      <c r="D957" s="531" t="s">
        <v>7031</v>
      </c>
      <c r="E957" s="531" t="s">
        <v>6795</v>
      </c>
      <c r="F957" s="497" t="s">
        <v>329</v>
      </c>
      <c r="G957" s="498">
        <v>2.0</v>
      </c>
      <c r="H957" s="497" t="s">
        <v>6647</v>
      </c>
      <c r="I957" s="497" t="s">
        <v>2740</v>
      </c>
      <c r="J957" s="497" t="s">
        <v>6679</v>
      </c>
      <c r="K957" s="497" t="s">
        <v>5750</v>
      </c>
      <c r="L957" s="498">
        <v>9.0</v>
      </c>
      <c r="M957" s="497" t="s">
        <v>5712</v>
      </c>
      <c r="N957" s="497" t="s">
        <v>7205</v>
      </c>
      <c r="O957" s="498">
        <v>297.0</v>
      </c>
      <c r="P957" s="497" t="s">
        <v>7206</v>
      </c>
      <c r="Q957" s="500"/>
      <c r="R957" s="500"/>
      <c r="S957" s="500"/>
      <c r="T957" s="500"/>
      <c r="U957" s="500"/>
      <c r="V957" s="500"/>
      <c r="W957" s="500"/>
      <c r="X957" s="500"/>
      <c r="Y957" s="500"/>
      <c r="Z957" s="500"/>
      <c r="AA957" s="500"/>
      <c r="AB957" s="500"/>
      <c r="AC957" s="500"/>
      <c r="AD957" s="500"/>
      <c r="AE957" s="497"/>
    </row>
    <row r="958">
      <c r="A958" s="526" t="s">
        <v>5141</v>
      </c>
      <c r="B958" s="531" t="s">
        <v>6488</v>
      </c>
      <c r="C958" s="531" t="s">
        <v>7032</v>
      </c>
      <c r="D958" s="531" t="s">
        <v>6717</v>
      </c>
      <c r="E958" s="531" t="s">
        <v>6241</v>
      </c>
      <c r="F958" s="228" t="s">
        <v>5951</v>
      </c>
    </row>
    <row r="959">
      <c r="A959" s="527" t="s">
        <v>5279</v>
      </c>
      <c r="B959" s="531" t="s">
        <v>2704</v>
      </c>
      <c r="C959" s="531" t="s">
        <v>6794</v>
      </c>
      <c r="D959" s="531" t="s">
        <v>5719</v>
      </c>
      <c r="E959" s="531" t="s">
        <v>6241</v>
      </c>
      <c r="F959" s="228" t="s">
        <v>5951</v>
      </c>
    </row>
    <row r="960">
      <c r="A960" s="461" t="s">
        <v>7207</v>
      </c>
      <c r="B960" s="531" t="s">
        <v>6561</v>
      </c>
      <c r="C960" s="531" t="s">
        <v>7032</v>
      </c>
      <c r="D960" s="531" t="s">
        <v>6687</v>
      </c>
      <c r="E960" s="531" t="s">
        <v>5727</v>
      </c>
      <c r="F960" s="497" t="s">
        <v>2129</v>
      </c>
      <c r="G960" s="498">
        <v>2.0</v>
      </c>
      <c r="H960" s="497" t="s">
        <v>5728</v>
      </c>
      <c r="I960" s="497" t="s">
        <v>2724</v>
      </c>
      <c r="J960" s="497" t="s">
        <v>6012</v>
      </c>
      <c r="K960" s="497" t="s">
        <v>5786</v>
      </c>
      <c r="L960" s="498">
        <v>2.0</v>
      </c>
      <c r="M960" s="497" t="s">
        <v>5893</v>
      </c>
      <c r="N960" s="497" t="s">
        <v>7208</v>
      </c>
      <c r="O960" s="498">
        <v>320.0</v>
      </c>
      <c r="P960" s="497" t="s">
        <v>7209</v>
      </c>
      <c r="Q960" s="499"/>
      <c r="R960" s="500"/>
      <c r="S960" s="500"/>
      <c r="T960" s="500"/>
      <c r="U960" s="500"/>
      <c r="V960" s="500"/>
      <c r="W960" s="500"/>
      <c r="X960" s="500"/>
      <c r="Y960" s="500"/>
      <c r="Z960" s="500"/>
      <c r="AA960" s="500"/>
      <c r="AB960" s="500"/>
      <c r="AC960" s="500"/>
      <c r="AD960" s="500"/>
      <c r="AE960" s="497"/>
    </row>
    <row r="961">
      <c r="A961" s="461" t="s">
        <v>7210</v>
      </c>
      <c r="B961" s="531" t="s">
        <v>6488</v>
      </c>
      <c r="C961" s="531" t="s">
        <v>5657</v>
      </c>
      <c r="D961" s="531" t="s">
        <v>5692</v>
      </c>
      <c r="E961" s="531" t="s">
        <v>5727</v>
      </c>
      <c r="F961" s="497" t="s">
        <v>2215</v>
      </c>
      <c r="G961" s="498">
        <v>2.0</v>
      </c>
      <c r="H961" s="497" t="s">
        <v>5728</v>
      </c>
      <c r="I961" s="497" t="s">
        <v>2704</v>
      </c>
      <c r="J961" s="497" t="s">
        <v>7211</v>
      </c>
      <c r="K961" s="497" t="s">
        <v>5711</v>
      </c>
      <c r="L961" s="498">
        <v>5.0</v>
      </c>
      <c r="M961" s="497" t="s">
        <v>6322</v>
      </c>
      <c r="N961" s="497" t="s">
        <v>7212</v>
      </c>
      <c r="O961" s="498">
        <v>269.0</v>
      </c>
      <c r="P961" s="497" t="s">
        <v>7213</v>
      </c>
      <c r="Q961" s="499"/>
      <c r="R961" s="500"/>
      <c r="S961" s="500"/>
      <c r="T961" s="500"/>
      <c r="U961" s="500"/>
      <c r="V961" s="500"/>
      <c r="W961" s="500"/>
      <c r="X961" s="500"/>
      <c r="Y961" s="500"/>
      <c r="Z961" s="500"/>
      <c r="AA961" s="500"/>
      <c r="AB961" s="500"/>
      <c r="AC961" s="500"/>
      <c r="AD961" s="500"/>
      <c r="AE961" s="497"/>
    </row>
    <row r="962">
      <c r="A962" s="461" t="s">
        <v>7214</v>
      </c>
      <c r="B962" s="531" t="s">
        <v>6112</v>
      </c>
      <c r="C962" s="531" t="s">
        <v>6489</v>
      </c>
      <c r="D962" s="531" t="s">
        <v>5718</v>
      </c>
      <c r="E962" s="531" t="s">
        <v>5727</v>
      </c>
      <c r="F962" s="538" t="s">
        <v>7215</v>
      </c>
      <c r="G962" s="539">
        <v>2.0</v>
      </c>
      <c r="H962" s="538" t="s">
        <v>5728</v>
      </c>
      <c r="I962" s="538" t="s">
        <v>2707</v>
      </c>
      <c r="J962" s="540">
        <v>43657.0</v>
      </c>
      <c r="K962" s="538" t="s">
        <v>5754</v>
      </c>
      <c r="L962" s="539">
        <v>7.0</v>
      </c>
      <c r="M962" s="538" t="s">
        <v>7216</v>
      </c>
      <c r="N962" s="538" t="s">
        <v>7217</v>
      </c>
      <c r="O962" s="539">
        <v>49.0</v>
      </c>
      <c r="P962" s="541" t="s">
        <v>7218</v>
      </c>
      <c r="Q962" s="542"/>
      <c r="R962" s="500"/>
      <c r="S962" s="500"/>
      <c r="T962" s="500"/>
      <c r="U962" s="500"/>
      <c r="V962" s="500"/>
      <c r="W962" s="500"/>
      <c r="X962" s="500"/>
      <c r="Y962" s="500"/>
      <c r="Z962" s="500"/>
      <c r="AA962" s="500"/>
      <c r="AB962" s="500"/>
      <c r="AC962" s="500"/>
      <c r="AD962" s="500"/>
      <c r="AE962" s="497"/>
    </row>
    <row r="963">
      <c r="A963" s="461" t="s">
        <v>7219</v>
      </c>
      <c r="B963" s="534" t="s">
        <v>5699</v>
      </c>
      <c r="C963" s="531" t="s">
        <v>5657</v>
      </c>
      <c r="D963" s="531" t="s">
        <v>5716</v>
      </c>
      <c r="E963" s="531" t="s">
        <v>5727</v>
      </c>
      <c r="F963" s="497" t="s">
        <v>2265</v>
      </c>
      <c r="G963" s="498">
        <v>2.0</v>
      </c>
      <c r="H963" s="497" t="s">
        <v>5728</v>
      </c>
      <c r="I963" s="497" t="s">
        <v>2702</v>
      </c>
      <c r="J963" s="497" t="s">
        <v>7220</v>
      </c>
      <c r="K963" s="497" t="s">
        <v>5711</v>
      </c>
      <c r="L963" s="498">
        <v>6.0</v>
      </c>
      <c r="M963" s="497" t="s">
        <v>6057</v>
      </c>
      <c r="N963" s="497" t="s">
        <v>7221</v>
      </c>
      <c r="O963" s="498">
        <v>615.0</v>
      </c>
      <c r="P963" s="497" t="s">
        <v>7222</v>
      </c>
      <c r="Q963" s="499"/>
      <c r="R963" s="500"/>
      <c r="S963" s="500"/>
      <c r="T963" s="500"/>
      <c r="U963" s="500"/>
      <c r="V963" s="500"/>
      <c r="W963" s="500"/>
      <c r="X963" s="500"/>
      <c r="Y963" s="500"/>
      <c r="Z963" s="500"/>
      <c r="AA963" s="500"/>
      <c r="AB963" s="500"/>
      <c r="AC963" s="500"/>
      <c r="AD963" s="500"/>
      <c r="AE963" s="497"/>
    </row>
    <row r="964">
      <c r="A964" s="461" t="s">
        <v>7223</v>
      </c>
      <c r="B964" s="531" t="s">
        <v>6116</v>
      </c>
      <c r="C964" s="531" t="s">
        <v>5664</v>
      </c>
      <c r="D964" s="531" t="s">
        <v>5719</v>
      </c>
      <c r="E964" s="531" t="s">
        <v>5727</v>
      </c>
      <c r="F964" s="497" t="s">
        <v>2271</v>
      </c>
      <c r="G964" s="498">
        <v>2.0</v>
      </c>
      <c r="H964" s="497" t="s">
        <v>5728</v>
      </c>
      <c r="I964" s="497" t="s">
        <v>2692</v>
      </c>
      <c r="J964" s="497" t="s">
        <v>7224</v>
      </c>
      <c r="K964" s="497" t="s">
        <v>5754</v>
      </c>
      <c r="L964" s="498">
        <v>8.0</v>
      </c>
      <c r="M964" s="497" t="s">
        <v>5763</v>
      </c>
      <c r="N964" s="497" t="s">
        <v>7225</v>
      </c>
      <c r="O964" s="498">
        <v>195.0</v>
      </c>
      <c r="P964" s="497" t="s">
        <v>7226</v>
      </c>
      <c r="Q964" s="499"/>
      <c r="R964" s="500"/>
      <c r="S964" s="500"/>
      <c r="T964" s="500"/>
      <c r="U964" s="500"/>
      <c r="V964" s="500"/>
      <c r="W964" s="500"/>
      <c r="X964" s="500"/>
      <c r="Y964" s="500"/>
      <c r="Z964" s="500"/>
      <c r="AA964" s="500"/>
      <c r="AB964" s="500"/>
      <c r="AC964" s="500"/>
      <c r="AD964" s="500"/>
      <c r="AE964" s="497"/>
    </row>
    <row r="965">
      <c r="A965" s="461" t="s">
        <v>2296</v>
      </c>
      <c r="B965" s="531" t="s">
        <v>6532</v>
      </c>
      <c r="C965" s="531" t="s">
        <v>5664</v>
      </c>
      <c r="D965" s="531" t="s">
        <v>7031</v>
      </c>
      <c r="E965" s="531" t="s">
        <v>5727</v>
      </c>
      <c r="F965" s="228" t="s">
        <v>5951</v>
      </c>
    </row>
    <row r="966">
      <c r="A966" s="461" t="s">
        <v>7227</v>
      </c>
      <c r="B966" s="531" t="s">
        <v>6101</v>
      </c>
      <c r="C966" s="531" t="s">
        <v>7007</v>
      </c>
      <c r="D966" s="531" t="s">
        <v>6717</v>
      </c>
      <c r="E966" s="531" t="s">
        <v>6241</v>
      </c>
      <c r="F966" s="497" t="s">
        <v>2310</v>
      </c>
      <c r="G966" s="498">
        <v>2.0</v>
      </c>
      <c r="H966" s="497" t="s">
        <v>6243</v>
      </c>
      <c r="I966" s="497" t="s">
        <v>2715</v>
      </c>
      <c r="J966" s="497" t="s">
        <v>6724</v>
      </c>
      <c r="K966" s="497" t="s">
        <v>5750</v>
      </c>
      <c r="L966" s="498">
        <v>1.0</v>
      </c>
      <c r="M966" s="497" t="s">
        <v>6720</v>
      </c>
      <c r="N966" s="497" t="s">
        <v>7228</v>
      </c>
      <c r="O966" s="498">
        <v>165.0</v>
      </c>
      <c r="P966" s="497" t="s">
        <v>7229</v>
      </c>
      <c r="Q966" s="499"/>
      <c r="R966" s="500"/>
      <c r="S966" s="500"/>
      <c r="T966" s="500"/>
      <c r="U966" s="500"/>
      <c r="V966" s="500"/>
      <c r="W966" s="500"/>
      <c r="X966" s="500"/>
      <c r="Y966" s="500"/>
      <c r="Z966" s="500"/>
      <c r="AA966" s="500"/>
      <c r="AB966" s="500"/>
      <c r="AC966" s="500"/>
      <c r="AD966" s="500"/>
      <c r="AE966" s="497"/>
    </row>
    <row r="967">
      <c r="A967" s="461" t="s">
        <v>2314</v>
      </c>
      <c r="B967" s="531" t="s">
        <v>6116</v>
      </c>
      <c r="C967" s="531" t="s">
        <v>7032</v>
      </c>
      <c r="D967" s="531" t="s">
        <v>6717</v>
      </c>
      <c r="E967" s="531" t="s">
        <v>6241</v>
      </c>
      <c r="F967" s="228" t="s">
        <v>5951</v>
      </c>
    </row>
    <row r="968">
      <c r="A968" s="461" t="s">
        <v>7230</v>
      </c>
      <c r="B968" s="531" t="s">
        <v>2724</v>
      </c>
      <c r="C968" s="531" t="s">
        <v>6489</v>
      </c>
      <c r="D968" s="531" t="s">
        <v>5716</v>
      </c>
      <c r="E968" s="531" t="s">
        <v>6241</v>
      </c>
      <c r="F968" s="497" t="s">
        <v>2438</v>
      </c>
      <c r="G968" s="498">
        <v>2.0</v>
      </c>
      <c r="H968" s="497" t="s">
        <v>6243</v>
      </c>
      <c r="I968" s="497" t="s">
        <v>2724</v>
      </c>
      <c r="J968" s="497" t="s">
        <v>6997</v>
      </c>
      <c r="K968" s="497" t="s">
        <v>5754</v>
      </c>
      <c r="L968" s="498">
        <v>7.0</v>
      </c>
      <c r="M968" s="497" t="s">
        <v>6317</v>
      </c>
      <c r="N968" s="497" t="s">
        <v>7231</v>
      </c>
      <c r="O968" s="498">
        <v>265.0</v>
      </c>
      <c r="P968" s="497" t="s">
        <v>7232</v>
      </c>
      <c r="Q968" s="499"/>
      <c r="R968" s="500"/>
      <c r="S968" s="500"/>
      <c r="T968" s="500"/>
      <c r="U968" s="500"/>
      <c r="V968" s="500"/>
      <c r="W968" s="500"/>
      <c r="X968" s="500"/>
      <c r="Y968" s="500"/>
      <c r="Z968" s="500"/>
      <c r="AA968" s="500"/>
      <c r="AB968" s="500"/>
      <c r="AC968" s="500"/>
      <c r="AD968" s="500"/>
      <c r="AE968" s="497"/>
    </row>
    <row r="969">
      <c r="A969" s="543" t="s">
        <v>2169</v>
      </c>
      <c r="B969" s="531" t="s">
        <v>6112</v>
      </c>
      <c r="C969" s="531" t="s">
        <v>7007</v>
      </c>
      <c r="D969" s="531" t="s">
        <v>6044</v>
      </c>
      <c r="E969" s="531" t="s">
        <v>5727</v>
      </c>
      <c r="F969" s="228" t="s">
        <v>5951</v>
      </c>
    </row>
    <row r="970">
      <c r="A970" s="528" t="s">
        <v>4502</v>
      </c>
      <c r="B970" s="531" t="s">
        <v>6101</v>
      </c>
      <c r="C970" s="531" t="s">
        <v>7032</v>
      </c>
      <c r="D970" s="531" t="s">
        <v>6717</v>
      </c>
      <c r="E970" s="531" t="s">
        <v>6795</v>
      </c>
      <c r="F970" s="228" t="s">
        <v>5951</v>
      </c>
      <c r="G970" s="506"/>
      <c r="H970" s="507"/>
      <c r="I970" s="507"/>
      <c r="J970" s="507"/>
      <c r="K970" s="507"/>
      <c r="L970" s="506"/>
      <c r="M970" s="507"/>
      <c r="N970" s="507"/>
      <c r="O970" s="506"/>
      <c r="P970" s="507"/>
      <c r="Q970" s="508"/>
      <c r="R970" s="509"/>
      <c r="S970" s="509"/>
      <c r="T970" s="509"/>
      <c r="U970" s="509"/>
      <c r="V970" s="509"/>
      <c r="W970" s="509"/>
      <c r="X970" s="509"/>
      <c r="Y970" s="509"/>
      <c r="Z970" s="509"/>
      <c r="AA970" s="509"/>
      <c r="AB970" s="509"/>
      <c r="AC970" s="509"/>
      <c r="AD970" s="509"/>
      <c r="AE970" s="507"/>
    </row>
    <row r="971">
      <c r="A971" s="528" t="s">
        <v>4504</v>
      </c>
      <c r="B971" s="531" t="s">
        <v>6109</v>
      </c>
      <c r="C971" s="531" t="s">
        <v>5664</v>
      </c>
      <c r="D971" s="531" t="s">
        <v>5658</v>
      </c>
      <c r="E971" s="531" t="s">
        <v>6795</v>
      </c>
      <c r="F971" s="228" t="s">
        <v>5951</v>
      </c>
      <c r="G971" s="506"/>
      <c r="H971" s="507"/>
      <c r="I971" s="507"/>
      <c r="J971" s="507"/>
      <c r="K971" s="507"/>
      <c r="L971" s="506"/>
      <c r="M971" s="507"/>
      <c r="N971" s="507"/>
      <c r="O971" s="506"/>
      <c r="P971" s="507"/>
      <c r="Q971" s="509"/>
      <c r="R971" s="509"/>
      <c r="S971" s="509"/>
      <c r="T971" s="509"/>
      <c r="U971" s="509"/>
      <c r="V971" s="509"/>
      <c r="W971" s="509"/>
      <c r="X971" s="509"/>
      <c r="Y971" s="509"/>
      <c r="Z971" s="509"/>
      <c r="AA971" s="509"/>
      <c r="AB971" s="509"/>
      <c r="AC971" s="509"/>
      <c r="AD971" s="509"/>
      <c r="AE971" s="507"/>
    </row>
    <row r="972">
      <c r="A972" s="528" t="s">
        <v>7233</v>
      </c>
      <c r="B972" s="531" t="s">
        <v>2709</v>
      </c>
      <c r="C972" s="531" t="s">
        <v>5664</v>
      </c>
      <c r="D972" s="531" t="s">
        <v>5658</v>
      </c>
      <c r="E972" s="531" t="s">
        <v>6795</v>
      </c>
      <c r="F972" s="516" t="s">
        <v>4505</v>
      </c>
      <c r="G972" s="498">
        <v>2.0</v>
      </c>
      <c r="H972" s="497" t="s">
        <v>6647</v>
      </c>
      <c r="I972" s="497" t="s">
        <v>2709</v>
      </c>
      <c r="J972" s="497" t="s">
        <v>6373</v>
      </c>
      <c r="K972" s="497" t="s">
        <v>5754</v>
      </c>
      <c r="L972" s="498">
        <v>1.0</v>
      </c>
      <c r="M972" s="497" t="s">
        <v>6401</v>
      </c>
      <c r="N972" s="497" t="s">
        <v>7234</v>
      </c>
      <c r="O972" s="498">
        <v>293.0</v>
      </c>
      <c r="P972" s="497" t="s">
        <v>7235</v>
      </c>
      <c r="Q972" s="499"/>
      <c r="R972" s="500"/>
      <c r="S972" s="500"/>
      <c r="T972" s="500"/>
      <c r="U972" s="500"/>
      <c r="V972" s="500"/>
      <c r="W972" s="500"/>
      <c r="X972" s="500"/>
      <c r="Y972" s="500"/>
      <c r="Z972" s="500"/>
      <c r="AA972" s="500"/>
      <c r="AB972" s="500"/>
      <c r="AC972" s="500"/>
      <c r="AD972" s="500"/>
      <c r="AE972" s="497"/>
    </row>
    <row r="973">
      <c r="A973" s="528" t="s">
        <v>7236</v>
      </c>
      <c r="B973" s="531" t="s">
        <v>6116</v>
      </c>
      <c r="C973" s="531" t="s">
        <v>7040</v>
      </c>
      <c r="D973" s="531" t="s">
        <v>5658</v>
      </c>
      <c r="E973" s="531" t="s">
        <v>6795</v>
      </c>
      <c r="F973" s="497" t="s">
        <v>4507</v>
      </c>
      <c r="G973" s="498">
        <v>2.0</v>
      </c>
      <c r="H973" s="497" t="s">
        <v>6647</v>
      </c>
      <c r="I973" s="497" t="s">
        <v>2692</v>
      </c>
      <c r="J973" s="497" t="s">
        <v>5928</v>
      </c>
      <c r="K973" s="497" t="s">
        <v>5734</v>
      </c>
      <c r="L973" s="498">
        <v>1.0</v>
      </c>
      <c r="M973" s="497" t="s">
        <v>5828</v>
      </c>
      <c r="N973" s="497" t="s">
        <v>7237</v>
      </c>
      <c r="O973" s="498">
        <v>237.0</v>
      </c>
      <c r="P973" s="497" t="s">
        <v>7238</v>
      </c>
      <c r="Q973" s="499"/>
      <c r="R973" s="500"/>
      <c r="S973" s="500"/>
      <c r="T973" s="500"/>
      <c r="U973" s="500"/>
      <c r="V973" s="500"/>
      <c r="W973" s="500"/>
      <c r="X973" s="500"/>
      <c r="Y973" s="500"/>
      <c r="Z973" s="500"/>
      <c r="AA973" s="500"/>
      <c r="AB973" s="500"/>
      <c r="AC973" s="500"/>
      <c r="AD973" s="500"/>
      <c r="AE973" s="497"/>
    </row>
    <row r="974">
      <c r="A974" s="528" t="s">
        <v>7239</v>
      </c>
      <c r="B974" s="531" t="s">
        <v>6110</v>
      </c>
      <c r="C974" s="531" t="s">
        <v>7007</v>
      </c>
      <c r="D974" s="531" t="s">
        <v>5658</v>
      </c>
      <c r="E974" s="531" t="s">
        <v>6795</v>
      </c>
      <c r="F974" s="497" t="s">
        <v>4512</v>
      </c>
      <c r="G974" s="498">
        <v>2.0</v>
      </c>
      <c r="H974" s="497" t="s">
        <v>6647</v>
      </c>
      <c r="I974" s="497" t="s">
        <v>2698</v>
      </c>
      <c r="J974" s="497" t="s">
        <v>6056</v>
      </c>
      <c r="K974" s="497" t="s">
        <v>5750</v>
      </c>
      <c r="L974" s="498">
        <v>1.0</v>
      </c>
      <c r="M974" s="497" t="s">
        <v>5763</v>
      </c>
      <c r="N974" s="497" t="s">
        <v>7240</v>
      </c>
      <c r="O974" s="498">
        <v>312.0</v>
      </c>
      <c r="P974" s="497" t="s">
        <v>7241</v>
      </c>
      <c r="Q974" s="499"/>
      <c r="R974" s="500"/>
      <c r="S974" s="500"/>
      <c r="T974" s="500"/>
      <c r="U974" s="500"/>
      <c r="V974" s="500"/>
      <c r="W974" s="500"/>
      <c r="X974" s="500"/>
      <c r="Y974" s="500"/>
      <c r="Z974" s="500"/>
      <c r="AA974" s="500"/>
      <c r="AB974" s="500"/>
      <c r="AC974" s="500"/>
      <c r="AD974" s="500"/>
      <c r="AE974" s="497"/>
    </row>
    <row r="975">
      <c r="A975" s="528" t="s">
        <v>4514</v>
      </c>
      <c r="B975" s="531" t="s">
        <v>2724</v>
      </c>
      <c r="C975" s="531" t="s">
        <v>5671</v>
      </c>
      <c r="D975" s="531" t="s">
        <v>6687</v>
      </c>
      <c r="E975" s="531" t="s">
        <v>6795</v>
      </c>
      <c r="F975" s="228" t="s">
        <v>5951</v>
      </c>
    </row>
    <row r="976">
      <c r="A976" s="528" t="s">
        <v>7242</v>
      </c>
      <c r="B976" s="534" t="s">
        <v>5699</v>
      </c>
      <c r="C976" s="531" t="s">
        <v>6794</v>
      </c>
      <c r="D976" s="531" t="s">
        <v>5668</v>
      </c>
      <c r="E976" s="531" t="s">
        <v>6795</v>
      </c>
      <c r="F976" s="497" t="s">
        <v>4517</v>
      </c>
      <c r="G976" s="498">
        <v>2.0</v>
      </c>
      <c r="H976" s="497" t="s">
        <v>6647</v>
      </c>
      <c r="I976" s="497" t="s">
        <v>2702</v>
      </c>
      <c r="J976" s="497" t="s">
        <v>6381</v>
      </c>
      <c r="K976" s="497" t="s">
        <v>5721</v>
      </c>
      <c r="L976" s="498">
        <v>2.0</v>
      </c>
      <c r="M976" s="497" t="s">
        <v>5839</v>
      </c>
      <c r="N976" s="497" t="s">
        <v>7243</v>
      </c>
      <c r="O976" s="498">
        <v>394.0</v>
      </c>
      <c r="P976" s="497" t="s">
        <v>7244</v>
      </c>
      <c r="Q976" s="499"/>
      <c r="R976" s="500"/>
      <c r="S976" s="500"/>
      <c r="T976" s="500"/>
      <c r="U976" s="500"/>
      <c r="V976" s="500"/>
      <c r="W976" s="500"/>
      <c r="X976" s="500"/>
      <c r="Y976" s="500"/>
      <c r="Z976" s="500"/>
      <c r="AA976" s="500"/>
      <c r="AB976" s="500"/>
      <c r="AC976" s="500"/>
      <c r="AD976" s="500"/>
      <c r="AE976" s="497"/>
    </row>
    <row r="977">
      <c r="A977" s="495" t="s">
        <v>7245</v>
      </c>
      <c r="B977" s="531" t="s">
        <v>2724</v>
      </c>
      <c r="C977" s="531" t="s">
        <v>7040</v>
      </c>
      <c r="D977" s="531" t="s">
        <v>5705</v>
      </c>
      <c r="E977" s="531" t="s">
        <v>6795</v>
      </c>
      <c r="F977" s="497" t="s">
        <v>1722</v>
      </c>
      <c r="G977" s="498">
        <v>2.0</v>
      </c>
      <c r="H977" s="497" t="s">
        <v>6647</v>
      </c>
      <c r="I977" s="497" t="s">
        <v>2724</v>
      </c>
      <c r="J977" s="497" t="s">
        <v>7246</v>
      </c>
      <c r="K977" s="497" t="s">
        <v>5734</v>
      </c>
      <c r="L977" s="498">
        <v>6.0</v>
      </c>
      <c r="M977" s="497" t="s">
        <v>5828</v>
      </c>
      <c r="N977" s="497" t="s">
        <v>7247</v>
      </c>
      <c r="O977" s="498">
        <v>226.0</v>
      </c>
      <c r="P977" s="497" t="s">
        <v>7248</v>
      </c>
      <c r="Q977" s="499"/>
      <c r="R977" s="500"/>
      <c r="S977" s="500"/>
      <c r="T977" s="500"/>
      <c r="U977" s="500"/>
      <c r="V977" s="500"/>
      <c r="W977" s="500"/>
      <c r="X977" s="500"/>
      <c r="Y977" s="500"/>
      <c r="Z977" s="500"/>
      <c r="AA977" s="500"/>
      <c r="AB977" s="500"/>
      <c r="AC977" s="500"/>
      <c r="AD977" s="500"/>
      <c r="AE977" s="497"/>
    </row>
    <row r="978">
      <c r="A978" s="495" t="s">
        <v>1786</v>
      </c>
      <c r="B978" s="531" t="s">
        <v>6532</v>
      </c>
      <c r="C978" s="531" t="s">
        <v>6794</v>
      </c>
      <c r="D978" s="531" t="s">
        <v>7031</v>
      </c>
      <c r="E978" s="531" t="s">
        <v>6795</v>
      </c>
      <c r="F978" s="228" t="s">
        <v>5951</v>
      </c>
    </row>
    <row r="979">
      <c r="A979" s="537" t="s">
        <v>7249</v>
      </c>
      <c r="B979" s="531" t="s">
        <v>6109</v>
      </c>
      <c r="C979" s="531" t="s">
        <v>5670</v>
      </c>
      <c r="D979" s="531" t="s">
        <v>5705</v>
      </c>
      <c r="E979" s="531" t="s">
        <v>6795</v>
      </c>
      <c r="F979" s="497" t="s">
        <v>264</v>
      </c>
      <c r="G979" s="498">
        <v>2.0</v>
      </c>
      <c r="H979" s="497" t="s">
        <v>6647</v>
      </c>
      <c r="I979" s="497" t="s">
        <v>2695</v>
      </c>
      <c r="J979" s="497" t="s">
        <v>5962</v>
      </c>
      <c r="K979" s="497" t="s">
        <v>5786</v>
      </c>
      <c r="L979" s="498">
        <v>6.0</v>
      </c>
      <c r="M979" s="497" t="s">
        <v>5879</v>
      </c>
      <c r="N979" s="497" t="s">
        <v>7250</v>
      </c>
      <c r="O979" s="498">
        <v>451.0</v>
      </c>
      <c r="P979" s="497" t="s">
        <v>7251</v>
      </c>
      <c r="Q979" s="500"/>
      <c r="R979" s="500"/>
      <c r="S979" s="500"/>
      <c r="T979" s="500"/>
      <c r="U979" s="500"/>
      <c r="V979" s="500"/>
      <c r="W979" s="500"/>
      <c r="X979" s="500"/>
      <c r="Y979" s="500"/>
      <c r="Z979" s="500"/>
      <c r="AA979" s="500"/>
      <c r="AB979" s="500"/>
      <c r="AC979" s="500"/>
      <c r="AD979" s="500"/>
      <c r="AE979" s="497"/>
    </row>
    <row r="980">
      <c r="A980" s="537" t="s">
        <v>7252</v>
      </c>
      <c r="B980" s="531" t="s">
        <v>6112</v>
      </c>
      <c r="C980" s="531" t="s">
        <v>5664</v>
      </c>
      <c r="D980" s="531" t="s">
        <v>7031</v>
      </c>
      <c r="E980" s="531" t="s">
        <v>6795</v>
      </c>
      <c r="F980" s="497" t="s">
        <v>339</v>
      </c>
      <c r="G980" s="498">
        <v>2.0</v>
      </c>
      <c r="H980" s="497" t="s">
        <v>6647</v>
      </c>
      <c r="I980" s="497" t="s">
        <v>2707</v>
      </c>
      <c r="J980" s="497" t="s">
        <v>6642</v>
      </c>
      <c r="K980" s="497" t="s">
        <v>5754</v>
      </c>
      <c r="L980" s="498">
        <v>9.0</v>
      </c>
      <c r="M980" s="497" t="s">
        <v>7253</v>
      </c>
      <c r="N980" s="497" t="s">
        <v>7254</v>
      </c>
      <c r="O980" s="498">
        <v>300.0</v>
      </c>
      <c r="P980" s="497" t="s">
        <v>7255</v>
      </c>
      <c r="Q980" s="499"/>
      <c r="R980" s="500"/>
      <c r="S980" s="500"/>
      <c r="T980" s="500"/>
      <c r="U980" s="500"/>
      <c r="V980" s="500"/>
      <c r="W980" s="500"/>
      <c r="X980" s="500"/>
      <c r="Y980" s="500"/>
      <c r="Z980" s="500"/>
      <c r="AA980" s="500"/>
      <c r="AB980" s="500"/>
      <c r="AC980" s="500"/>
      <c r="AD980" s="500"/>
      <c r="AE980" s="497"/>
    </row>
    <row r="981">
      <c r="A981" s="537" t="s">
        <v>876</v>
      </c>
      <c r="B981" s="534" t="s">
        <v>5699</v>
      </c>
      <c r="C981" s="531" t="s">
        <v>5670</v>
      </c>
      <c r="D981" s="531" t="s">
        <v>5725</v>
      </c>
      <c r="E981" s="531" t="s">
        <v>6795</v>
      </c>
      <c r="F981" s="228" t="s">
        <v>5951</v>
      </c>
    </row>
    <row r="982">
      <c r="A982" s="495" t="s">
        <v>1777</v>
      </c>
      <c r="B982" s="534" t="s">
        <v>5699</v>
      </c>
      <c r="C982" s="531" t="s">
        <v>7032</v>
      </c>
      <c r="D982" s="531" t="s">
        <v>7256</v>
      </c>
      <c r="E982" s="531" t="s">
        <v>6795</v>
      </c>
      <c r="F982" s="228" t="s">
        <v>7257</v>
      </c>
    </row>
    <row r="983">
      <c r="A983" s="495" t="s">
        <v>1526</v>
      </c>
      <c r="B983" s="534" t="s">
        <v>5699</v>
      </c>
      <c r="C983" s="531" t="s">
        <v>5671</v>
      </c>
      <c r="D983" s="531" t="s">
        <v>5692</v>
      </c>
      <c r="E983" s="531" t="s">
        <v>6241</v>
      </c>
      <c r="F983" s="228" t="s">
        <v>7257</v>
      </c>
    </row>
    <row r="984">
      <c r="A984" s="495" t="s">
        <v>1370</v>
      </c>
      <c r="B984" s="531" t="s">
        <v>6488</v>
      </c>
      <c r="C984" s="531" t="s">
        <v>5671</v>
      </c>
      <c r="D984" s="531" t="s">
        <v>5716</v>
      </c>
      <c r="E984" s="531" t="s">
        <v>5727</v>
      </c>
      <c r="F984" s="228" t="s">
        <v>5951</v>
      </c>
    </row>
    <row r="985" ht="17.25" customHeight="1">
      <c r="A985" s="528" t="s">
        <v>7258</v>
      </c>
      <c r="B985" s="531" t="s">
        <v>2709</v>
      </c>
      <c r="C985" s="531" t="s">
        <v>5682</v>
      </c>
      <c r="D985" s="531" t="s">
        <v>5668</v>
      </c>
      <c r="E985" s="531" t="s">
        <v>6795</v>
      </c>
      <c r="F985" s="497" t="s">
        <v>4527</v>
      </c>
      <c r="G985" s="498">
        <v>2.0</v>
      </c>
      <c r="H985" s="497" t="s">
        <v>6647</v>
      </c>
      <c r="I985" s="497" t="s">
        <v>2709</v>
      </c>
      <c r="J985" s="497" t="s">
        <v>7259</v>
      </c>
      <c r="K985" s="497" t="s">
        <v>5721</v>
      </c>
      <c r="L985" s="498">
        <v>2.0</v>
      </c>
      <c r="M985" s="497" t="s">
        <v>7260</v>
      </c>
      <c r="N985" s="497" t="s">
        <v>7261</v>
      </c>
      <c r="O985" s="498">
        <v>310.0</v>
      </c>
      <c r="P985" s="497" t="s">
        <v>7262</v>
      </c>
      <c r="Q985" s="499" t="s">
        <v>7263</v>
      </c>
      <c r="R985" s="500"/>
      <c r="S985" s="500"/>
      <c r="T985" s="500"/>
      <c r="U985" s="500"/>
      <c r="V985" s="500"/>
      <c r="W985" s="500"/>
      <c r="X985" s="500"/>
      <c r="Y985" s="500"/>
      <c r="Z985" s="500"/>
      <c r="AA985" s="500"/>
      <c r="AB985" s="500"/>
      <c r="AC985" s="500"/>
      <c r="AD985" s="500"/>
      <c r="AE985" s="497"/>
    </row>
    <row r="986">
      <c r="A986" s="528" t="s">
        <v>7264</v>
      </c>
      <c r="B986" s="531" t="s">
        <v>7265</v>
      </c>
      <c r="C986" s="531" t="s">
        <v>5682</v>
      </c>
      <c r="D986" s="531" t="s">
        <v>6044</v>
      </c>
      <c r="E986" s="531" t="s">
        <v>6795</v>
      </c>
      <c r="F986" s="497" t="s">
        <v>4534</v>
      </c>
      <c r="G986" s="498">
        <v>2.0</v>
      </c>
      <c r="H986" s="497" t="s">
        <v>6647</v>
      </c>
      <c r="I986" s="497" t="s">
        <v>2715</v>
      </c>
      <c r="J986" s="497" t="s">
        <v>7266</v>
      </c>
      <c r="K986" s="497" t="s">
        <v>5721</v>
      </c>
      <c r="L986" s="498">
        <v>3.0</v>
      </c>
      <c r="M986" s="497" t="s">
        <v>6837</v>
      </c>
      <c r="N986" s="497" t="s">
        <v>7267</v>
      </c>
      <c r="O986" s="498">
        <v>105.0</v>
      </c>
      <c r="P986" s="497" t="s">
        <v>7268</v>
      </c>
      <c r="Q986" s="499"/>
      <c r="R986" s="500"/>
      <c r="S986" s="500"/>
      <c r="T986" s="500"/>
      <c r="U986" s="500"/>
      <c r="V986" s="500"/>
      <c r="W986" s="500"/>
      <c r="X986" s="500"/>
      <c r="Y986" s="500"/>
      <c r="Z986" s="500"/>
      <c r="AA986" s="500"/>
      <c r="AB986" s="500"/>
      <c r="AC986" s="500"/>
      <c r="AD986" s="500"/>
      <c r="AE986" s="497"/>
    </row>
    <row r="987">
      <c r="A987" s="528" t="s">
        <v>7269</v>
      </c>
      <c r="B987" s="534" t="s">
        <v>5699</v>
      </c>
      <c r="C987" s="531" t="s">
        <v>5671</v>
      </c>
      <c r="D987" s="531" t="s">
        <v>6044</v>
      </c>
      <c r="E987" s="531" t="s">
        <v>6795</v>
      </c>
      <c r="F987" s="497" t="s">
        <v>4540</v>
      </c>
      <c r="G987" s="498">
        <v>2.0</v>
      </c>
      <c r="H987" s="497" t="s">
        <v>6647</v>
      </c>
      <c r="I987" s="497" t="s">
        <v>2702</v>
      </c>
      <c r="J987" s="497" t="s">
        <v>7270</v>
      </c>
      <c r="K987" s="497" t="s">
        <v>5729</v>
      </c>
      <c r="L987" s="498">
        <v>3.0</v>
      </c>
      <c r="M987" s="497" t="s">
        <v>6939</v>
      </c>
      <c r="N987" s="497" t="s">
        <v>7271</v>
      </c>
      <c r="O987" s="498">
        <v>389.0</v>
      </c>
      <c r="P987" s="497" t="s">
        <v>7272</v>
      </c>
      <c r="Q987" s="499"/>
      <c r="R987" s="500"/>
      <c r="S987" s="500"/>
      <c r="T987" s="500"/>
      <c r="U987" s="500"/>
      <c r="V987" s="500"/>
      <c r="W987" s="500"/>
      <c r="X987" s="500"/>
      <c r="Y987" s="500"/>
      <c r="Z987" s="500"/>
      <c r="AA987" s="500"/>
      <c r="AB987" s="500"/>
      <c r="AC987" s="500"/>
      <c r="AD987" s="500"/>
      <c r="AE987" s="497"/>
    </row>
    <row r="988">
      <c r="A988" s="528" t="s">
        <v>4547</v>
      </c>
      <c r="B988" s="531" t="s">
        <v>6109</v>
      </c>
      <c r="C988" s="531" t="s">
        <v>5670</v>
      </c>
      <c r="D988" s="531" t="s">
        <v>7088</v>
      </c>
      <c r="E988" s="531" t="s">
        <v>6795</v>
      </c>
      <c r="F988" s="228" t="s">
        <v>5951</v>
      </c>
    </row>
    <row r="989">
      <c r="A989" s="528" t="s">
        <v>7273</v>
      </c>
      <c r="B989" s="531" t="s">
        <v>6096</v>
      </c>
      <c r="C989" s="531" t="s">
        <v>5670</v>
      </c>
      <c r="D989" s="531" t="s">
        <v>7088</v>
      </c>
      <c r="E989" s="531" t="s">
        <v>6795</v>
      </c>
      <c r="F989" s="497" t="s">
        <v>4548</v>
      </c>
      <c r="G989" s="498">
        <v>2.0</v>
      </c>
      <c r="H989" s="497" t="s">
        <v>6647</v>
      </c>
      <c r="I989" s="497" t="s">
        <v>2709</v>
      </c>
      <c r="J989" s="497" t="s">
        <v>6474</v>
      </c>
      <c r="K989" s="497" t="s">
        <v>5786</v>
      </c>
      <c r="L989" s="498">
        <v>4.0</v>
      </c>
      <c r="M989" s="497" t="s">
        <v>5893</v>
      </c>
      <c r="N989" s="497" t="s">
        <v>7274</v>
      </c>
      <c r="O989" s="498">
        <v>276.0</v>
      </c>
      <c r="P989" s="497" t="s">
        <v>7275</v>
      </c>
      <c r="Q989" s="499"/>
      <c r="R989" s="500"/>
      <c r="S989" s="500"/>
      <c r="T989" s="500"/>
      <c r="U989" s="500"/>
      <c r="V989" s="500"/>
      <c r="W989" s="500"/>
      <c r="X989" s="500"/>
      <c r="Y989" s="500"/>
      <c r="Z989" s="500"/>
      <c r="AA989" s="500"/>
      <c r="AB989" s="500"/>
      <c r="AC989" s="500"/>
      <c r="AD989" s="500"/>
      <c r="AE989" s="497"/>
    </row>
    <row r="990">
      <c r="A990" s="528" t="s">
        <v>7276</v>
      </c>
      <c r="B990" s="534" t="s">
        <v>5699</v>
      </c>
      <c r="C990" s="531" t="s">
        <v>5670</v>
      </c>
      <c r="D990" s="531" t="s">
        <v>7088</v>
      </c>
      <c r="E990" s="531" t="s">
        <v>6795</v>
      </c>
      <c r="F990" s="497" t="s">
        <v>4552</v>
      </c>
      <c r="G990" s="498">
        <v>2.0</v>
      </c>
      <c r="H990" s="497" t="s">
        <v>6647</v>
      </c>
      <c r="I990" s="497" t="s">
        <v>2702</v>
      </c>
      <c r="J990" s="497" t="s">
        <v>7277</v>
      </c>
      <c r="K990" s="497" t="s">
        <v>5786</v>
      </c>
      <c r="L990" s="498">
        <v>4.0</v>
      </c>
      <c r="M990" s="497" t="s">
        <v>6023</v>
      </c>
      <c r="N990" s="497" t="s">
        <v>7278</v>
      </c>
      <c r="O990" s="498">
        <v>322.0</v>
      </c>
      <c r="P990" s="497" t="s">
        <v>7279</v>
      </c>
      <c r="Q990" s="499"/>
      <c r="R990" s="500"/>
      <c r="S990" s="500"/>
      <c r="T990" s="500"/>
      <c r="U990" s="500"/>
      <c r="V990" s="500"/>
      <c r="W990" s="500"/>
      <c r="X990" s="500"/>
      <c r="Y990" s="500"/>
      <c r="Z990" s="500"/>
      <c r="AA990" s="500"/>
      <c r="AB990" s="500"/>
      <c r="AC990" s="500"/>
      <c r="AD990" s="500"/>
      <c r="AE990" s="497"/>
    </row>
    <row r="991">
      <c r="A991" s="528" t="s">
        <v>4674</v>
      </c>
      <c r="B991" s="531" t="s">
        <v>6109</v>
      </c>
      <c r="C991" s="531" t="s">
        <v>7007</v>
      </c>
      <c r="D991" s="531" t="s">
        <v>5725</v>
      </c>
      <c r="E991" s="531" t="s">
        <v>6795</v>
      </c>
      <c r="F991" s="228" t="s">
        <v>5951</v>
      </c>
    </row>
    <row r="992">
      <c r="A992" s="528" t="s">
        <v>4677</v>
      </c>
      <c r="B992" s="531" t="s">
        <v>6096</v>
      </c>
      <c r="C992" s="531" t="s">
        <v>5657</v>
      </c>
      <c r="D992" s="531" t="s">
        <v>5725</v>
      </c>
      <c r="E992" s="531" t="s">
        <v>6795</v>
      </c>
      <c r="F992" s="228" t="s">
        <v>5951</v>
      </c>
    </row>
    <row r="993">
      <c r="A993" s="528" t="s">
        <v>7280</v>
      </c>
      <c r="B993" s="531" t="s">
        <v>6096</v>
      </c>
      <c r="C993" s="531" t="s">
        <v>5664</v>
      </c>
      <c r="D993" s="531" t="s">
        <v>5725</v>
      </c>
      <c r="E993" s="531" t="s">
        <v>6795</v>
      </c>
      <c r="F993" s="497" t="s">
        <v>4678</v>
      </c>
      <c r="G993" s="498">
        <v>2.0</v>
      </c>
      <c r="H993" s="497" t="s">
        <v>6647</v>
      </c>
      <c r="I993" s="497" t="s">
        <v>2709</v>
      </c>
      <c r="J993" s="497" t="s">
        <v>6642</v>
      </c>
      <c r="K993" s="497" t="s">
        <v>5754</v>
      </c>
      <c r="L993" s="498">
        <v>9.0</v>
      </c>
      <c r="M993" s="497" t="s">
        <v>6401</v>
      </c>
      <c r="N993" s="497" t="s">
        <v>7281</v>
      </c>
      <c r="O993" s="498">
        <v>295.0</v>
      </c>
      <c r="P993" s="497" t="s">
        <v>7282</v>
      </c>
      <c r="Q993" s="499"/>
      <c r="R993" s="500"/>
      <c r="S993" s="500"/>
      <c r="T993" s="500"/>
      <c r="U993" s="500"/>
      <c r="V993" s="500"/>
      <c r="W993" s="500"/>
      <c r="X993" s="500"/>
      <c r="Y993" s="500"/>
      <c r="Z993" s="500"/>
      <c r="AA993" s="500"/>
      <c r="AB993" s="500"/>
      <c r="AC993" s="500"/>
      <c r="AD993" s="500"/>
      <c r="AE993" s="497"/>
    </row>
    <row r="994">
      <c r="A994" s="528" t="s">
        <v>4681</v>
      </c>
      <c r="B994" s="531" t="s">
        <v>6109</v>
      </c>
      <c r="C994" s="531" t="s">
        <v>5670</v>
      </c>
      <c r="D994" s="531" t="s">
        <v>5725</v>
      </c>
      <c r="E994" s="531" t="s">
        <v>6795</v>
      </c>
      <c r="F994" s="228" t="s">
        <v>6472</v>
      </c>
    </row>
    <row r="995">
      <c r="A995" s="527" t="s">
        <v>5434</v>
      </c>
      <c r="B995" s="531" t="s">
        <v>6096</v>
      </c>
      <c r="C995" s="531" t="s">
        <v>5664</v>
      </c>
      <c r="D995" s="531" t="s">
        <v>7256</v>
      </c>
      <c r="E995" s="531" t="s">
        <v>6795</v>
      </c>
      <c r="F995" s="497" t="s">
        <v>7283</v>
      </c>
      <c r="G995" s="498">
        <v>2.0</v>
      </c>
      <c r="H995" s="497" t="s">
        <v>6647</v>
      </c>
      <c r="I995" s="497" t="s">
        <v>2709</v>
      </c>
      <c r="J995" s="497" t="s">
        <v>7284</v>
      </c>
      <c r="K995" s="497" t="s">
        <v>5754</v>
      </c>
      <c r="L995" s="498">
        <v>8.0</v>
      </c>
      <c r="M995" s="497" t="s">
        <v>7285</v>
      </c>
      <c r="N995" s="497" t="s">
        <v>7286</v>
      </c>
      <c r="O995" s="498">
        <v>261.0</v>
      </c>
      <c r="P995" s="497" t="s">
        <v>7287</v>
      </c>
      <c r="Q995" s="499"/>
      <c r="R995" s="500"/>
      <c r="S995" s="500"/>
      <c r="T995" s="500"/>
      <c r="U995" s="500"/>
      <c r="V995" s="500"/>
      <c r="W995" s="500"/>
      <c r="X995" s="500"/>
      <c r="Y995" s="500"/>
      <c r="Z995" s="500"/>
      <c r="AA995" s="500"/>
      <c r="AB995" s="500"/>
      <c r="AC995" s="500"/>
      <c r="AD995" s="500"/>
      <c r="AE995" s="497"/>
    </row>
    <row r="996">
      <c r="A996" s="495" t="s">
        <v>1196</v>
      </c>
      <c r="B996" s="531" t="s">
        <v>6112</v>
      </c>
      <c r="C996" s="531" t="s">
        <v>7007</v>
      </c>
      <c r="D996" s="531" t="s">
        <v>5716</v>
      </c>
      <c r="E996" s="531" t="s">
        <v>5660</v>
      </c>
      <c r="F996" s="228" t="s">
        <v>5951</v>
      </c>
    </row>
    <row r="997">
      <c r="A997" s="495" t="s">
        <v>1236</v>
      </c>
      <c r="B997" s="531" t="s">
        <v>6532</v>
      </c>
      <c r="C997" s="531" t="s">
        <v>7007</v>
      </c>
      <c r="D997" s="531" t="s">
        <v>5668</v>
      </c>
      <c r="E997" s="531" t="s">
        <v>5727</v>
      </c>
      <c r="F997" s="228" t="s">
        <v>5951</v>
      </c>
    </row>
    <row r="998">
      <c r="A998" s="461" t="s">
        <v>7288</v>
      </c>
      <c r="B998" s="531" t="s">
        <v>6532</v>
      </c>
      <c r="C998" s="531" t="s">
        <v>5671</v>
      </c>
      <c r="D998" s="531" t="s">
        <v>6044</v>
      </c>
      <c r="E998" s="531" t="s">
        <v>6795</v>
      </c>
      <c r="F998" s="497" t="s">
        <v>2539</v>
      </c>
      <c r="G998" s="498">
        <v>2.0</v>
      </c>
      <c r="H998" s="497" t="s">
        <v>6647</v>
      </c>
      <c r="I998" s="497" t="s">
        <v>2740</v>
      </c>
      <c r="J998" s="497" t="s">
        <v>7289</v>
      </c>
      <c r="K998" s="497" t="s">
        <v>5729</v>
      </c>
      <c r="L998" s="498">
        <v>3.0</v>
      </c>
      <c r="M998" s="497" t="s">
        <v>5712</v>
      </c>
      <c r="N998" s="497" t="s">
        <v>7290</v>
      </c>
      <c r="O998" s="498">
        <v>290.0</v>
      </c>
      <c r="P998" s="497" t="s">
        <v>7291</v>
      </c>
      <c r="Q998" s="500"/>
      <c r="R998" s="500"/>
      <c r="S998" s="500"/>
      <c r="T998" s="500"/>
      <c r="U998" s="500"/>
      <c r="V998" s="500"/>
      <c r="W998" s="500"/>
      <c r="X998" s="500"/>
      <c r="Y998" s="500"/>
      <c r="Z998" s="500"/>
      <c r="AA998" s="500"/>
      <c r="AB998" s="500"/>
      <c r="AC998" s="500"/>
      <c r="AD998" s="500"/>
      <c r="AE998" s="497"/>
    </row>
    <row r="999">
      <c r="A999" s="461" t="s">
        <v>2564</v>
      </c>
      <c r="B999" s="531" t="s">
        <v>6112</v>
      </c>
      <c r="C999" s="531" t="s">
        <v>6794</v>
      </c>
      <c r="D999" s="531" t="s">
        <v>7088</v>
      </c>
      <c r="E999" s="531" t="s">
        <v>6795</v>
      </c>
      <c r="F999" s="228" t="s">
        <v>5951</v>
      </c>
    </row>
    <row r="1000">
      <c r="A1000" s="461" t="s">
        <v>7292</v>
      </c>
      <c r="B1000" s="531" t="s">
        <v>6482</v>
      </c>
      <c r="C1000" s="531" t="s">
        <v>7007</v>
      </c>
      <c r="D1000" s="531" t="s">
        <v>7088</v>
      </c>
      <c r="E1000" s="531" t="s">
        <v>6795</v>
      </c>
      <c r="F1000" s="497" t="s">
        <v>2565</v>
      </c>
      <c r="G1000" s="498">
        <v>2.0</v>
      </c>
      <c r="H1000" s="497" t="s">
        <v>6647</v>
      </c>
      <c r="I1000" s="497" t="s">
        <v>2715</v>
      </c>
      <c r="J1000" s="497" t="s">
        <v>6412</v>
      </c>
      <c r="K1000" s="497" t="s">
        <v>5750</v>
      </c>
      <c r="L1000" s="498">
        <v>4.0</v>
      </c>
      <c r="M1000" s="497" t="s">
        <v>5794</v>
      </c>
      <c r="N1000" s="497" t="s">
        <v>7293</v>
      </c>
      <c r="O1000" s="498">
        <v>164.0</v>
      </c>
      <c r="P1000" s="497" t="s">
        <v>7294</v>
      </c>
      <c r="Q1000" s="499"/>
      <c r="R1000" s="500"/>
      <c r="S1000" s="500"/>
      <c r="T1000" s="500"/>
      <c r="U1000" s="500"/>
      <c r="V1000" s="500"/>
      <c r="W1000" s="500"/>
      <c r="X1000" s="500"/>
      <c r="Y1000" s="500"/>
      <c r="Z1000" s="500"/>
      <c r="AA1000" s="500"/>
      <c r="AB1000" s="500"/>
      <c r="AC1000" s="500"/>
      <c r="AD1000" s="500"/>
      <c r="AE1000" s="497"/>
    </row>
    <row r="1001">
      <c r="A1001" s="544" t="s">
        <v>2907</v>
      </c>
      <c r="B1001" s="531" t="s">
        <v>6109</v>
      </c>
      <c r="C1001" s="531" t="s">
        <v>6794</v>
      </c>
      <c r="D1001" s="531" t="s">
        <v>6717</v>
      </c>
      <c r="E1001" s="531" t="s">
        <v>5660</v>
      </c>
      <c r="F1001" s="228" t="s">
        <v>5700</v>
      </c>
    </row>
    <row r="1002">
      <c r="A1002" s="544" t="s">
        <v>1104</v>
      </c>
      <c r="B1002" s="531" t="s">
        <v>6482</v>
      </c>
      <c r="C1002" s="531" t="s">
        <v>7032</v>
      </c>
      <c r="D1002" s="531" t="s">
        <v>6717</v>
      </c>
      <c r="E1002" s="531" t="s">
        <v>5660</v>
      </c>
      <c r="F1002" s="228" t="s">
        <v>5700</v>
      </c>
    </row>
    <row r="1003">
      <c r="A1003" s="523" t="s">
        <v>7295</v>
      </c>
      <c r="B1003" s="531" t="s">
        <v>6096</v>
      </c>
      <c r="C1003" s="531" t="s">
        <v>6489</v>
      </c>
      <c r="D1003" s="531" t="s">
        <v>6717</v>
      </c>
      <c r="E1003" s="531" t="s">
        <v>5727</v>
      </c>
      <c r="F1003" s="502" t="s">
        <v>3065</v>
      </c>
      <c r="G1003" s="503">
        <v>2.0</v>
      </c>
      <c r="H1003" s="502" t="s">
        <v>5728</v>
      </c>
      <c r="I1003" s="502" t="s">
        <v>2709</v>
      </c>
      <c r="J1003" s="502" t="s">
        <v>7296</v>
      </c>
      <c r="K1003" s="502" t="s">
        <v>5754</v>
      </c>
      <c r="L1003" s="503">
        <v>1.0</v>
      </c>
      <c r="M1003" s="502" t="s">
        <v>7297</v>
      </c>
      <c r="N1003" s="502" t="s">
        <v>7298</v>
      </c>
      <c r="O1003" s="503">
        <v>396.0</v>
      </c>
      <c r="P1003" s="502" t="s">
        <v>7299</v>
      </c>
      <c r="Q1003" s="504"/>
      <c r="R1003" s="505"/>
      <c r="S1003" s="505"/>
      <c r="T1003" s="505"/>
      <c r="U1003" s="505"/>
      <c r="V1003" s="505"/>
      <c r="W1003" s="505"/>
      <c r="X1003" s="505"/>
      <c r="Y1003" s="505"/>
      <c r="Z1003" s="505"/>
      <c r="AA1003" s="505"/>
      <c r="AB1003" s="505"/>
      <c r="AC1003" s="505"/>
      <c r="AD1003" s="505"/>
      <c r="AE1003" s="502"/>
    </row>
    <row r="1004">
      <c r="A1004" s="461" t="s">
        <v>7300</v>
      </c>
      <c r="B1004" s="531" t="s">
        <v>6112</v>
      </c>
      <c r="C1004" s="531" t="s">
        <v>7040</v>
      </c>
      <c r="D1004" s="531" t="s">
        <v>7256</v>
      </c>
      <c r="E1004" s="531" t="s">
        <v>6795</v>
      </c>
      <c r="F1004" s="497" t="s">
        <v>2654</v>
      </c>
      <c r="G1004" s="498">
        <v>2.0</v>
      </c>
      <c r="H1004" s="497" t="s">
        <v>6647</v>
      </c>
      <c r="I1004" s="497" t="s">
        <v>2707</v>
      </c>
      <c r="J1004" s="497" t="s">
        <v>6731</v>
      </c>
      <c r="K1004" s="497" t="s">
        <v>5734</v>
      </c>
      <c r="L1004" s="498">
        <v>6.0</v>
      </c>
      <c r="M1004" s="497" t="s">
        <v>7301</v>
      </c>
      <c r="N1004" s="497" t="s">
        <v>7302</v>
      </c>
      <c r="O1004" s="498">
        <v>296.0</v>
      </c>
      <c r="P1004" s="497" t="s">
        <v>7303</v>
      </c>
      <c r="Q1004" s="499"/>
      <c r="R1004" s="500"/>
      <c r="S1004" s="500"/>
      <c r="T1004" s="500"/>
      <c r="U1004" s="500"/>
      <c r="V1004" s="500"/>
      <c r="W1004" s="500"/>
      <c r="X1004" s="500"/>
      <c r="Y1004" s="500"/>
      <c r="Z1004" s="500"/>
      <c r="AA1004" s="500"/>
      <c r="AB1004" s="500"/>
      <c r="AC1004" s="500"/>
      <c r="AD1004" s="500"/>
      <c r="AE1004" s="497"/>
    </row>
    <row r="1005">
      <c r="A1005" s="461" t="s">
        <v>7304</v>
      </c>
      <c r="B1005" s="531" t="s">
        <v>6096</v>
      </c>
      <c r="C1005" s="531" t="s">
        <v>6794</v>
      </c>
      <c r="D1005" s="531" t="s">
        <v>5716</v>
      </c>
      <c r="E1005" s="531" t="s">
        <v>6795</v>
      </c>
      <c r="F1005" s="497" t="s">
        <v>2621</v>
      </c>
      <c r="G1005" s="498">
        <v>2.0</v>
      </c>
      <c r="H1005" s="497" t="s">
        <v>6647</v>
      </c>
      <c r="I1005" s="497" t="s">
        <v>2709</v>
      </c>
      <c r="J1005" s="497" t="s">
        <v>5975</v>
      </c>
      <c r="K1005" s="497" t="s">
        <v>5721</v>
      </c>
      <c r="L1005" s="498">
        <v>7.0</v>
      </c>
      <c r="M1005" s="497" t="s">
        <v>5987</v>
      </c>
      <c r="N1005" s="497" t="s">
        <v>7305</v>
      </c>
      <c r="O1005" s="498">
        <v>288.0</v>
      </c>
      <c r="P1005" s="497" t="s">
        <v>7306</v>
      </c>
      <c r="Q1005" s="499"/>
      <c r="R1005" s="500"/>
      <c r="S1005" s="500"/>
      <c r="T1005" s="500"/>
      <c r="U1005" s="500"/>
      <c r="V1005" s="500"/>
      <c r="W1005" s="500"/>
      <c r="X1005" s="500"/>
      <c r="Y1005" s="500"/>
      <c r="Z1005" s="500"/>
      <c r="AA1005" s="500"/>
      <c r="AB1005" s="500"/>
      <c r="AC1005" s="500"/>
      <c r="AD1005" s="500"/>
      <c r="AE1005" s="497"/>
    </row>
    <row r="1006">
      <c r="A1006" s="523" t="s">
        <v>7307</v>
      </c>
      <c r="B1006" s="531" t="s">
        <v>6532</v>
      </c>
      <c r="C1006" s="531" t="s">
        <v>5657</v>
      </c>
      <c r="D1006" s="531" t="s">
        <v>5658</v>
      </c>
      <c r="E1006" s="531" t="s">
        <v>5727</v>
      </c>
      <c r="F1006" s="502" t="s">
        <v>3071</v>
      </c>
      <c r="G1006" s="503">
        <v>2.0</v>
      </c>
      <c r="H1006" s="502" t="s">
        <v>5728</v>
      </c>
      <c r="I1006" s="502" t="s">
        <v>2740</v>
      </c>
      <c r="J1006" s="502" t="s">
        <v>6571</v>
      </c>
      <c r="K1006" s="502" t="s">
        <v>5711</v>
      </c>
      <c r="L1006" s="503">
        <v>1.0</v>
      </c>
      <c r="M1006" s="502" t="s">
        <v>5846</v>
      </c>
      <c r="N1006" s="502" t="s">
        <v>7308</v>
      </c>
      <c r="O1006" s="503">
        <v>197.0</v>
      </c>
      <c r="P1006" s="502" t="s">
        <v>7309</v>
      </c>
      <c r="Q1006" s="505"/>
      <c r="R1006" s="505"/>
      <c r="S1006" s="505"/>
      <c r="T1006" s="505"/>
      <c r="U1006" s="505"/>
      <c r="V1006" s="505"/>
      <c r="W1006" s="505"/>
      <c r="X1006" s="505"/>
      <c r="Y1006" s="505"/>
      <c r="Z1006" s="505"/>
      <c r="AA1006" s="505"/>
      <c r="AB1006" s="505"/>
      <c r="AC1006" s="505"/>
      <c r="AD1006" s="505"/>
      <c r="AE1006" s="502"/>
    </row>
    <row r="1007">
      <c r="A1007" s="523" t="s">
        <v>3073</v>
      </c>
      <c r="B1007" s="531" t="s">
        <v>6488</v>
      </c>
      <c r="C1007" s="531" t="s">
        <v>5682</v>
      </c>
      <c r="D1007" s="531" t="s">
        <v>5658</v>
      </c>
      <c r="E1007" s="531" t="s">
        <v>5727</v>
      </c>
      <c r="F1007" s="228" t="s">
        <v>5951</v>
      </c>
    </row>
    <row r="1008">
      <c r="A1008" s="523" t="s">
        <v>7310</v>
      </c>
      <c r="B1008" s="531" t="s">
        <v>6532</v>
      </c>
      <c r="C1008" s="531" t="s">
        <v>5657</v>
      </c>
      <c r="D1008" s="531" t="s">
        <v>5658</v>
      </c>
      <c r="E1008" s="531" t="s">
        <v>5727</v>
      </c>
      <c r="F1008" s="497" t="s">
        <v>3075</v>
      </c>
      <c r="G1008" s="498">
        <v>2.0</v>
      </c>
      <c r="H1008" s="497" t="s">
        <v>5728</v>
      </c>
      <c r="I1008" s="497" t="s">
        <v>2740</v>
      </c>
      <c r="J1008" s="497" t="s">
        <v>7311</v>
      </c>
      <c r="K1008" s="497" t="s">
        <v>5711</v>
      </c>
      <c r="L1008" s="498">
        <v>1.0</v>
      </c>
      <c r="M1008" s="497" t="s">
        <v>7148</v>
      </c>
      <c r="N1008" s="497" t="s">
        <v>7312</v>
      </c>
      <c r="O1008" s="498">
        <v>210.0</v>
      </c>
      <c r="P1008" s="497" t="s">
        <v>7313</v>
      </c>
      <c r="Q1008" s="500"/>
      <c r="R1008" s="500"/>
      <c r="S1008" s="500"/>
      <c r="T1008" s="500"/>
      <c r="U1008" s="500"/>
      <c r="V1008" s="500"/>
      <c r="W1008" s="500"/>
      <c r="X1008" s="500"/>
      <c r="Y1008" s="500"/>
      <c r="Z1008" s="500"/>
      <c r="AA1008" s="500"/>
      <c r="AB1008" s="500"/>
      <c r="AC1008" s="500"/>
      <c r="AD1008" s="500"/>
      <c r="AE1008" s="497"/>
    </row>
    <row r="1009">
      <c r="A1009" s="523" t="s">
        <v>3079</v>
      </c>
      <c r="B1009" s="531" t="s">
        <v>6096</v>
      </c>
      <c r="C1009" s="531" t="s">
        <v>5670</v>
      </c>
      <c r="D1009" s="531" t="s">
        <v>5668</v>
      </c>
      <c r="E1009" s="531" t="s">
        <v>5727</v>
      </c>
      <c r="F1009" s="228" t="s">
        <v>5951</v>
      </c>
    </row>
    <row r="1010">
      <c r="A1010" s="533" t="s">
        <v>3081</v>
      </c>
      <c r="B1010" s="531" t="s">
        <v>6488</v>
      </c>
      <c r="C1010" s="531" t="s">
        <v>7007</v>
      </c>
      <c r="D1010" s="531" t="s">
        <v>5668</v>
      </c>
      <c r="E1010" s="531" t="s">
        <v>5727</v>
      </c>
      <c r="F1010" s="228" t="s">
        <v>5951</v>
      </c>
    </row>
    <row r="1011">
      <c r="A1011" s="523" t="s">
        <v>3083</v>
      </c>
      <c r="B1011" s="531" t="s">
        <v>6096</v>
      </c>
      <c r="C1011" s="531" t="s">
        <v>7133</v>
      </c>
      <c r="D1011" s="531" t="s">
        <v>6687</v>
      </c>
      <c r="E1011" s="531" t="s">
        <v>5727</v>
      </c>
      <c r="F1011" s="228" t="s">
        <v>6472</v>
      </c>
    </row>
    <row r="1012">
      <c r="A1012" s="523" t="s">
        <v>3089</v>
      </c>
      <c r="B1012" s="531" t="s">
        <v>6110</v>
      </c>
      <c r="C1012" s="531" t="s">
        <v>7133</v>
      </c>
      <c r="D1012" s="531" t="s">
        <v>6687</v>
      </c>
      <c r="E1012" s="531" t="s">
        <v>5727</v>
      </c>
      <c r="F1012" s="228" t="s">
        <v>5951</v>
      </c>
    </row>
    <row r="1013">
      <c r="A1013" s="523" t="s">
        <v>3091</v>
      </c>
      <c r="B1013" s="531" t="s">
        <v>6096</v>
      </c>
      <c r="C1013" s="531" t="s">
        <v>7040</v>
      </c>
      <c r="D1013" s="531" t="s">
        <v>6687</v>
      </c>
      <c r="E1013" s="531" t="s">
        <v>5727</v>
      </c>
      <c r="F1013" s="228" t="s">
        <v>5951</v>
      </c>
    </row>
    <row r="1014">
      <c r="A1014" s="523" t="s">
        <v>3101</v>
      </c>
      <c r="B1014" s="531" t="s">
        <v>6109</v>
      </c>
      <c r="C1014" s="531" t="s">
        <v>5682</v>
      </c>
      <c r="D1014" s="531" t="s">
        <v>6044</v>
      </c>
      <c r="E1014" s="531" t="s">
        <v>5727</v>
      </c>
      <c r="F1014" s="228" t="s">
        <v>5951</v>
      </c>
    </row>
    <row r="1015">
      <c r="A1015" s="523" t="s">
        <v>3102</v>
      </c>
      <c r="B1015" s="531" t="s">
        <v>6532</v>
      </c>
      <c r="C1015" s="531" t="s">
        <v>5682</v>
      </c>
      <c r="D1015" s="531" t="s">
        <v>6044</v>
      </c>
      <c r="E1015" s="531" t="s">
        <v>5727</v>
      </c>
      <c r="F1015" s="228" t="s">
        <v>5951</v>
      </c>
    </row>
    <row r="1016">
      <c r="A1016" s="523" t="s">
        <v>3104</v>
      </c>
      <c r="B1016" s="531" t="s">
        <v>6112</v>
      </c>
      <c r="C1016" s="531" t="s">
        <v>5682</v>
      </c>
      <c r="D1016" s="531" t="s">
        <v>6044</v>
      </c>
      <c r="E1016" s="531" t="s">
        <v>5727</v>
      </c>
      <c r="F1016" s="228" t="s">
        <v>5951</v>
      </c>
    </row>
    <row r="1017">
      <c r="A1017" s="523" t="s">
        <v>3106</v>
      </c>
      <c r="B1017" s="531" t="s">
        <v>6109</v>
      </c>
      <c r="C1017" s="531" t="s">
        <v>6489</v>
      </c>
      <c r="D1017" s="531" t="s">
        <v>6044</v>
      </c>
      <c r="E1017" s="531" t="s">
        <v>5727</v>
      </c>
      <c r="F1017" s="228" t="s">
        <v>5951</v>
      </c>
    </row>
    <row r="1018">
      <c r="A1018" s="523" t="s">
        <v>7314</v>
      </c>
      <c r="B1018" s="531" t="s">
        <v>2724</v>
      </c>
      <c r="C1018" s="531" t="s">
        <v>7007</v>
      </c>
      <c r="D1018" s="531" t="s">
        <v>6044</v>
      </c>
      <c r="E1018" s="531" t="s">
        <v>5727</v>
      </c>
      <c r="F1018" s="497" t="s">
        <v>3111</v>
      </c>
      <c r="G1018" s="498">
        <v>2.0</v>
      </c>
      <c r="H1018" s="497" t="s">
        <v>5728</v>
      </c>
      <c r="I1018" s="497" t="s">
        <v>2724</v>
      </c>
      <c r="J1018" s="497" t="s">
        <v>7081</v>
      </c>
      <c r="K1018" s="497" t="s">
        <v>5750</v>
      </c>
      <c r="L1018" s="498">
        <v>3.0</v>
      </c>
      <c r="M1018" s="497" t="s">
        <v>5828</v>
      </c>
      <c r="N1018" s="497" t="s">
        <v>7315</v>
      </c>
      <c r="O1018" s="498">
        <v>229.0</v>
      </c>
      <c r="P1018" s="497" t="s">
        <v>7316</v>
      </c>
      <c r="Q1018" s="499"/>
      <c r="R1018" s="500"/>
      <c r="S1018" s="500"/>
      <c r="T1018" s="500"/>
      <c r="U1018" s="500"/>
      <c r="V1018" s="500"/>
      <c r="W1018" s="500"/>
      <c r="X1018" s="500"/>
      <c r="Y1018" s="500"/>
      <c r="Z1018" s="500"/>
      <c r="AA1018" s="500"/>
      <c r="AB1018" s="500"/>
      <c r="AC1018" s="500"/>
      <c r="AD1018" s="500"/>
      <c r="AE1018" s="497"/>
    </row>
    <row r="1019">
      <c r="A1019" s="523" t="s">
        <v>3117</v>
      </c>
      <c r="B1019" s="531" t="s">
        <v>6109</v>
      </c>
      <c r="C1019" s="531" t="s">
        <v>5657</v>
      </c>
      <c r="D1019" s="531" t="s">
        <v>6044</v>
      </c>
      <c r="E1019" s="531" t="s">
        <v>5727</v>
      </c>
      <c r="F1019" s="228" t="s">
        <v>5951</v>
      </c>
    </row>
    <row r="1020">
      <c r="A1020" s="523" t="s">
        <v>3123</v>
      </c>
      <c r="B1020" s="531" t="s">
        <v>6112</v>
      </c>
      <c r="C1020" s="531" t="s">
        <v>5671</v>
      </c>
      <c r="D1020" s="531" t="s">
        <v>5675</v>
      </c>
      <c r="E1020" s="531" t="s">
        <v>5727</v>
      </c>
      <c r="F1020" s="228" t="s">
        <v>5951</v>
      </c>
    </row>
    <row r="1021">
      <c r="A1021" s="523" t="s">
        <v>3125</v>
      </c>
      <c r="B1021" s="531" t="s">
        <v>6116</v>
      </c>
      <c r="C1021" s="531" t="s">
        <v>5657</v>
      </c>
      <c r="D1021" s="531" t="s">
        <v>5683</v>
      </c>
      <c r="E1021" s="531" t="s">
        <v>5727</v>
      </c>
      <c r="F1021" s="228" t="s">
        <v>5951</v>
      </c>
    </row>
    <row r="1022">
      <c r="A1022" s="523" t="s">
        <v>3127</v>
      </c>
      <c r="B1022" s="531" t="s">
        <v>6488</v>
      </c>
      <c r="C1022" s="531" t="s">
        <v>5671</v>
      </c>
      <c r="D1022" s="531" t="s">
        <v>5683</v>
      </c>
      <c r="E1022" s="531" t="s">
        <v>5727</v>
      </c>
      <c r="F1022" s="228" t="s">
        <v>5951</v>
      </c>
    </row>
    <row r="1023">
      <c r="A1023" s="523" t="s">
        <v>7317</v>
      </c>
      <c r="B1023" s="531" t="s">
        <v>6110</v>
      </c>
      <c r="C1023" s="531" t="s">
        <v>5682</v>
      </c>
      <c r="D1023" s="531" t="s">
        <v>5683</v>
      </c>
      <c r="E1023" s="531" t="s">
        <v>5727</v>
      </c>
      <c r="F1023" s="497" t="s">
        <v>3137</v>
      </c>
      <c r="G1023" s="498">
        <v>2.0</v>
      </c>
      <c r="H1023" s="497" t="s">
        <v>5728</v>
      </c>
      <c r="I1023" s="497" t="s">
        <v>2698</v>
      </c>
      <c r="J1023" s="497" t="s">
        <v>7318</v>
      </c>
      <c r="K1023" s="497" t="s">
        <v>5721</v>
      </c>
      <c r="L1023" s="498">
        <v>4.0</v>
      </c>
      <c r="M1023" s="497" t="s">
        <v>5790</v>
      </c>
      <c r="N1023" s="497" t="s">
        <v>7319</v>
      </c>
      <c r="O1023" s="498">
        <v>404.0</v>
      </c>
      <c r="P1023" s="497" t="s">
        <v>7320</v>
      </c>
      <c r="Q1023" s="499"/>
      <c r="R1023" s="500"/>
      <c r="S1023" s="500"/>
      <c r="T1023" s="500"/>
      <c r="U1023" s="500"/>
      <c r="V1023" s="500"/>
      <c r="W1023" s="500"/>
      <c r="X1023" s="500"/>
      <c r="Y1023" s="500"/>
      <c r="Z1023" s="500"/>
      <c r="AA1023" s="500"/>
      <c r="AB1023" s="500"/>
      <c r="AC1023" s="500"/>
      <c r="AD1023" s="500"/>
      <c r="AE1023" s="497"/>
    </row>
    <row r="1024">
      <c r="A1024" s="523" t="s">
        <v>7321</v>
      </c>
      <c r="B1024" s="531" t="s">
        <v>6109</v>
      </c>
      <c r="C1024" s="531" t="s">
        <v>5657</v>
      </c>
      <c r="D1024" s="531" t="s">
        <v>5683</v>
      </c>
      <c r="E1024" s="531" t="s">
        <v>5727</v>
      </c>
      <c r="F1024" s="497" t="s">
        <v>3140</v>
      </c>
      <c r="G1024" s="498">
        <v>2.0</v>
      </c>
      <c r="H1024" s="497" t="s">
        <v>5728</v>
      </c>
      <c r="I1024" s="497" t="s">
        <v>2695</v>
      </c>
      <c r="J1024" s="497" t="s">
        <v>1283</v>
      </c>
      <c r="K1024" s="497" t="s">
        <v>5711</v>
      </c>
      <c r="L1024" s="498">
        <v>4.0</v>
      </c>
      <c r="M1024" s="497" t="s">
        <v>5722</v>
      </c>
      <c r="N1024" s="497" t="s">
        <v>7322</v>
      </c>
      <c r="O1024" s="498">
        <v>273.0</v>
      </c>
      <c r="P1024" s="497" t="s">
        <v>7323</v>
      </c>
      <c r="Q1024" s="500"/>
      <c r="R1024" s="500"/>
      <c r="S1024" s="500"/>
      <c r="T1024" s="500"/>
      <c r="U1024" s="500"/>
      <c r="V1024" s="500"/>
      <c r="W1024" s="500"/>
      <c r="X1024" s="500"/>
      <c r="Y1024" s="500"/>
      <c r="Z1024" s="500"/>
      <c r="AA1024" s="500"/>
      <c r="AB1024" s="500"/>
      <c r="AC1024" s="500"/>
      <c r="AD1024" s="500"/>
      <c r="AE1024" s="497"/>
    </row>
    <row r="1025">
      <c r="A1025" s="523" t="s">
        <v>3142</v>
      </c>
      <c r="B1025" s="531" t="s">
        <v>6110</v>
      </c>
      <c r="C1025" s="531" t="s">
        <v>7007</v>
      </c>
      <c r="D1025" s="531" t="s">
        <v>5683</v>
      </c>
      <c r="E1025" s="531" t="s">
        <v>5727</v>
      </c>
      <c r="F1025" s="228" t="s">
        <v>5951</v>
      </c>
    </row>
    <row r="1026">
      <c r="A1026" s="523" t="s">
        <v>3147</v>
      </c>
      <c r="B1026" s="531" t="s">
        <v>6109</v>
      </c>
      <c r="C1026" s="531" t="s">
        <v>7040</v>
      </c>
      <c r="D1026" s="531" t="s">
        <v>5692</v>
      </c>
      <c r="E1026" s="531" t="s">
        <v>5727</v>
      </c>
      <c r="F1026" s="228" t="s">
        <v>5951</v>
      </c>
    </row>
    <row r="1027">
      <c r="A1027" s="523" t="s">
        <v>3149</v>
      </c>
      <c r="B1027" s="531" t="s">
        <v>6096</v>
      </c>
      <c r="C1027" s="531" t="s">
        <v>5671</v>
      </c>
      <c r="D1027" s="531" t="s">
        <v>5692</v>
      </c>
      <c r="E1027" s="531" t="s">
        <v>5727</v>
      </c>
      <c r="F1027" s="228" t="s">
        <v>5951</v>
      </c>
    </row>
    <row r="1028">
      <c r="A1028" s="523" t="s">
        <v>3150</v>
      </c>
      <c r="B1028" s="531" t="s">
        <v>6112</v>
      </c>
      <c r="C1028" s="531" t="s">
        <v>5671</v>
      </c>
      <c r="D1028" s="531" t="s">
        <v>5692</v>
      </c>
      <c r="E1028" s="531" t="s">
        <v>5727</v>
      </c>
      <c r="F1028" s="228" t="s">
        <v>5951</v>
      </c>
    </row>
    <row r="1029">
      <c r="A1029" s="523" t="s">
        <v>3154</v>
      </c>
      <c r="B1029" s="531" t="s">
        <v>6112</v>
      </c>
      <c r="C1029" s="531" t="s">
        <v>7007</v>
      </c>
      <c r="D1029" s="531" t="s">
        <v>5692</v>
      </c>
      <c r="E1029" s="531" t="s">
        <v>5727</v>
      </c>
      <c r="F1029" s="228" t="s">
        <v>5951</v>
      </c>
    </row>
    <row r="1030">
      <c r="A1030" s="523" t="s">
        <v>3156</v>
      </c>
      <c r="B1030" s="531" t="s">
        <v>6112</v>
      </c>
      <c r="C1030" s="531" t="s">
        <v>5664</v>
      </c>
      <c r="D1030" s="531" t="s">
        <v>5692</v>
      </c>
      <c r="E1030" s="531" t="s">
        <v>5727</v>
      </c>
      <c r="F1030" s="228" t="s">
        <v>5951</v>
      </c>
    </row>
    <row r="1031">
      <c r="A1031" s="523" t="s">
        <v>7324</v>
      </c>
      <c r="B1031" s="531" t="s">
        <v>6116</v>
      </c>
      <c r="C1031" s="531" t="s">
        <v>5664</v>
      </c>
      <c r="D1031" s="531" t="s">
        <v>5692</v>
      </c>
      <c r="E1031" s="531" t="s">
        <v>5727</v>
      </c>
      <c r="F1031" s="497" t="s">
        <v>3158</v>
      </c>
      <c r="G1031" s="498">
        <v>2.0</v>
      </c>
      <c r="H1031" s="497" t="s">
        <v>5728</v>
      </c>
      <c r="I1031" s="497" t="s">
        <v>2692</v>
      </c>
      <c r="J1031" s="497" t="s">
        <v>1313</v>
      </c>
      <c r="K1031" s="497" t="s">
        <v>5754</v>
      </c>
      <c r="L1031" s="498">
        <v>5.0</v>
      </c>
      <c r="M1031" s="497" t="s">
        <v>7129</v>
      </c>
      <c r="N1031" s="497" t="s">
        <v>7325</v>
      </c>
      <c r="O1031" s="498">
        <v>298.0</v>
      </c>
      <c r="P1031" s="497" t="s">
        <v>7326</v>
      </c>
      <c r="Q1031" s="499"/>
      <c r="R1031" s="500"/>
      <c r="S1031" s="500"/>
      <c r="T1031" s="500"/>
      <c r="U1031" s="500"/>
      <c r="V1031" s="500"/>
      <c r="W1031" s="500"/>
      <c r="X1031" s="500"/>
      <c r="Y1031" s="500"/>
      <c r="Z1031" s="500"/>
      <c r="AA1031" s="500"/>
      <c r="AB1031" s="500"/>
      <c r="AC1031" s="500"/>
      <c r="AD1031" s="500"/>
      <c r="AE1031" s="497"/>
    </row>
    <row r="1032">
      <c r="A1032" s="523" t="s">
        <v>3166</v>
      </c>
      <c r="B1032" s="531" t="s">
        <v>6110</v>
      </c>
      <c r="C1032" s="531" t="s">
        <v>5670</v>
      </c>
      <c r="D1032" s="531" t="s">
        <v>5692</v>
      </c>
      <c r="E1032" s="531" t="s">
        <v>5727</v>
      </c>
      <c r="F1032" s="228" t="s">
        <v>5951</v>
      </c>
    </row>
    <row r="1033">
      <c r="A1033" s="523" t="s">
        <v>7327</v>
      </c>
      <c r="B1033" s="531" t="s">
        <v>6532</v>
      </c>
      <c r="C1033" s="531" t="s">
        <v>5671</v>
      </c>
      <c r="D1033" s="531" t="s">
        <v>6493</v>
      </c>
      <c r="E1033" s="531" t="s">
        <v>5727</v>
      </c>
      <c r="F1033" s="497" t="s">
        <v>3168</v>
      </c>
      <c r="G1033" s="498">
        <v>2.0</v>
      </c>
      <c r="H1033" s="497" t="s">
        <v>5728</v>
      </c>
      <c r="I1033" s="497" t="s">
        <v>2740</v>
      </c>
      <c r="J1033" s="497" t="s">
        <v>6706</v>
      </c>
      <c r="K1033" s="497" t="s">
        <v>5729</v>
      </c>
      <c r="L1033" s="498">
        <v>5.0</v>
      </c>
      <c r="M1033" s="497" t="s">
        <v>6106</v>
      </c>
      <c r="N1033" s="497" t="s">
        <v>7328</v>
      </c>
      <c r="O1033" s="498">
        <v>213.0</v>
      </c>
      <c r="P1033" s="497" t="s">
        <v>7329</v>
      </c>
      <c r="Q1033" s="500"/>
      <c r="R1033" s="500"/>
      <c r="S1033" s="500"/>
      <c r="T1033" s="500"/>
      <c r="U1033" s="500"/>
      <c r="V1033" s="500"/>
      <c r="W1033" s="500"/>
      <c r="X1033" s="500"/>
      <c r="Y1033" s="500"/>
      <c r="Z1033" s="500"/>
      <c r="AA1033" s="500"/>
      <c r="AB1033" s="500"/>
      <c r="AC1033" s="500"/>
      <c r="AD1033" s="500"/>
      <c r="AE1033" s="497"/>
    </row>
    <row r="1034">
      <c r="A1034" s="523" t="s">
        <v>3170</v>
      </c>
      <c r="B1034" s="531" t="s">
        <v>6488</v>
      </c>
      <c r="C1034" s="531" t="s">
        <v>5670</v>
      </c>
      <c r="D1034" s="531" t="s">
        <v>5705</v>
      </c>
      <c r="E1034" s="531" t="s">
        <v>5727</v>
      </c>
      <c r="F1034" s="228" t="s">
        <v>5951</v>
      </c>
    </row>
    <row r="1035">
      <c r="A1035" s="523" t="s">
        <v>7330</v>
      </c>
      <c r="B1035" s="534" t="s">
        <v>5699</v>
      </c>
      <c r="C1035" s="531" t="s">
        <v>5664</v>
      </c>
      <c r="D1035" s="531" t="s">
        <v>5692</v>
      </c>
      <c r="E1035" s="531" t="s">
        <v>5727</v>
      </c>
      <c r="F1035" s="497" t="s">
        <v>3171</v>
      </c>
      <c r="G1035" s="498">
        <v>2.0</v>
      </c>
      <c r="H1035" s="497" t="s">
        <v>5728</v>
      </c>
      <c r="I1035" s="497" t="s">
        <v>2702</v>
      </c>
      <c r="J1035" s="497" t="s">
        <v>6293</v>
      </c>
      <c r="K1035" s="497" t="s">
        <v>5754</v>
      </c>
      <c r="L1035" s="498">
        <v>5.0</v>
      </c>
      <c r="M1035" s="497" t="s">
        <v>6057</v>
      </c>
      <c r="N1035" s="497" t="s">
        <v>7331</v>
      </c>
      <c r="O1035" s="498">
        <v>295.0</v>
      </c>
      <c r="P1035" s="497" t="s">
        <v>7332</v>
      </c>
      <c r="Q1035" s="499"/>
      <c r="R1035" s="500"/>
      <c r="S1035" s="500"/>
      <c r="T1035" s="500"/>
      <c r="U1035" s="500"/>
      <c r="V1035" s="500"/>
      <c r="W1035" s="500"/>
      <c r="X1035" s="500"/>
      <c r="Y1035" s="500"/>
      <c r="Z1035" s="500"/>
      <c r="AA1035" s="500"/>
      <c r="AB1035" s="500"/>
      <c r="AC1035" s="500"/>
      <c r="AD1035" s="500"/>
      <c r="AE1035" s="497"/>
    </row>
    <row r="1036">
      <c r="A1036" s="523" t="s">
        <v>3173</v>
      </c>
      <c r="B1036" s="531" t="s">
        <v>6116</v>
      </c>
      <c r="C1036" s="531" t="s">
        <v>5670</v>
      </c>
      <c r="D1036" s="531" t="s">
        <v>5705</v>
      </c>
      <c r="E1036" s="531" t="s">
        <v>5727</v>
      </c>
      <c r="F1036" s="228" t="s">
        <v>5951</v>
      </c>
    </row>
    <row r="1037">
      <c r="A1037" s="523" t="s">
        <v>3179</v>
      </c>
      <c r="B1037" s="531" t="s">
        <v>2724</v>
      </c>
      <c r="C1037" s="531" t="s">
        <v>5657</v>
      </c>
      <c r="D1037" s="531" t="s">
        <v>5705</v>
      </c>
      <c r="E1037" s="531" t="s">
        <v>5727</v>
      </c>
      <c r="F1037" s="228" t="s">
        <v>5951</v>
      </c>
    </row>
    <row r="1038">
      <c r="A1038" s="523" t="s">
        <v>7333</v>
      </c>
      <c r="B1038" s="531" t="s">
        <v>6116</v>
      </c>
      <c r="C1038" s="531" t="s">
        <v>5657</v>
      </c>
      <c r="D1038" s="531" t="s">
        <v>5705</v>
      </c>
      <c r="E1038" s="531" t="s">
        <v>5727</v>
      </c>
      <c r="F1038" s="497" t="s">
        <v>3181</v>
      </c>
      <c r="G1038" s="498">
        <v>2.0</v>
      </c>
      <c r="H1038" s="497" t="s">
        <v>5728</v>
      </c>
      <c r="I1038" s="497" t="s">
        <v>2692</v>
      </c>
      <c r="J1038" s="497" t="s">
        <v>6304</v>
      </c>
      <c r="K1038" s="497" t="s">
        <v>5711</v>
      </c>
      <c r="L1038" s="498">
        <v>6.0</v>
      </c>
      <c r="M1038" s="497" t="s">
        <v>6023</v>
      </c>
      <c r="N1038" s="497" t="s">
        <v>7334</v>
      </c>
      <c r="O1038" s="498">
        <v>543.0</v>
      </c>
      <c r="P1038" s="497" t="s">
        <v>7335</v>
      </c>
      <c r="Q1038" s="499"/>
      <c r="R1038" s="500"/>
      <c r="S1038" s="500"/>
      <c r="T1038" s="500"/>
      <c r="U1038" s="500"/>
      <c r="V1038" s="500"/>
      <c r="W1038" s="500"/>
      <c r="X1038" s="500"/>
      <c r="Y1038" s="500"/>
      <c r="Z1038" s="500"/>
      <c r="AA1038" s="500"/>
      <c r="AB1038" s="500"/>
      <c r="AC1038" s="500"/>
      <c r="AD1038" s="500"/>
      <c r="AE1038" s="497"/>
    </row>
    <row r="1039">
      <c r="A1039" s="523" t="s">
        <v>3188</v>
      </c>
      <c r="B1039" s="531" t="s">
        <v>6488</v>
      </c>
      <c r="C1039" s="531" t="s">
        <v>5671</v>
      </c>
      <c r="D1039" s="531" t="s">
        <v>5705</v>
      </c>
      <c r="E1039" s="531" t="s">
        <v>5727</v>
      </c>
      <c r="F1039" s="228" t="s">
        <v>5951</v>
      </c>
    </row>
    <row r="1040">
      <c r="A1040" s="523" t="s">
        <v>7336</v>
      </c>
      <c r="B1040" s="531" t="s">
        <v>6482</v>
      </c>
      <c r="C1040" s="531" t="s">
        <v>5671</v>
      </c>
      <c r="D1040" s="531" t="s">
        <v>5705</v>
      </c>
      <c r="E1040" s="531" t="s">
        <v>5727</v>
      </c>
      <c r="F1040" s="497" t="s">
        <v>3190</v>
      </c>
      <c r="G1040" s="498">
        <v>2.0</v>
      </c>
      <c r="H1040" s="497" t="s">
        <v>5728</v>
      </c>
      <c r="I1040" s="497" t="s">
        <v>2715</v>
      </c>
      <c r="J1040" s="497" t="s">
        <v>6503</v>
      </c>
      <c r="K1040" s="497" t="s">
        <v>5729</v>
      </c>
      <c r="L1040" s="498">
        <v>6.0</v>
      </c>
      <c r="M1040" s="497" t="s">
        <v>6118</v>
      </c>
      <c r="N1040" s="497" t="s">
        <v>7337</v>
      </c>
      <c r="O1040" s="498">
        <v>249.0</v>
      </c>
      <c r="P1040" s="497" t="s">
        <v>7338</v>
      </c>
      <c r="Q1040" s="499"/>
      <c r="R1040" s="500"/>
      <c r="S1040" s="500"/>
      <c r="T1040" s="500"/>
      <c r="U1040" s="500"/>
      <c r="V1040" s="500"/>
      <c r="W1040" s="500"/>
      <c r="X1040" s="500"/>
      <c r="Y1040" s="500"/>
      <c r="Z1040" s="500"/>
      <c r="AA1040" s="500"/>
      <c r="AB1040" s="500"/>
      <c r="AC1040" s="500"/>
      <c r="AD1040" s="500"/>
      <c r="AE1040" s="497"/>
    </row>
    <row r="1041">
      <c r="A1041" s="523" t="s">
        <v>3194</v>
      </c>
      <c r="B1041" s="531" t="s">
        <v>6532</v>
      </c>
      <c r="C1041" s="531" t="s">
        <v>5664</v>
      </c>
      <c r="D1041" s="531" t="s">
        <v>5705</v>
      </c>
      <c r="E1041" s="531" t="s">
        <v>5727</v>
      </c>
      <c r="F1041" s="228" t="s">
        <v>5951</v>
      </c>
    </row>
    <row r="1042">
      <c r="A1042" s="523" t="s">
        <v>3196</v>
      </c>
      <c r="B1042" s="531" t="s">
        <v>6096</v>
      </c>
      <c r="C1042" s="531" t="s">
        <v>6489</v>
      </c>
      <c r="D1042" s="531" t="s">
        <v>5705</v>
      </c>
      <c r="E1042" s="531" t="s">
        <v>5727</v>
      </c>
      <c r="F1042" s="228" t="s">
        <v>5951</v>
      </c>
    </row>
    <row r="1043">
      <c r="A1043" s="523" t="s">
        <v>3202</v>
      </c>
      <c r="B1043" s="531" t="s">
        <v>6116</v>
      </c>
      <c r="C1043" s="531" t="s">
        <v>5671</v>
      </c>
      <c r="D1043" s="531" t="s">
        <v>5705</v>
      </c>
      <c r="E1043" s="531" t="s">
        <v>5727</v>
      </c>
      <c r="F1043" s="228" t="s">
        <v>7339</v>
      </c>
    </row>
    <row r="1044">
      <c r="A1044" s="523" t="s">
        <v>7340</v>
      </c>
      <c r="B1044" s="531" t="s">
        <v>6116</v>
      </c>
      <c r="C1044" s="531" t="s">
        <v>7007</v>
      </c>
      <c r="D1044" s="531" t="s">
        <v>5716</v>
      </c>
      <c r="E1044" s="531" t="s">
        <v>5727</v>
      </c>
      <c r="F1044" s="497" t="s">
        <v>3212</v>
      </c>
      <c r="G1044" s="498">
        <v>2.0</v>
      </c>
      <c r="H1044" s="497" t="s">
        <v>5728</v>
      </c>
      <c r="I1044" s="497" t="s">
        <v>2692</v>
      </c>
      <c r="J1044" s="497" t="s">
        <v>7341</v>
      </c>
      <c r="K1044" s="497" t="s">
        <v>5750</v>
      </c>
      <c r="L1044" s="498">
        <v>7.0</v>
      </c>
      <c r="M1044" s="497" t="s">
        <v>5824</v>
      </c>
      <c r="N1044" s="497" t="s">
        <v>7342</v>
      </c>
      <c r="O1044" s="498">
        <v>310.0</v>
      </c>
      <c r="P1044" s="497" t="s">
        <v>7343</v>
      </c>
      <c r="Q1044" s="499"/>
      <c r="R1044" s="500"/>
      <c r="S1044" s="500"/>
      <c r="T1044" s="500"/>
      <c r="U1044" s="500"/>
      <c r="V1044" s="500"/>
      <c r="W1044" s="500"/>
      <c r="X1044" s="500"/>
      <c r="Y1044" s="500"/>
      <c r="Z1044" s="500"/>
      <c r="AA1044" s="500"/>
      <c r="AB1044" s="500"/>
      <c r="AC1044" s="500"/>
      <c r="AD1044" s="500"/>
      <c r="AE1044" s="497"/>
    </row>
    <row r="1045">
      <c r="A1045" s="523" t="s">
        <v>3218</v>
      </c>
      <c r="B1045" s="531" t="s">
        <v>6096</v>
      </c>
      <c r="C1045" s="531" t="s">
        <v>5670</v>
      </c>
      <c r="D1045" s="531" t="s">
        <v>5716</v>
      </c>
      <c r="E1045" s="531" t="s">
        <v>5727</v>
      </c>
      <c r="F1045" s="228" t="s">
        <v>5951</v>
      </c>
    </row>
    <row r="1046">
      <c r="A1046" s="523" t="s">
        <v>3219</v>
      </c>
      <c r="B1046" s="531" t="s">
        <v>6116</v>
      </c>
      <c r="C1046" s="531" t="s">
        <v>5671</v>
      </c>
      <c r="D1046" s="531" t="s">
        <v>5716</v>
      </c>
      <c r="E1046" s="531" t="s">
        <v>5727</v>
      </c>
      <c r="F1046" s="228" t="s">
        <v>5951</v>
      </c>
    </row>
    <row r="1047">
      <c r="A1047" s="523" t="s">
        <v>7344</v>
      </c>
      <c r="B1047" s="531" t="s">
        <v>6482</v>
      </c>
      <c r="C1047" s="531" t="s">
        <v>7007</v>
      </c>
      <c r="D1047" s="531" t="s">
        <v>5716</v>
      </c>
      <c r="E1047" s="531" t="s">
        <v>5727</v>
      </c>
      <c r="F1047" s="497" t="s">
        <v>3221</v>
      </c>
      <c r="G1047" s="498">
        <v>2.0</v>
      </c>
      <c r="H1047" s="497" t="s">
        <v>5728</v>
      </c>
      <c r="I1047" s="497" t="s">
        <v>2715</v>
      </c>
      <c r="J1047" s="497" t="s">
        <v>6203</v>
      </c>
      <c r="K1047" s="497" t="s">
        <v>5750</v>
      </c>
      <c r="L1047" s="498">
        <v>7.0</v>
      </c>
      <c r="M1047" s="497" t="s">
        <v>6415</v>
      </c>
      <c r="N1047" s="497" t="s">
        <v>7345</v>
      </c>
      <c r="O1047" s="498">
        <v>241.0</v>
      </c>
      <c r="P1047" s="497" t="s">
        <v>7346</v>
      </c>
      <c r="Q1047" s="499"/>
      <c r="R1047" s="500"/>
      <c r="S1047" s="500"/>
      <c r="T1047" s="500"/>
      <c r="U1047" s="500"/>
      <c r="V1047" s="500"/>
      <c r="W1047" s="500"/>
      <c r="X1047" s="500"/>
      <c r="Y1047" s="500"/>
      <c r="Z1047" s="500"/>
      <c r="AA1047" s="500"/>
      <c r="AB1047" s="500"/>
      <c r="AC1047" s="500"/>
      <c r="AD1047" s="500"/>
      <c r="AE1047" s="497"/>
    </row>
    <row r="1048">
      <c r="A1048" s="523" t="s">
        <v>3224</v>
      </c>
      <c r="B1048" s="531" t="s">
        <v>6116</v>
      </c>
      <c r="C1048" s="531" t="s">
        <v>5664</v>
      </c>
      <c r="D1048" s="531" t="s">
        <v>5716</v>
      </c>
      <c r="E1048" s="531" t="s">
        <v>5727</v>
      </c>
      <c r="F1048" s="228" t="s">
        <v>5951</v>
      </c>
    </row>
    <row r="1049">
      <c r="A1049" s="523" t="s">
        <v>7347</v>
      </c>
      <c r="B1049" s="531" t="s">
        <v>6116</v>
      </c>
      <c r="C1049" s="531" t="s">
        <v>5657</v>
      </c>
      <c r="D1049" s="531" t="s">
        <v>5716</v>
      </c>
      <c r="E1049" s="531" t="s">
        <v>5727</v>
      </c>
      <c r="F1049" s="497" t="s">
        <v>3229</v>
      </c>
      <c r="G1049" s="498">
        <v>2.0</v>
      </c>
      <c r="H1049" s="497" t="s">
        <v>5728</v>
      </c>
      <c r="I1049" s="497" t="s">
        <v>2692</v>
      </c>
      <c r="J1049" s="497" t="s">
        <v>6899</v>
      </c>
      <c r="K1049" s="497" t="s">
        <v>5711</v>
      </c>
      <c r="L1049" s="498">
        <v>7.0</v>
      </c>
      <c r="M1049" s="497" t="s">
        <v>5763</v>
      </c>
      <c r="N1049" s="497" t="s">
        <v>7348</v>
      </c>
      <c r="O1049" s="498">
        <v>292.0</v>
      </c>
      <c r="P1049" s="497" t="s">
        <v>7349</v>
      </c>
      <c r="Q1049" s="499"/>
      <c r="R1049" s="500"/>
      <c r="S1049" s="500"/>
      <c r="T1049" s="500"/>
      <c r="U1049" s="500"/>
      <c r="V1049" s="500"/>
      <c r="W1049" s="500"/>
      <c r="X1049" s="500"/>
      <c r="Y1049" s="500"/>
      <c r="Z1049" s="500"/>
      <c r="AA1049" s="500"/>
      <c r="AB1049" s="500"/>
      <c r="AC1049" s="500"/>
      <c r="AD1049" s="500"/>
      <c r="AE1049" s="497"/>
    </row>
    <row r="1050">
      <c r="A1050" s="523" t="s">
        <v>7350</v>
      </c>
      <c r="B1050" s="531" t="s">
        <v>6110</v>
      </c>
      <c r="C1050" s="531" t="s">
        <v>5657</v>
      </c>
      <c r="D1050" s="531" t="s">
        <v>7256</v>
      </c>
      <c r="E1050" s="531" t="s">
        <v>5727</v>
      </c>
      <c r="F1050" s="497" t="s">
        <v>3231</v>
      </c>
      <c r="G1050" s="498">
        <v>2.0</v>
      </c>
      <c r="H1050" s="497" t="s">
        <v>5728</v>
      </c>
      <c r="I1050" s="497" t="s">
        <v>2698</v>
      </c>
      <c r="J1050" s="497" t="s">
        <v>6207</v>
      </c>
      <c r="K1050" s="497" t="s">
        <v>5711</v>
      </c>
      <c r="L1050" s="498">
        <v>8.0</v>
      </c>
      <c r="M1050" s="497" t="s">
        <v>5854</v>
      </c>
      <c r="N1050" s="497" t="s">
        <v>7351</v>
      </c>
      <c r="O1050" s="498">
        <v>425.0</v>
      </c>
      <c r="P1050" s="497" t="s">
        <v>7352</v>
      </c>
      <c r="Q1050" s="500"/>
      <c r="R1050" s="500"/>
      <c r="S1050" s="500"/>
      <c r="T1050" s="500"/>
      <c r="U1050" s="500"/>
      <c r="V1050" s="500"/>
      <c r="W1050" s="500"/>
      <c r="X1050" s="500"/>
      <c r="Y1050" s="500"/>
      <c r="Z1050" s="500"/>
      <c r="AA1050" s="500"/>
      <c r="AB1050" s="500"/>
      <c r="AC1050" s="500"/>
      <c r="AD1050" s="500"/>
      <c r="AE1050" s="497"/>
    </row>
    <row r="1051">
      <c r="A1051" s="523" t="s">
        <v>3236</v>
      </c>
      <c r="B1051" s="531" t="s">
        <v>6110</v>
      </c>
      <c r="C1051" s="531" t="s">
        <v>7040</v>
      </c>
      <c r="D1051" s="531" t="s">
        <v>7256</v>
      </c>
      <c r="E1051" s="531" t="s">
        <v>5727</v>
      </c>
      <c r="F1051" s="228" t="s">
        <v>5951</v>
      </c>
    </row>
    <row r="1052">
      <c r="A1052" s="523" t="s">
        <v>7353</v>
      </c>
      <c r="B1052" s="531" t="s">
        <v>6532</v>
      </c>
      <c r="C1052" s="531" t="s">
        <v>7007</v>
      </c>
      <c r="D1052" s="531" t="s">
        <v>7256</v>
      </c>
      <c r="E1052" s="531" t="s">
        <v>5727</v>
      </c>
      <c r="F1052" s="497" t="s">
        <v>3238</v>
      </c>
      <c r="G1052" s="498">
        <v>2.0</v>
      </c>
      <c r="H1052" s="497" t="s">
        <v>5728</v>
      </c>
      <c r="I1052" s="497" t="s">
        <v>2740</v>
      </c>
      <c r="J1052" s="497" t="s">
        <v>6664</v>
      </c>
      <c r="K1052" s="497" t="s">
        <v>5750</v>
      </c>
      <c r="L1052" s="498">
        <v>8.0</v>
      </c>
      <c r="M1052" s="497" t="s">
        <v>5846</v>
      </c>
      <c r="N1052" s="497" t="s">
        <v>7354</v>
      </c>
      <c r="O1052" s="498">
        <v>280.0</v>
      </c>
      <c r="P1052" s="497" t="s">
        <v>7355</v>
      </c>
      <c r="Q1052" s="500"/>
      <c r="R1052" s="500"/>
      <c r="S1052" s="500"/>
      <c r="T1052" s="500"/>
      <c r="U1052" s="500"/>
      <c r="V1052" s="500"/>
      <c r="W1052" s="500"/>
      <c r="X1052" s="500"/>
      <c r="Y1052" s="500"/>
      <c r="Z1052" s="500"/>
      <c r="AA1052" s="500"/>
      <c r="AB1052" s="500"/>
      <c r="AC1052" s="500"/>
      <c r="AD1052" s="500"/>
      <c r="AE1052" s="497"/>
    </row>
    <row r="1053">
      <c r="A1053" s="523" t="s">
        <v>5098</v>
      </c>
      <c r="B1053" s="531" t="s">
        <v>6096</v>
      </c>
      <c r="C1053" s="531" t="s">
        <v>5657</v>
      </c>
      <c r="D1053" s="531" t="s">
        <v>7256</v>
      </c>
      <c r="E1053" s="531" t="s">
        <v>5727</v>
      </c>
      <c r="F1053" s="497" t="s">
        <v>3240</v>
      </c>
      <c r="G1053" s="498">
        <v>2.0</v>
      </c>
      <c r="H1053" s="497" t="s">
        <v>5728</v>
      </c>
      <c r="I1053" s="497" t="s">
        <v>2709</v>
      </c>
      <c r="J1053" s="497" t="s">
        <v>7356</v>
      </c>
      <c r="K1053" s="497" t="s">
        <v>5711</v>
      </c>
      <c r="L1053" s="498">
        <v>8.0</v>
      </c>
      <c r="M1053" s="497" t="s">
        <v>7260</v>
      </c>
      <c r="N1053" s="497" t="s">
        <v>7357</v>
      </c>
      <c r="O1053" s="498">
        <v>374.0</v>
      </c>
      <c r="P1053" s="497" t="s">
        <v>7358</v>
      </c>
      <c r="Q1053" s="499"/>
      <c r="R1053" s="500"/>
      <c r="S1053" s="500"/>
      <c r="T1053" s="500"/>
      <c r="U1053" s="500"/>
      <c r="V1053" s="500"/>
      <c r="W1053" s="500"/>
      <c r="X1053" s="500"/>
      <c r="Y1053" s="500"/>
      <c r="Z1053" s="500"/>
      <c r="AA1053" s="500"/>
      <c r="AB1053" s="500"/>
      <c r="AC1053" s="500"/>
      <c r="AD1053" s="500"/>
      <c r="AE1053" s="497"/>
    </row>
    <row r="1054">
      <c r="A1054" s="523" t="s">
        <v>3242</v>
      </c>
      <c r="B1054" s="531" t="s">
        <v>6109</v>
      </c>
      <c r="C1054" s="531" t="s">
        <v>5664</v>
      </c>
      <c r="D1054" s="531" t="s">
        <v>7256</v>
      </c>
      <c r="E1054" s="531" t="s">
        <v>5727</v>
      </c>
      <c r="F1054" s="228" t="s">
        <v>5951</v>
      </c>
    </row>
    <row r="1055">
      <c r="A1055" s="523" t="s">
        <v>7359</v>
      </c>
      <c r="B1055" s="531" t="s">
        <v>6482</v>
      </c>
      <c r="C1055" s="531" t="s">
        <v>5664</v>
      </c>
      <c r="D1055" s="531" t="s">
        <v>7256</v>
      </c>
      <c r="E1055" s="531" t="s">
        <v>5727</v>
      </c>
      <c r="F1055" s="497" t="s">
        <v>3244</v>
      </c>
      <c r="G1055" s="498">
        <v>2.0</v>
      </c>
      <c r="H1055" s="497" t="s">
        <v>5728</v>
      </c>
      <c r="I1055" s="497" t="s">
        <v>2715</v>
      </c>
      <c r="J1055" s="497" t="s">
        <v>7224</v>
      </c>
      <c r="K1055" s="497" t="s">
        <v>5754</v>
      </c>
      <c r="L1055" s="498">
        <v>8.0</v>
      </c>
      <c r="M1055" s="497" t="s">
        <v>7360</v>
      </c>
      <c r="N1055" s="497" t="s">
        <v>7361</v>
      </c>
      <c r="O1055" s="498">
        <v>183.0</v>
      </c>
      <c r="P1055" s="497" t="s">
        <v>7362</v>
      </c>
      <c r="Q1055" s="499"/>
      <c r="R1055" s="500"/>
      <c r="S1055" s="500"/>
      <c r="T1055" s="500"/>
      <c r="U1055" s="500"/>
      <c r="V1055" s="500"/>
      <c r="W1055" s="500"/>
      <c r="X1055" s="500"/>
      <c r="Y1055" s="500"/>
      <c r="Z1055" s="500"/>
      <c r="AA1055" s="500"/>
      <c r="AB1055" s="500"/>
      <c r="AC1055" s="500"/>
      <c r="AD1055" s="500"/>
      <c r="AE1055" s="497"/>
    </row>
    <row r="1056">
      <c r="A1056" s="523" t="s">
        <v>3248</v>
      </c>
      <c r="B1056" s="531" t="s">
        <v>6110</v>
      </c>
      <c r="C1056" s="531" t="s">
        <v>7007</v>
      </c>
      <c r="D1056" s="531" t="s">
        <v>7256</v>
      </c>
      <c r="E1056" s="531" t="s">
        <v>5727</v>
      </c>
      <c r="F1056" s="228" t="s">
        <v>5951</v>
      </c>
    </row>
    <row r="1057">
      <c r="A1057" s="523" t="s">
        <v>7363</v>
      </c>
      <c r="B1057" s="534" t="s">
        <v>5699</v>
      </c>
      <c r="C1057" s="531" t="s">
        <v>5670</v>
      </c>
      <c r="D1057" s="531" t="s">
        <v>7256</v>
      </c>
      <c r="E1057" s="531" t="s">
        <v>5727</v>
      </c>
      <c r="F1057" s="497" t="s">
        <v>3253</v>
      </c>
      <c r="G1057" s="498">
        <v>2.0</v>
      </c>
      <c r="H1057" s="497" t="s">
        <v>5728</v>
      </c>
      <c r="I1057" s="497" t="s">
        <v>2702</v>
      </c>
      <c r="J1057" s="497" t="s">
        <v>7364</v>
      </c>
      <c r="K1057" s="497" t="s">
        <v>5786</v>
      </c>
      <c r="L1057" s="498">
        <v>8.0</v>
      </c>
      <c r="M1057" s="497" t="s">
        <v>6013</v>
      </c>
      <c r="N1057" s="497" t="s">
        <v>7365</v>
      </c>
      <c r="O1057" s="498">
        <v>273.0</v>
      </c>
      <c r="P1057" s="497" t="s">
        <v>7366</v>
      </c>
      <c r="Q1057" s="499"/>
      <c r="R1057" s="500"/>
      <c r="S1057" s="500"/>
      <c r="T1057" s="500"/>
      <c r="U1057" s="500"/>
      <c r="V1057" s="500"/>
      <c r="W1057" s="500"/>
      <c r="X1057" s="500"/>
      <c r="Y1057" s="500"/>
      <c r="Z1057" s="500"/>
      <c r="AA1057" s="500"/>
      <c r="AB1057" s="500"/>
      <c r="AC1057" s="500"/>
      <c r="AD1057" s="500"/>
      <c r="AE1057" s="497"/>
    </row>
    <row r="1058">
      <c r="A1058" s="523" t="s">
        <v>3265</v>
      </c>
      <c r="B1058" s="531" t="s">
        <v>6112</v>
      </c>
      <c r="C1058" s="531" t="s">
        <v>5664</v>
      </c>
      <c r="D1058" s="531" t="s">
        <v>5719</v>
      </c>
      <c r="E1058" s="531" t="s">
        <v>5727</v>
      </c>
      <c r="F1058" s="228" t="s">
        <v>5951</v>
      </c>
    </row>
    <row r="1059">
      <c r="A1059" s="523" t="s">
        <v>3269</v>
      </c>
      <c r="B1059" s="531" t="s">
        <v>6488</v>
      </c>
      <c r="C1059" s="531" t="s">
        <v>5671</v>
      </c>
      <c r="D1059" s="531" t="s">
        <v>5725</v>
      </c>
      <c r="E1059" s="531" t="s">
        <v>5727</v>
      </c>
      <c r="F1059" s="228" t="s">
        <v>5951</v>
      </c>
    </row>
    <row r="1060">
      <c r="A1060" s="523" t="s">
        <v>3271</v>
      </c>
      <c r="B1060" s="531" t="s">
        <v>6109</v>
      </c>
      <c r="C1060" s="531" t="s">
        <v>5682</v>
      </c>
      <c r="D1060" s="531" t="s">
        <v>5725</v>
      </c>
      <c r="E1060" s="531" t="s">
        <v>5727</v>
      </c>
      <c r="F1060" s="228" t="s">
        <v>5951</v>
      </c>
    </row>
    <row r="1061">
      <c r="A1061" s="523" t="s">
        <v>3272</v>
      </c>
      <c r="B1061" s="531" t="s">
        <v>6096</v>
      </c>
      <c r="C1061" s="531" t="s">
        <v>5682</v>
      </c>
      <c r="D1061" s="531" t="s">
        <v>5725</v>
      </c>
      <c r="E1061" s="531" t="s">
        <v>5727</v>
      </c>
      <c r="F1061" s="228" t="s">
        <v>5951</v>
      </c>
    </row>
    <row r="1062">
      <c r="A1062" s="523" t="s">
        <v>3276</v>
      </c>
      <c r="B1062" s="531" t="s">
        <v>6488</v>
      </c>
      <c r="C1062" s="531" t="s">
        <v>7007</v>
      </c>
      <c r="D1062" s="531" t="s">
        <v>5725</v>
      </c>
      <c r="E1062" s="531" t="s">
        <v>5727</v>
      </c>
      <c r="F1062" s="228" t="s">
        <v>5951</v>
      </c>
    </row>
    <row r="1063">
      <c r="A1063" s="523" t="s">
        <v>7367</v>
      </c>
      <c r="B1063" s="531" t="s">
        <v>2724</v>
      </c>
      <c r="C1063" s="531" t="s">
        <v>5657</v>
      </c>
      <c r="D1063" s="531" t="s">
        <v>5725</v>
      </c>
      <c r="E1063" s="531" t="s">
        <v>5727</v>
      </c>
      <c r="F1063" s="497" t="s">
        <v>675</v>
      </c>
      <c r="G1063" s="498">
        <v>2.0</v>
      </c>
      <c r="H1063" s="497" t="s">
        <v>5728</v>
      </c>
      <c r="I1063" s="497" t="s">
        <v>2724</v>
      </c>
      <c r="J1063" s="497" t="s">
        <v>6238</v>
      </c>
      <c r="K1063" s="497" t="s">
        <v>5711</v>
      </c>
      <c r="L1063" s="498">
        <v>9.0</v>
      </c>
      <c r="M1063" s="497" t="s">
        <v>7368</v>
      </c>
      <c r="N1063" s="497" t="s">
        <v>7369</v>
      </c>
      <c r="O1063" s="498">
        <v>238.0</v>
      </c>
      <c r="P1063" s="497" t="s">
        <v>7370</v>
      </c>
      <c r="Q1063" s="499"/>
      <c r="R1063" s="500"/>
      <c r="S1063" s="500"/>
      <c r="T1063" s="500"/>
      <c r="U1063" s="500"/>
      <c r="V1063" s="500"/>
      <c r="W1063" s="500"/>
      <c r="X1063" s="500"/>
      <c r="Y1063" s="500"/>
      <c r="Z1063" s="500"/>
      <c r="AA1063" s="500"/>
      <c r="AB1063" s="500"/>
      <c r="AC1063" s="500"/>
      <c r="AD1063" s="500"/>
      <c r="AE1063" s="497"/>
    </row>
    <row r="1064">
      <c r="A1064" s="528" t="s">
        <v>4541</v>
      </c>
      <c r="B1064" s="531" t="s">
        <v>6110</v>
      </c>
      <c r="C1064" s="531" t="s">
        <v>7007</v>
      </c>
      <c r="D1064" s="531" t="s">
        <v>5683</v>
      </c>
      <c r="E1064" s="531" t="s">
        <v>6795</v>
      </c>
      <c r="F1064" s="228" t="s">
        <v>5700</v>
      </c>
    </row>
    <row r="1065">
      <c r="A1065" s="528" t="s">
        <v>7371</v>
      </c>
      <c r="B1065" s="531" t="s">
        <v>6110</v>
      </c>
      <c r="C1065" s="531" t="s">
        <v>6489</v>
      </c>
      <c r="D1065" s="531" t="s">
        <v>7088</v>
      </c>
      <c r="E1065" s="531" t="s">
        <v>6795</v>
      </c>
      <c r="F1065" s="497" t="s">
        <v>4564</v>
      </c>
      <c r="G1065" s="498">
        <v>2.0</v>
      </c>
      <c r="H1065" s="497" t="s">
        <v>6647</v>
      </c>
      <c r="I1065" s="497" t="s">
        <v>2698</v>
      </c>
      <c r="J1065" s="497" t="s">
        <v>5982</v>
      </c>
      <c r="K1065" s="497" t="s">
        <v>5754</v>
      </c>
      <c r="L1065" s="498">
        <v>4.0</v>
      </c>
      <c r="M1065" s="497" t="s">
        <v>5824</v>
      </c>
      <c r="N1065" s="497" t="s">
        <v>7372</v>
      </c>
      <c r="O1065" s="498">
        <v>534.0</v>
      </c>
      <c r="P1065" s="497" t="s">
        <v>7373</v>
      </c>
      <c r="Q1065" s="499"/>
      <c r="R1065" s="500"/>
      <c r="S1065" s="500"/>
      <c r="T1065" s="500"/>
      <c r="U1065" s="500"/>
      <c r="V1065" s="500"/>
      <c r="W1065" s="500"/>
      <c r="X1065" s="500"/>
      <c r="Y1065" s="500"/>
      <c r="Z1065" s="500"/>
      <c r="AA1065" s="500"/>
      <c r="AB1065" s="500"/>
      <c r="AC1065" s="500"/>
      <c r="AD1065" s="500"/>
      <c r="AE1065" s="497"/>
    </row>
    <row r="1066">
      <c r="A1066" s="528" t="s">
        <v>7374</v>
      </c>
      <c r="B1066" s="531" t="s">
        <v>6116</v>
      </c>
      <c r="C1066" s="531" t="s">
        <v>5670</v>
      </c>
      <c r="D1066" s="531" t="s">
        <v>5692</v>
      </c>
      <c r="E1066" s="531" t="s">
        <v>6795</v>
      </c>
      <c r="F1066" s="497" t="s">
        <v>4573</v>
      </c>
      <c r="G1066" s="498">
        <v>2.0</v>
      </c>
      <c r="H1066" s="497" t="s">
        <v>6647</v>
      </c>
      <c r="I1066" s="497" t="s">
        <v>2692</v>
      </c>
      <c r="J1066" s="497" t="s">
        <v>5953</v>
      </c>
      <c r="K1066" s="497" t="s">
        <v>5786</v>
      </c>
      <c r="L1066" s="498">
        <v>5.0</v>
      </c>
      <c r="M1066" s="497" t="s">
        <v>7157</v>
      </c>
      <c r="N1066" s="497" t="s">
        <v>7375</v>
      </c>
      <c r="O1066" s="498">
        <v>308.0</v>
      </c>
      <c r="P1066" s="497" t="s">
        <v>7376</v>
      </c>
      <c r="Q1066" s="499"/>
      <c r="R1066" s="500"/>
      <c r="S1066" s="500"/>
      <c r="T1066" s="500"/>
      <c r="U1066" s="500"/>
      <c r="V1066" s="500"/>
      <c r="W1066" s="500"/>
      <c r="X1066" s="500"/>
      <c r="Y1066" s="500"/>
      <c r="Z1066" s="500"/>
      <c r="AA1066" s="500"/>
      <c r="AB1066" s="500"/>
      <c r="AC1066" s="500"/>
      <c r="AD1066" s="500"/>
      <c r="AE1066" s="497"/>
    </row>
    <row r="1067">
      <c r="A1067" s="528" t="s">
        <v>7377</v>
      </c>
      <c r="B1067" s="531" t="s">
        <v>6112</v>
      </c>
      <c r="C1067" s="531" t="s">
        <v>5670</v>
      </c>
      <c r="D1067" s="531" t="s">
        <v>5692</v>
      </c>
      <c r="E1067" s="531" t="s">
        <v>6795</v>
      </c>
      <c r="F1067" s="497" t="s">
        <v>4576</v>
      </c>
      <c r="G1067" s="498">
        <v>2.0</v>
      </c>
      <c r="H1067" s="497" t="s">
        <v>6647</v>
      </c>
      <c r="I1067" s="497" t="s">
        <v>2707</v>
      </c>
      <c r="J1067" s="497" t="s">
        <v>7378</v>
      </c>
      <c r="K1067" s="497" t="s">
        <v>5786</v>
      </c>
      <c r="L1067" s="498">
        <v>5.0</v>
      </c>
      <c r="M1067" s="497" t="s">
        <v>5993</v>
      </c>
      <c r="N1067" s="497" t="s">
        <v>7379</v>
      </c>
      <c r="O1067" s="498">
        <v>338.0</v>
      </c>
      <c r="P1067" s="497" t="s">
        <v>7380</v>
      </c>
      <c r="Q1067" s="499"/>
      <c r="R1067" s="500"/>
      <c r="S1067" s="500"/>
      <c r="T1067" s="500"/>
      <c r="U1067" s="500"/>
      <c r="V1067" s="500"/>
      <c r="W1067" s="500"/>
      <c r="X1067" s="500"/>
      <c r="Y1067" s="500"/>
      <c r="Z1067" s="500"/>
      <c r="AA1067" s="500"/>
      <c r="AB1067" s="500"/>
      <c r="AC1067" s="500"/>
      <c r="AD1067" s="500"/>
      <c r="AE1067" s="497"/>
    </row>
    <row r="1068">
      <c r="A1068" s="528" t="s">
        <v>7381</v>
      </c>
      <c r="B1068" s="531" t="s">
        <v>6116</v>
      </c>
      <c r="C1068" s="531" t="s">
        <v>7007</v>
      </c>
      <c r="D1068" s="531" t="s">
        <v>5692</v>
      </c>
      <c r="E1068" s="531" t="s">
        <v>6795</v>
      </c>
      <c r="F1068" s="497" t="s">
        <v>4580</v>
      </c>
      <c r="G1068" s="498">
        <v>2.0</v>
      </c>
      <c r="H1068" s="497" t="s">
        <v>6647</v>
      </c>
      <c r="I1068" s="497" t="s">
        <v>2692</v>
      </c>
      <c r="J1068" s="497" t="s">
        <v>6584</v>
      </c>
      <c r="K1068" s="497" t="s">
        <v>5750</v>
      </c>
      <c r="L1068" s="498">
        <v>5.0</v>
      </c>
      <c r="M1068" s="497" t="s">
        <v>5970</v>
      </c>
      <c r="N1068" s="497" t="s">
        <v>7382</v>
      </c>
      <c r="O1068" s="498">
        <v>290.0</v>
      </c>
      <c r="P1068" s="497" t="s">
        <v>7383</v>
      </c>
      <c r="Q1068" s="499"/>
      <c r="R1068" s="500"/>
      <c r="S1068" s="500"/>
      <c r="T1068" s="500"/>
      <c r="U1068" s="500"/>
      <c r="V1068" s="500"/>
      <c r="W1068" s="500"/>
      <c r="X1068" s="500"/>
      <c r="Y1068" s="500"/>
      <c r="Z1068" s="500"/>
      <c r="AA1068" s="500"/>
      <c r="AB1068" s="500"/>
      <c r="AC1068" s="500"/>
      <c r="AD1068" s="500"/>
      <c r="AE1068" s="497"/>
    </row>
    <row r="1069">
      <c r="A1069" s="528" t="s">
        <v>7384</v>
      </c>
      <c r="B1069" s="531" t="s">
        <v>6096</v>
      </c>
      <c r="C1069" s="531" t="s">
        <v>7007</v>
      </c>
      <c r="D1069" s="531" t="s">
        <v>5692</v>
      </c>
      <c r="E1069" s="531" t="s">
        <v>6795</v>
      </c>
      <c r="F1069" s="497" t="s">
        <v>4582</v>
      </c>
      <c r="G1069" s="498">
        <v>2.0</v>
      </c>
      <c r="H1069" s="497" t="s">
        <v>6647</v>
      </c>
      <c r="I1069" s="497" t="s">
        <v>2709</v>
      </c>
      <c r="J1069" s="497" t="s">
        <v>6495</v>
      </c>
      <c r="K1069" s="497" t="s">
        <v>5750</v>
      </c>
      <c r="L1069" s="498">
        <v>5.0</v>
      </c>
      <c r="M1069" s="497" t="s">
        <v>5893</v>
      </c>
      <c r="N1069" s="497" t="s">
        <v>7385</v>
      </c>
      <c r="O1069" s="498">
        <v>361.0</v>
      </c>
      <c r="P1069" s="497" t="s">
        <v>7386</v>
      </c>
      <c r="Q1069" s="499"/>
      <c r="R1069" s="500"/>
      <c r="S1069" s="500"/>
      <c r="T1069" s="500"/>
      <c r="U1069" s="500"/>
      <c r="V1069" s="500"/>
      <c r="W1069" s="500"/>
      <c r="X1069" s="500"/>
      <c r="Y1069" s="500"/>
      <c r="Z1069" s="500"/>
      <c r="AA1069" s="500"/>
      <c r="AB1069" s="500"/>
      <c r="AC1069" s="500"/>
      <c r="AD1069" s="500"/>
      <c r="AE1069" s="497"/>
    </row>
    <row r="1070">
      <c r="A1070" s="528" t="s">
        <v>7387</v>
      </c>
      <c r="B1070" s="531" t="s">
        <v>6482</v>
      </c>
      <c r="C1070" s="531" t="s">
        <v>7007</v>
      </c>
      <c r="D1070" s="531" t="s">
        <v>5705</v>
      </c>
      <c r="E1070" s="531" t="s">
        <v>6795</v>
      </c>
      <c r="F1070" s="497" t="s">
        <v>4588</v>
      </c>
      <c r="G1070" s="498">
        <v>2.0</v>
      </c>
      <c r="H1070" s="497" t="s">
        <v>6647</v>
      </c>
      <c r="I1070" s="497" t="s">
        <v>2715</v>
      </c>
      <c r="J1070" s="497" t="s">
        <v>6876</v>
      </c>
      <c r="K1070" s="497" t="s">
        <v>5750</v>
      </c>
      <c r="L1070" s="498">
        <v>6.0</v>
      </c>
      <c r="M1070" s="497" t="s">
        <v>5886</v>
      </c>
      <c r="N1070" s="497" t="s">
        <v>7388</v>
      </c>
      <c r="O1070" s="498">
        <v>122.0</v>
      </c>
      <c r="P1070" s="497" t="s">
        <v>7389</v>
      </c>
      <c r="Q1070" s="499"/>
      <c r="R1070" s="500"/>
      <c r="S1070" s="500"/>
      <c r="T1070" s="500"/>
      <c r="U1070" s="500"/>
      <c r="V1070" s="500"/>
      <c r="W1070" s="500"/>
      <c r="X1070" s="500"/>
      <c r="Y1070" s="500"/>
      <c r="Z1070" s="500"/>
      <c r="AA1070" s="500"/>
      <c r="AB1070" s="500"/>
      <c r="AC1070" s="500"/>
      <c r="AD1070" s="500"/>
      <c r="AE1070" s="497"/>
    </row>
    <row r="1071">
      <c r="A1071" s="528" t="s">
        <v>7390</v>
      </c>
      <c r="B1071" s="531" t="s">
        <v>6488</v>
      </c>
      <c r="C1071" s="531" t="s">
        <v>5657</v>
      </c>
      <c r="D1071" s="531" t="s">
        <v>5705</v>
      </c>
      <c r="E1071" s="531" t="s">
        <v>6795</v>
      </c>
      <c r="F1071" s="497" t="s">
        <v>4597</v>
      </c>
      <c r="G1071" s="498">
        <v>2.0</v>
      </c>
      <c r="H1071" s="497" t="s">
        <v>6647</v>
      </c>
      <c r="I1071" s="497" t="s">
        <v>2704</v>
      </c>
      <c r="J1071" s="497" t="s">
        <v>7220</v>
      </c>
      <c r="K1071" s="497" t="s">
        <v>5711</v>
      </c>
      <c r="L1071" s="498">
        <v>6.0</v>
      </c>
      <c r="M1071" s="497" t="s">
        <v>7391</v>
      </c>
      <c r="N1071" s="497" t="s">
        <v>7392</v>
      </c>
      <c r="O1071" s="498">
        <v>637.0</v>
      </c>
      <c r="P1071" s="497" t="s">
        <v>7393</v>
      </c>
      <c r="Q1071" s="499"/>
      <c r="R1071" s="500"/>
      <c r="S1071" s="500"/>
      <c r="T1071" s="500"/>
      <c r="U1071" s="500"/>
      <c r="V1071" s="500"/>
      <c r="W1071" s="500"/>
      <c r="X1071" s="500"/>
      <c r="Y1071" s="500"/>
      <c r="Z1071" s="500"/>
      <c r="AA1071" s="500"/>
      <c r="AB1071" s="500"/>
      <c r="AC1071" s="500"/>
      <c r="AD1071" s="500"/>
      <c r="AE1071" s="497"/>
    </row>
    <row r="1072">
      <c r="A1072" s="528" t="s">
        <v>7394</v>
      </c>
      <c r="B1072" s="531" t="s">
        <v>6096</v>
      </c>
      <c r="C1072" s="531" t="s">
        <v>5682</v>
      </c>
      <c r="D1072" s="531" t="s">
        <v>5705</v>
      </c>
      <c r="E1072" s="531" t="s">
        <v>6795</v>
      </c>
      <c r="F1072" s="497" t="s">
        <v>4606</v>
      </c>
      <c r="G1072" s="498">
        <v>2.0</v>
      </c>
      <c r="H1072" s="497" t="s">
        <v>6647</v>
      </c>
      <c r="I1072" s="497" t="s">
        <v>2709</v>
      </c>
      <c r="J1072" s="497" t="s">
        <v>1335</v>
      </c>
      <c r="K1072" s="497" t="s">
        <v>5721</v>
      </c>
      <c r="L1072" s="498">
        <v>6.0</v>
      </c>
      <c r="M1072" s="497" t="s">
        <v>6097</v>
      </c>
      <c r="N1072" s="497" t="s">
        <v>7395</v>
      </c>
      <c r="O1072" s="498">
        <v>170.0</v>
      </c>
      <c r="P1072" s="497" t="s">
        <v>7396</v>
      </c>
      <c r="Q1072" s="499"/>
      <c r="R1072" s="500"/>
      <c r="S1072" s="500"/>
      <c r="T1072" s="500"/>
      <c r="U1072" s="500"/>
      <c r="V1072" s="500"/>
      <c r="W1072" s="500"/>
      <c r="X1072" s="500"/>
      <c r="Y1072" s="500"/>
      <c r="Z1072" s="500"/>
      <c r="AA1072" s="500"/>
      <c r="AB1072" s="500"/>
      <c r="AC1072" s="500"/>
      <c r="AD1072" s="500"/>
      <c r="AE1072" s="497"/>
    </row>
    <row r="1073">
      <c r="A1073" s="528" t="s">
        <v>7397</v>
      </c>
      <c r="B1073" s="531" t="s">
        <v>6482</v>
      </c>
      <c r="C1073" s="531" t="s">
        <v>7007</v>
      </c>
      <c r="D1073" s="531" t="s">
        <v>5716</v>
      </c>
      <c r="E1073" s="531" t="s">
        <v>6795</v>
      </c>
      <c r="F1073" s="497" t="s">
        <v>4617</v>
      </c>
      <c r="G1073" s="498">
        <v>2.0</v>
      </c>
      <c r="H1073" s="497" t="s">
        <v>6647</v>
      </c>
      <c r="I1073" s="497" t="s">
        <v>2715</v>
      </c>
      <c r="J1073" s="497" t="s">
        <v>6035</v>
      </c>
      <c r="K1073" s="497" t="s">
        <v>5750</v>
      </c>
      <c r="L1073" s="498">
        <v>7.0</v>
      </c>
      <c r="M1073" s="497" t="s">
        <v>7398</v>
      </c>
      <c r="N1073" s="497" t="s">
        <v>7399</v>
      </c>
      <c r="O1073" s="498">
        <v>127.0</v>
      </c>
      <c r="P1073" s="497" t="s">
        <v>7400</v>
      </c>
      <c r="Q1073" s="499"/>
      <c r="R1073" s="500"/>
      <c r="S1073" s="500"/>
      <c r="T1073" s="500"/>
      <c r="U1073" s="500"/>
      <c r="V1073" s="500"/>
      <c r="W1073" s="500"/>
      <c r="X1073" s="500"/>
      <c r="Y1073" s="500"/>
      <c r="Z1073" s="500"/>
      <c r="AA1073" s="500"/>
      <c r="AB1073" s="500"/>
      <c r="AC1073" s="500"/>
      <c r="AD1073" s="500"/>
      <c r="AE1073" s="497"/>
    </row>
    <row r="1074">
      <c r="A1074" s="528" t="s">
        <v>7401</v>
      </c>
      <c r="B1074" s="531" t="s">
        <v>6110</v>
      </c>
      <c r="C1074" s="531" t="s">
        <v>5657</v>
      </c>
      <c r="D1074" s="531" t="s">
        <v>5716</v>
      </c>
      <c r="E1074" s="531" t="s">
        <v>6795</v>
      </c>
      <c r="F1074" s="497" t="s">
        <v>4624</v>
      </c>
      <c r="G1074" s="498">
        <v>2.0</v>
      </c>
      <c r="H1074" s="497" t="s">
        <v>6647</v>
      </c>
      <c r="I1074" s="497" t="s">
        <v>2698</v>
      </c>
      <c r="J1074" s="497" t="s">
        <v>1399</v>
      </c>
      <c r="K1074" s="497" t="s">
        <v>5711</v>
      </c>
      <c r="L1074" s="498">
        <v>8.0</v>
      </c>
      <c r="M1074" s="497" t="s">
        <v>5854</v>
      </c>
      <c r="N1074" s="497" t="s">
        <v>7402</v>
      </c>
      <c r="O1074" s="498">
        <v>289.0</v>
      </c>
      <c r="P1074" s="497" t="s">
        <v>7403</v>
      </c>
      <c r="Q1074" s="500"/>
      <c r="R1074" s="500"/>
      <c r="S1074" s="500"/>
      <c r="T1074" s="500"/>
      <c r="U1074" s="500"/>
      <c r="V1074" s="500"/>
      <c r="W1074" s="500"/>
      <c r="X1074" s="500"/>
      <c r="Y1074" s="500"/>
      <c r="Z1074" s="500"/>
      <c r="AA1074" s="500"/>
      <c r="AB1074" s="500"/>
      <c r="AC1074" s="500"/>
      <c r="AD1074" s="500"/>
      <c r="AE1074" s="497"/>
    </row>
    <row r="1075">
      <c r="A1075" s="528" t="s">
        <v>7404</v>
      </c>
      <c r="B1075" s="531" t="s">
        <v>6096</v>
      </c>
      <c r="C1075" s="531" t="s">
        <v>7040</v>
      </c>
      <c r="D1075" s="531" t="s">
        <v>5716</v>
      </c>
      <c r="E1075" s="531" t="s">
        <v>6795</v>
      </c>
      <c r="F1075" s="497" t="s">
        <v>4627</v>
      </c>
      <c r="G1075" s="498">
        <v>2.0</v>
      </c>
      <c r="H1075" s="497" t="s">
        <v>6647</v>
      </c>
      <c r="I1075" s="497" t="s">
        <v>2709</v>
      </c>
      <c r="J1075" s="497" t="s">
        <v>1361</v>
      </c>
      <c r="K1075" s="497" t="s">
        <v>5734</v>
      </c>
      <c r="L1075" s="498">
        <v>7.0</v>
      </c>
      <c r="M1075" s="497" t="s">
        <v>5722</v>
      </c>
      <c r="N1075" s="497" t="s">
        <v>7405</v>
      </c>
      <c r="O1075" s="498">
        <v>281.0</v>
      </c>
      <c r="P1075" s="497" t="s">
        <v>7406</v>
      </c>
      <c r="Q1075" s="499"/>
      <c r="R1075" s="500"/>
      <c r="S1075" s="500"/>
      <c r="T1075" s="500"/>
      <c r="U1075" s="500"/>
      <c r="V1075" s="500"/>
      <c r="W1075" s="500"/>
      <c r="X1075" s="500"/>
      <c r="Y1075" s="500"/>
      <c r="Z1075" s="500"/>
      <c r="AA1075" s="500"/>
      <c r="AB1075" s="500"/>
      <c r="AC1075" s="500"/>
      <c r="AD1075" s="500"/>
      <c r="AE1075" s="497"/>
    </row>
    <row r="1076" ht="18.75" customHeight="1">
      <c r="A1076" s="528" t="s">
        <v>7407</v>
      </c>
      <c r="B1076" s="531" t="s">
        <v>6116</v>
      </c>
      <c r="C1076" s="531" t="s">
        <v>5657</v>
      </c>
      <c r="D1076" s="531" t="s">
        <v>5716</v>
      </c>
      <c r="E1076" s="531" t="s">
        <v>6795</v>
      </c>
      <c r="F1076" s="497" t="s">
        <v>4629</v>
      </c>
      <c r="G1076" s="498">
        <v>2.0</v>
      </c>
      <c r="H1076" s="497" t="s">
        <v>6647</v>
      </c>
      <c r="I1076" s="497" t="s">
        <v>2692</v>
      </c>
      <c r="J1076" s="497" t="s">
        <v>7408</v>
      </c>
      <c r="K1076" s="497" t="s">
        <v>5711</v>
      </c>
      <c r="L1076" s="498">
        <v>7.0</v>
      </c>
      <c r="M1076" s="497" t="s">
        <v>5763</v>
      </c>
      <c r="N1076" s="497" t="s">
        <v>7409</v>
      </c>
      <c r="O1076" s="498">
        <v>211.0</v>
      </c>
      <c r="P1076" s="497" t="s">
        <v>7410</v>
      </c>
      <c r="Q1076" s="499" t="s">
        <v>7411</v>
      </c>
      <c r="R1076" s="500"/>
      <c r="S1076" s="500"/>
      <c r="T1076" s="500"/>
      <c r="U1076" s="500"/>
      <c r="V1076" s="500"/>
      <c r="W1076" s="500"/>
      <c r="X1076" s="500"/>
      <c r="Y1076" s="500"/>
      <c r="Z1076" s="500"/>
      <c r="AA1076" s="500"/>
      <c r="AB1076" s="500"/>
      <c r="AC1076" s="500"/>
      <c r="AD1076" s="500"/>
      <c r="AE1076" s="497"/>
    </row>
    <row r="1077">
      <c r="A1077" s="528" t="s">
        <v>7412</v>
      </c>
      <c r="B1077" s="531" t="s">
        <v>6110</v>
      </c>
      <c r="C1077" s="531" t="s">
        <v>5682</v>
      </c>
      <c r="D1077" s="531" t="s">
        <v>5719</v>
      </c>
      <c r="E1077" s="531" t="s">
        <v>6795</v>
      </c>
      <c r="F1077" s="497" t="s">
        <v>4634</v>
      </c>
      <c r="G1077" s="498">
        <v>2.0</v>
      </c>
      <c r="H1077" s="497" t="s">
        <v>6647</v>
      </c>
      <c r="I1077" s="497" t="s">
        <v>2698</v>
      </c>
      <c r="J1077" s="497" t="s">
        <v>6223</v>
      </c>
      <c r="K1077" s="497" t="s">
        <v>5721</v>
      </c>
      <c r="L1077" s="498">
        <v>8.0</v>
      </c>
      <c r="M1077" s="497" t="s">
        <v>5790</v>
      </c>
      <c r="N1077" s="497" t="s">
        <v>7413</v>
      </c>
      <c r="O1077" s="498">
        <v>245.0</v>
      </c>
      <c r="P1077" s="497" t="s">
        <v>7414</v>
      </c>
      <c r="Q1077" s="499"/>
      <c r="R1077" s="500"/>
      <c r="S1077" s="500"/>
      <c r="T1077" s="500"/>
      <c r="U1077" s="500"/>
      <c r="V1077" s="500"/>
      <c r="W1077" s="500"/>
      <c r="X1077" s="500"/>
      <c r="Y1077" s="500"/>
      <c r="Z1077" s="500"/>
      <c r="AA1077" s="500"/>
      <c r="AB1077" s="500"/>
      <c r="AC1077" s="500"/>
      <c r="AD1077" s="500"/>
      <c r="AE1077" s="497"/>
    </row>
    <row r="1078">
      <c r="A1078" s="528" t="s">
        <v>7415</v>
      </c>
      <c r="B1078" s="531" t="s">
        <v>6109</v>
      </c>
      <c r="C1078" s="531" t="s">
        <v>5682</v>
      </c>
      <c r="D1078" s="531" t="s">
        <v>5719</v>
      </c>
      <c r="E1078" s="531" t="s">
        <v>6795</v>
      </c>
      <c r="F1078" s="497" t="s">
        <v>4638</v>
      </c>
      <c r="G1078" s="498">
        <v>2.0</v>
      </c>
      <c r="H1078" s="497" t="s">
        <v>6647</v>
      </c>
      <c r="I1078" s="497" t="s">
        <v>2695</v>
      </c>
      <c r="J1078" s="497" t="s">
        <v>7416</v>
      </c>
      <c r="K1078" s="497" t="s">
        <v>5721</v>
      </c>
      <c r="L1078" s="498">
        <v>8.0</v>
      </c>
      <c r="M1078" s="497" t="s">
        <v>5722</v>
      </c>
      <c r="N1078" s="497" t="s">
        <v>7417</v>
      </c>
      <c r="O1078" s="498">
        <v>666.0</v>
      </c>
      <c r="P1078" s="497" t="s">
        <v>7418</v>
      </c>
      <c r="Q1078" s="500"/>
      <c r="R1078" s="500"/>
      <c r="S1078" s="500"/>
      <c r="T1078" s="500"/>
      <c r="U1078" s="500"/>
      <c r="V1078" s="500"/>
      <c r="W1078" s="500"/>
      <c r="X1078" s="500"/>
      <c r="Y1078" s="500"/>
      <c r="Z1078" s="500"/>
      <c r="AA1078" s="500"/>
      <c r="AB1078" s="500"/>
      <c r="AC1078" s="500"/>
      <c r="AD1078" s="500"/>
      <c r="AE1078" s="497"/>
    </row>
    <row r="1079">
      <c r="A1079" s="528" t="s">
        <v>4640</v>
      </c>
      <c r="B1079" s="531" t="s">
        <v>6109</v>
      </c>
      <c r="C1079" s="531" t="s">
        <v>5682</v>
      </c>
      <c r="D1079" s="531" t="s">
        <v>5719</v>
      </c>
      <c r="E1079" s="531" t="s">
        <v>6795</v>
      </c>
      <c r="F1079" s="228" t="s">
        <v>5951</v>
      </c>
    </row>
    <row r="1080">
      <c r="A1080" s="528" t="s">
        <v>7419</v>
      </c>
      <c r="B1080" s="531" t="s">
        <v>6116</v>
      </c>
      <c r="C1080" s="531" t="s">
        <v>5657</v>
      </c>
      <c r="D1080" s="531" t="s">
        <v>5719</v>
      </c>
      <c r="E1080" s="531" t="s">
        <v>6795</v>
      </c>
      <c r="F1080" s="516" t="s">
        <v>4641</v>
      </c>
      <c r="G1080" s="498">
        <v>2.0</v>
      </c>
      <c r="H1080" s="497" t="s">
        <v>6647</v>
      </c>
      <c r="I1080" s="497" t="s">
        <v>2698</v>
      </c>
      <c r="J1080" s="497" t="s">
        <v>6207</v>
      </c>
      <c r="K1080" s="497" t="s">
        <v>5711</v>
      </c>
      <c r="L1080" s="498">
        <v>8.0</v>
      </c>
      <c r="M1080" s="497" t="s">
        <v>5824</v>
      </c>
      <c r="N1080" s="497" t="s">
        <v>7420</v>
      </c>
      <c r="O1080" s="498">
        <v>226.0</v>
      </c>
      <c r="P1080" s="497" t="s">
        <v>7421</v>
      </c>
      <c r="Q1080" s="499"/>
      <c r="R1080" s="500"/>
      <c r="S1080" s="500"/>
      <c r="T1080" s="500"/>
      <c r="U1080" s="500"/>
      <c r="V1080" s="500"/>
      <c r="W1080" s="500"/>
      <c r="X1080" s="500"/>
      <c r="Y1080" s="500"/>
      <c r="Z1080" s="500"/>
      <c r="AA1080" s="500"/>
      <c r="AB1080" s="500"/>
      <c r="AC1080" s="500"/>
      <c r="AD1080" s="500"/>
      <c r="AE1080" s="497"/>
    </row>
    <row r="1081">
      <c r="A1081" s="528" t="s">
        <v>7422</v>
      </c>
      <c r="B1081" s="531" t="s">
        <v>6116</v>
      </c>
      <c r="C1081" s="531" t="s">
        <v>5671</v>
      </c>
      <c r="D1081" s="531" t="s">
        <v>5719</v>
      </c>
      <c r="E1081" s="531" t="s">
        <v>6795</v>
      </c>
      <c r="F1081" s="497" t="s">
        <v>4643</v>
      </c>
      <c r="G1081" s="498">
        <v>2.0</v>
      </c>
      <c r="H1081" s="497" t="s">
        <v>6647</v>
      </c>
      <c r="I1081" s="497" t="s">
        <v>2692</v>
      </c>
      <c r="J1081" s="497" t="s">
        <v>6803</v>
      </c>
      <c r="K1081" s="497" t="s">
        <v>5729</v>
      </c>
      <c r="L1081" s="498">
        <v>8.0</v>
      </c>
      <c r="M1081" s="497" t="s">
        <v>5763</v>
      </c>
      <c r="N1081" s="497" t="s">
        <v>7423</v>
      </c>
      <c r="O1081" s="498">
        <v>871.0</v>
      </c>
      <c r="P1081" s="497" t="s">
        <v>7424</v>
      </c>
      <c r="Q1081" s="499"/>
      <c r="R1081" s="500"/>
      <c r="S1081" s="500"/>
      <c r="T1081" s="500"/>
      <c r="U1081" s="500"/>
      <c r="V1081" s="500"/>
      <c r="W1081" s="500"/>
      <c r="X1081" s="500"/>
      <c r="Y1081" s="500"/>
      <c r="Z1081" s="500"/>
      <c r="AA1081" s="500"/>
      <c r="AB1081" s="500"/>
      <c r="AC1081" s="500"/>
      <c r="AD1081" s="500"/>
      <c r="AE1081" s="497"/>
    </row>
    <row r="1082">
      <c r="A1082" s="528" t="s">
        <v>4646</v>
      </c>
      <c r="B1082" s="531" t="s">
        <v>6112</v>
      </c>
      <c r="C1082" s="531" t="s">
        <v>5671</v>
      </c>
      <c r="D1082" s="531" t="s">
        <v>5719</v>
      </c>
      <c r="E1082" s="531" t="s">
        <v>6795</v>
      </c>
      <c r="F1082" s="228" t="s">
        <v>5951</v>
      </c>
    </row>
    <row r="1083">
      <c r="A1083" s="528" t="s">
        <v>7425</v>
      </c>
      <c r="B1083" s="531" t="s">
        <v>2724</v>
      </c>
      <c r="C1083" s="531" t="s">
        <v>5657</v>
      </c>
      <c r="D1083" s="531" t="s">
        <v>5719</v>
      </c>
      <c r="E1083" s="531" t="s">
        <v>6795</v>
      </c>
      <c r="F1083" s="497" t="s">
        <v>4651</v>
      </c>
      <c r="G1083" s="498">
        <v>2.0</v>
      </c>
      <c r="H1083" s="497" t="s">
        <v>6647</v>
      </c>
      <c r="I1083" s="497" t="s">
        <v>2724</v>
      </c>
      <c r="J1083" s="497" t="s">
        <v>7356</v>
      </c>
      <c r="K1083" s="497" t="s">
        <v>5711</v>
      </c>
      <c r="L1083" s="498">
        <v>8.0</v>
      </c>
      <c r="M1083" s="497" t="s">
        <v>5828</v>
      </c>
      <c r="N1083" s="497" t="s">
        <v>7426</v>
      </c>
      <c r="O1083" s="498">
        <v>251.0</v>
      </c>
      <c r="P1083" s="497" t="s">
        <v>7427</v>
      </c>
      <c r="Q1083" s="500"/>
      <c r="R1083" s="500"/>
      <c r="S1083" s="500"/>
      <c r="T1083" s="500"/>
      <c r="U1083" s="500"/>
      <c r="V1083" s="500"/>
      <c r="W1083" s="500"/>
      <c r="X1083" s="500"/>
      <c r="Y1083" s="500"/>
      <c r="Z1083" s="500"/>
      <c r="AA1083" s="500"/>
      <c r="AB1083" s="500"/>
      <c r="AC1083" s="500"/>
      <c r="AD1083" s="500"/>
      <c r="AE1083" s="497"/>
    </row>
    <row r="1084">
      <c r="A1084" s="528" t="s">
        <v>7428</v>
      </c>
      <c r="B1084" s="531" t="s">
        <v>2724</v>
      </c>
      <c r="C1084" s="531" t="s">
        <v>5671</v>
      </c>
      <c r="D1084" s="531" t="s">
        <v>5725</v>
      </c>
      <c r="E1084" s="531" t="s">
        <v>6795</v>
      </c>
      <c r="F1084" s="497" t="s">
        <v>4660</v>
      </c>
      <c r="G1084" s="498">
        <v>2.0</v>
      </c>
      <c r="H1084" s="497" t="s">
        <v>6647</v>
      </c>
      <c r="I1084" s="497" t="s">
        <v>2724</v>
      </c>
      <c r="J1084" s="497" t="s">
        <v>6147</v>
      </c>
      <c r="K1084" s="497" t="s">
        <v>5729</v>
      </c>
      <c r="L1084" s="498">
        <v>9.0</v>
      </c>
      <c r="M1084" s="497" t="s">
        <v>5828</v>
      </c>
      <c r="N1084" s="497" t="s">
        <v>7429</v>
      </c>
      <c r="O1084" s="498">
        <v>136.0</v>
      </c>
      <c r="P1084" s="497" t="s">
        <v>7430</v>
      </c>
      <c r="Q1084" s="500"/>
      <c r="R1084" s="500"/>
      <c r="S1084" s="500"/>
      <c r="T1084" s="500"/>
      <c r="U1084" s="500"/>
      <c r="V1084" s="500"/>
      <c r="W1084" s="500"/>
      <c r="X1084" s="500"/>
      <c r="Y1084" s="500"/>
      <c r="Z1084" s="500"/>
      <c r="AA1084" s="500"/>
      <c r="AB1084" s="500"/>
      <c r="AC1084" s="500"/>
      <c r="AD1084" s="500"/>
      <c r="AE1084" s="497"/>
    </row>
    <row r="1085">
      <c r="A1085" s="528" t="s">
        <v>326</v>
      </c>
      <c r="B1085" s="531" t="s">
        <v>6482</v>
      </c>
      <c r="C1085" s="531" t="s">
        <v>5671</v>
      </c>
      <c r="D1085" s="531" t="s">
        <v>5725</v>
      </c>
      <c r="E1085" s="531" t="s">
        <v>6795</v>
      </c>
      <c r="F1085" s="497" t="s">
        <v>4668</v>
      </c>
      <c r="G1085" s="498">
        <v>2.0</v>
      </c>
      <c r="H1085" s="497" t="s">
        <v>6647</v>
      </c>
      <c r="I1085" s="497" t="s">
        <v>2715</v>
      </c>
      <c r="J1085" s="497" t="s">
        <v>6147</v>
      </c>
      <c r="K1085" s="497" t="s">
        <v>5729</v>
      </c>
      <c r="L1085" s="498">
        <v>9.0</v>
      </c>
      <c r="M1085" s="497" t="s">
        <v>5993</v>
      </c>
      <c r="N1085" s="497" t="s">
        <v>7431</v>
      </c>
      <c r="O1085" s="498">
        <v>284.0</v>
      </c>
      <c r="P1085" s="497" t="s">
        <v>7432</v>
      </c>
      <c r="Q1085" s="499"/>
      <c r="R1085" s="500"/>
      <c r="S1085" s="500"/>
      <c r="T1085" s="500"/>
      <c r="U1085" s="500"/>
      <c r="V1085" s="500"/>
      <c r="W1085" s="500"/>
      <c r="X1085" s="500"/>
      <c r="Y1085" s="500"/>
      <c r="Z1085" s="500"/>
      <c r="AA1085" s="500"/>
      <c r="AB1085" s="500"/>
      <c r="AC1085" s="500"/>
      <c r="AD1085" s="500"/>
      <c r="AE1085" s="497"/>
    </row>
    <row r="1086">
      <c r="A1086" s="528" t="s">
        <v>3826</v>
      </c>
      <c r="B1086" s="531" t="s">
        <v>6109</v>
      </c>
      <c r="C1086" s="531" t="s">
        <v>5682</v>
      </c>
      <c r="D1086" s="531" t="s">
        <v>5725</v>
      </c>
      <c r="E1086" s="531" t="s">
        <v>6795</v>
      </c>
      <c r="F1086" s="228" t="s">
        <v>5951</v>
      </c>
    </row>
    <row r="1087">
      <c r="A1087" s="528" t="s">
        <v>4673</v>
      </c>
      <c r="B1087" s="531" t="s">
        <v>6482</v>
      </c>
      <c r="C1087" s="531" t="s">
        <v>5682</v>
      </c>
      <c r="D1087" s="531" t="s">
        <v>5725</v>
      </c>
      <c r="E1087" s="531" t="s">
        <v>6795</v>
      </c>
      <c r="F1087" s="228" t="s">
        <v>5951</v>
      </c>
    </row>
    <row r="1088">
      <c r="A1088" s="523" t="s">
        <v>3246</v>
      </c>
      <c r="B1088" s="531" t="s">
        <v>6488</v>
      </c>
      <c r="C1088" s="531" t="s">
        <v>5671</v>
      </c>
      <c r="D1088" s="531" t="s">
        <v>5719</v>
      </c>
      <c r="E1088" s="531" t="s">
        <v>5727</v>
      </c>
      <c r="F1088" s="228" t="s">
        <v>6472</v>
      </c>
    </row>
    <row r="1089">
      <c r="A1089" s="523" t="s">
        <v>7433</v>
      </c>
      <c r="B1089" s="531" t="s">
        <v>6096</v>
      </c>
      <c r="C1089" s="531" t="s">
        <v>5670</v>
      </c>
      <c r="D1089" s="531" t="s">
        <v>5719</v>
      </c>
      <c r="E1089" s="531" t="s">
        <v>5727</v>
      </c>
      <c r="F1089" s="497" t="s">
        <v>3250</v>
      </c>
      <c r="G1089" s="498">
        <v>2.0</v>
      </c>
      <c r="H1089" s="497" t="s">
        <v>5728</v>
      </c>
      <c r="I1089" s="497" t="s">
        <v>2709</v>
      </c>
      <c r="J1089" s="497" t="s">
        <v>6348</v>
      </c>
      <c r="K1089" s="497" t="s">
        <v>5786</v>
      </c>
      <c r="L1089" s="498">
        <v>8.0</v>
      </c>
      <c r="M1089" s="497" t="s">
        <v>6906</v>
      </c>
      <c r="N1089" s="497" t="s">
        <v>7434</v>
      </c>
      <c r="O1089" s="498">
        <v>207.0</v>
      </c>
      <c r="P1089" s="497" t="s">
        <v>7435</v>
      </c>
      <c r="Q1089" s="499"/>
      <c r="R1089" s="500"/>
      <c r="S1089" s="500"/>
      <c r="T1089" s="500"/>
      <c r="U1089" s="500"/>
      <c r="V1089" s="500"/>
      <c r="W1089" s="500"/>
      <c r="X1089" s="500"/>
      <c r="Y1089" s="500"/>
      <c r="Z1089" s="500"/>
      <c r="AA1089" s="500"/>
      <c r="AB1089" s="500"/>
      <c r="AC1089" s="500"/>
      <c r="AD1089" s="500"/>
      <c r="AE1089" s="497"/>
    </row>
    <row r="1090">
      <c r="A1090" s="523" t="s">
        <v>3286</v>
      </c>
      <c r="B1090" s="531" t="s">
        <v>6109</v>
      </c>
      <c r="C1090" s="531" t="s">
        <v>5670</v>
      </c>
      <c r="D1090" s="531" t="s">
        <v>5725</v>
      </c>
      <c r="E1090" s="531" t="s">
        <v>5727</v>
      </c>
      <c r="F1090" s="228" t="s">
        <v>5951</v>
      </c>
    </row>
    <row r="1091">
      <c r="A1091" s="523" t="s">
        <v>3293</v>
      </c>
      <c r="B1091" s="531" t="s">
        <v>6532</v>
      </c>
      <c r="C1091" s="531" t="s">
        <v>5671</v>
      </c>
      <c r="D1091" s="531" t="s">
        <v>5725</v>
      </c>
      <c r="E1091" s="531" t="s">
        <v>5727</v>
      </c>
      <c r="F1091" s="228" t="s">
        <v>5951</v>
      </c>
    </row>
    <row r="1092">
      <c r="A1092" s="523" t="s">
        <v>7436</v>
      </c>
      <c r="B1092" s="534" t="s">
        <v>5699</v>
      </c>
      <c r="C1092" s="531" t="s">
        <v>7007</v>
      </c>
      <c r="D1092" s="531" t="s">
        <v>6717</v>
      </c>
      <c r="E1092" s="531" t="s">
        <v>6241</v>
      </c>
      <c r="F1092" s="497" t="s">
        <v>3294</v>
      </c>
      <c r="G1092" s="498">
        <v>2.0</v>
      </c>
      <c r="H1092" s="497" t="s">
        <v>6243</v>
      </c>
      <c r="I1092" s="497" t="s">
        <v>2702</v>
      </c>
      <c r="J1092" s="497" t="s">
        <v>7437</v>
      </c>
      <c r="K1092" s="497" t="s">
        <v>5750</v>
      </c>
      <c r="L1092" s="498">
        <v>1.0</v>
      </c>
      <c r="M1092" s="497" t="s">
        <v>7438</v>
      </c>
      <c r="N1092" s="497" t="s">
        <v>7439</v>
      </c>
      <c r="O1092" s="498">
        <v>275.0</v>
      </c>
      <c r="P1092" s="497" t="s">
        <v>7440</v>
      </c>
      <c r="Q1092" s="499"/>
      <c r="R1092" s="500"/>
      <c r="S1092" s="500"/>
      <c r="T1092" s="500"/>
      <c r="U1092" s="500"/>
      <c r="V1092" s="500"/>
      <c r="W1092" s="500"/>
      <c r="X1092" s="500"/>
      <c r="Y1092" s="500"/>
      <c r="Z1092" s="500"/>
      <c r="AA1092" s="500"/>
      <c r="AB1092" s="500"/>
      <c r="AC1092" s="500"/>
      <c r="AD1092" s="500"/>
      <c r="AE1092" s="497"/>
    </row>
    <row r="1093">
      <c r="A1093" s="523" t="s">
        <v>7441</v>
      </c>
      <c r="B1093" s="531" t="s">
        <v>6109</v>
      </c>
      <c r="C1093" s="531" t="s">
        <v>5670</v>
      </c>
      <c r="D1093" s="531" t="s">
        <v>5658</v>
      </c>
      <c r="E1093" s="531" t="s">
        <v>6241</v>
      </c>
      <c r="F1093" s="497" t="s">
        <v>2773</v>
      </c>
      <c r="G1093" s="498">
        <v>2.0</v>
      </c>
      <c r="H1093" s="497" t="s">
        <v>6243</v>
      </c>
      <c r="I1093" s="497" t="s">
        <v>2695</v>
      </c>
      <c r="J1093" s="497" t="s">
        <v>6244</v>
      </c>
      <c r="K1093" s="497" t="s">
        <v>5786</v>
      </c>
      <c r="L1093" s="498">
        <v>1.0</v>
      </c>
      <c r="M1093" s="497" t="s">
        <v>5722</v>
      </c>
      <c r="N1093" s="497" t="s">
        <v>7442</v>
      </c>
      <c r="O1093" s="498">
        <v>386.0</v>
      </c>
      <c r="P1093" s="497" t="s">
        <v>7443</v>
      </c>
      <c r="Q1093" s="500"/>
      <c r="R1093" s="500"/>
      <c r="S1093" s="500"/>
      <c r="T1093" s="500"/>
      <c r="U1093" s="500"/>
      <c r="V1093" s="500"/>
      <c r="W1093" s="500"/>
      <c r="X1093" s="500"/>
      <c r="Y1093" s="500"/>
      <c r="Z1093" s="500"/>
      <c r="AA1093" s="500"/>
      <c r="AB1093" s="500"/>
      <c r="AC1093" s="500"/>
      <c r="AD1093" s="500"/>
      <c r="AE1093" s="497"/>
    </row>
    <row r="1094">
      <c r="A1094" s="523" t="s">
        <v>3298</v>
      </c>
      <c r="B1094" s="531" t="s">
        <v>6096</v>
      </c>
      <c r="C1094" s="531" t="s">
        <v>5671</v>
      </c>
      <c r="D1094" s="531" t="s">
        <v>5658</v>
      </c>
      <c r="E1094" s="531" t="s">
        <v>6241</v>
      </c>
      <c r="F1094" s="228" t="s">
        <v>5951</v>
      </c>
    </row>
    <row r="1095">
      <c r="A1095" s="523" t="s">
        <v>3309</v>
      </c>
      <c r="B1095" s="531" t="s">
        <v>6116</v>
      </c>
      <c r="C1095" s="531" t="s">
        <v>7040</v>
      </c>
      <c r="D1095" s="531" t="s">
        <v>5658</v>
      </c>
      <c r="E1095" s="531" t="s">
        <v>6241</v>
      </c>
      <c r="F1095" s="228" t="s">
        <v>5951</v>
      </c>
    </row>
    <row r="1096">
      <c r="A1096" s="523" t="s">
        <v>3327</v>
      </c>
      <c r="B1096" s="531" t="s">
        <v>2724</v>
      </c>
      <c r="C1096" s="531" t="s">
        <v>5671</v>
      </c>
      <c r="D1096" s="531" t="s">
        <v>5668</v>
      </c>
      <c r="E1096" s="531" t="s">
        <v>6241</v>
      </c>
      <c r="F1096" s="228" t="s">
        <v>5951</v>
      </c>
    </row>
    <row r="1097">
      <c r="A1097" s="523" t="s">
        <v>7444</v>
      </c>
      <c r="B1097" s="531" t="s">
        <v>6532</v>
      </c>
      <c r="C1097" s="531" t="s">
        <v>7007</v>
      </c>
      <c r="D1097" s="531" t="s">
        <v>5668</v>
      </c>
      <c r="E1097" s="531" t="s">
        <v>6241</v>
      </c>
      <c r="F1097" s="497" t="s">
        <v>3332</v>
      </c>
      <c r="G1097" s="498">
        <v>2.0</v>
      </c>
      <c r="H1097" s="497" t="s">
        <v>6243</v>
      </c>
      <c r="I1097" s="497" t="s">
        <v>2740</v>
      </c>
      <c r="J1097" s="497" t="s">
        <v>1437</v>
      </c>
      <c r="K1097" s="497" t="s">
        <v>5750</v>
      </c>
      <c r="L1097" s="498">
        <v>2.0</v>
      </c>
      <c r="M1097" s="497" t="s">
        <v>5712</v>
      </c>
      <c r="N1097" s="497" t="s">
        <v>7445</v>
      </c>
      <c r="O1097" s="498">
        <v>277.0</v>
      </c>
      <c r="P1097" s="497" t="s">
        <v>7446</v>
      </c>
      <c r="Q1097" s="500"/>
      <c r="R1097" s="500"/>
      <c r="S1097" s="500"/>
      <c r="T1097" s="500"/>
      <c r="U1097" s="500"/>
      <c r="V1097" s="500"/>
      <c r="W1097" s="500"/>
      <c r="X1097" s="500"/>
      <c r="Y1097" s="500"/>
      <c r="Z1097" s="500"/>
      <c r="AA1097" s="500"/>
      <c r="AB1097" s="500"/>
      <c r="AC1097" s="500"/>
      <c r="AD1097" s="500"/>
      <c r="AE1097" s="497"/>
    </row>
    <row r="1098">
      <c r="A1098" s="523" t="s">
        <v>7447</v>
      </c>
      <c r="B1098" s="531" t="s">
        <v>6109</v>
      </c>
      <c r="C1098" s="531" t="s">
        <v>5657</v>
      </c>
      <c r="D1098" s="531" t="s">
        <v>5668</v>
      </c>
      <c r="E1098" s="531" t="s">
        <v>6241</v>
      </c>
      <c r="F1098" s="497" t="s">
        <v>3334</v>
      </c>
      <c r="G1098" s="498">
        <v>2.0</v>
      </c>
      <c r="H1098" s="497" t="s">
        <v>6243</v>
      </c>
      <c r="I1098" s="497" t="s">
        <v>2695</v>
      </c>
      <c r="J1098" s="497" t="s">
        <v>6008</v>
      </c>
      <c r="K1098" s="497" t="s">
        <v>5711</v>
      </c>
      <c r="L1098" s="498">
        <v>2.0</v>
      </c>
      <c r="M1098" s="497" t="s">
        <v>6490</v>
      </c>
      <c r="N1098" s="497" t="s">
        <v>7448</v>
      </c>
      <c r="O1098" s="498">
        <v>139.0</v>
      </c>
      <c r="P1098" s="497" t="s">
        <v>7449</v>
      </c>
      <c r="Q1098" s="500"/>
      <c r="R1098" s="500"/>
      <c r="S1098" s="500"/>
      <c r="T1098" s="500"/>
      <c r="U1098" s="500"/>
      <c r="V1098" s="500"/>
      <c r="W1098" s="500"/>
      <c r="X1098" s="500"/>
      <c r="Y1098" s="500"/>
      <c r="Z1098" s="500"/>
      <c r="AA1098" s="500"/>
      <c r="AB1098" s="500"/>
      <c r="AC1098" s="500"/>
      <c r="AD1098" s="500"/>
      <c r="AE1098" s="497"/>
    </row>
    <row r="1099">
      <c r="A1099" s="523" t="s">
        <v>7450</v>
      </c>
      <c r="B1099" s="531" t="s">
        <v>6532</v>
      </c>
      <c r="C1099" s="531" t="s">
        <v>7040</v>
      </c>
      <c r="D1099" s="531" t="s">
        <v>6687</v>
      </c>
      <c r="E1099" s="531" t="s">
        <v>6241</v>
      </c>
      <c r="F1099" s="497" t="s">
        <v>3340</v>
      </c>
      <c r="G1099" s="498">
        <v>2.0</v>
      </c>
      <c r="H1099" s="497" t="s">
        <v>6243</v>
      </c>
      <c r="I1099" s="497" t="s">
        <v>2740</v>
      </c>
      <c r="J1099" s="497" t="s">
        <v>7451</v>
      </c>
      <c r="K1099" s="497" t="s">
        <v>5734</v>
      </c>
      <c r="L1099" s="498">
        <v>2.0</v>
      </c>
      <c r="M1099" s="497" t="s">
        <v>5712</v>
      </c>
      <c r="N1099" s="497" t="s">
        <v>7452</v>
      </c>
      <c r="O1099" s="498">
        <v>218.0</v>
      </c>
      <c r="P1099" s="497" t="s">
        <v>7453</v>
      </c>
      <c r="Q1099" s="500"/>
      <c r="R1099" s="500"/>
      <c r="S1099" s="500"/>
      <c r="T1099" s="500"/>
      <c r="U1099" s="500"/>
      <c r="V1099" s="500"/>
      <c r="W1099" s="500"/>
      <c r="X1099" s="500"/>
      <c r="Y1099" s="500"/>
      <c r="Z1099" s="500"/>
      <c r="AA1099" s="500"/>
      <c r="AB1099" s="500"/>
      <c r="AC1099" s="500"/>
      <c r="AD1099" s="500"/>
      <c r="AE1099" s="497"/>
    </row>
    <row r="1100">
      <c r="A1100" s="523" t="s">
        <v>7454</v>
      </c>
      <c r="B1100" s="534" t="s">
        <v>5699</v>
      </c>
      <c r="C1100" s="531" t="s">
        <v>7007</v>
      </c>
      <c r="D1100" s="531" t="s">
        <v>6687</v>
      </c>
      <c r="E1100" s="531" t="s">
        <v>6241</v>
      </c>
      <c r="F1100" s="497" t="s">
        <v>3342</v>
      </c>
      <c r="G1100" s="498">
        <v>2.0</v>
      </c>
      <c r="H1100" s="497" t="s">
        <v>6243</v>
      </c>
      <c r="I1100" s="497" t="s">
        <v>2702</v>
      </c>
      <c r="J1100" s="497" t="s">
        <v>6277</v>
      </c>
      <c r="K1100" s="497" t="s">
        <v>5750</v>
      </c>
      <c r="L1100" s="498">
        <v>2.0</v>
      </c>
      <c r="M1100" s="497" t="s">
        <v>7455</v>
      </c>
      <c r="N1100" s="497" t="s">
        <v>7456</v>
      </c>
      <c r="O1100" s="498">
        <v>384.0</v>
      </c>
      <c r="P1100" s="497" t="s">
        <v>7457</v>
      </c>
      <c r="Q1100" s="499"/>
      <c r="R1100" s="500"/>
      <c r="S1100" s="500"/>
      <c r="T1100" s="500"/>
      <c r="U1100" s="500"/>
      <c r="V1100" s="500"/>
      <c r="W1100" s="500"/>
      <c r="X1100" s="500"/>
      <c r="Y1100" s="500"/>
      <c r="Z1100" s="500"/>
      <c r="AA1100" s="500"/>
      <c r="AB1100" s="500"/>
      <c r="AC1100" s="500"/>
      <c r="AD1100" s="500"/>
      <c r="AE1100" s="497"/>
    </row>
    <row r="1101">
      <c r="A1101" s="523" t="s">
        <v>7458</v>
      </c>
      <c r="B1101" s="531" t="s">
        <v>2704</v>
      </c>
      <c r="C1101" s="531" t="s">
        <v>7133</v>
      </c>
      <c r="D1101" s="531" t="s">
        <v>7088</v>
      </c>
      <c r="E1101" s="531" t="s">
        <v>6241</v>
      </c>
      <c r="F1101" s="497" t="s">
        <v>3421</v>
      </c>
      <c r="G1101" s="498">
        <v>2.0</v>
      </c>
      <c r="H1101" s="497" t="s">
        <v>6243</v>
      </c>
      <c r="I1101" s="497" t="s">
        <v>2704</v>
      </c>
      <c r="J1101" s="497" t="s">
        <v>6852</v>
      </c>
      <c r="K1101" s="497" t="s">
        <v>5711</v>
      </c>
      <c r="L1101" s="498">
        <v>4.0</v>
      </c>
      <c r="M1101" s="497" t="s">
        <v>6322</v>
      </c>
      <c r="N1101" s="497" t="s">
        <v>7459</v>
      </c>
      <c r="O1101" s="498">
        <v>285.0</v>
      </c>
      <c r="P1101" s="497" t="s">
        <v>7460</v>
      </c>
      <c r="Q1101" s="499"/>
      <c r="R1101" s="500"/>
      <c r="S1101" s="500"/>
      <c r="T1101" s="500"/>
      <c r="U1101" s="500"/>
      <c r="V1101" s="500"/>
      <c r="W1101" s="500"/>
      <c r="X1101" s="500"/>
      <c r="Y1101" s="500"/>
      <c r="Z1101" s="500"/>
      <c r="AA1101" s="500"/>
      <c r="AB1101" s="500"/>
      <c r="AC1101" s="500"/>
      <c r="AD1101" s="500"/>
      <c r="AE1101" s="497"/>
    </row>
    <row r="1102">
      <c r="A1102" s="511" t="s">
        <v>3430</v>
      </c>
      <c r="B1102" s="531" t="s">
        <v>6096</v>
      </c>
      <c r="C1102" s="531" t="s">
        <v>7133</v>
      </c>
      <c r="D1102" s="531" t="s">
        <v>7088</v>
      </c>
      <c r="E1102" s="531" t="s">
        <v>6241</v>
      </c>
      <c r="F1102" s="228" t="s">
        <v>5951</v>
      </c>
    </row>
    <row r="1103">
      <c r="A1103" s="523" t="s">
        <v>3435</v>
      </c>
      <c r="B1103" s="531" t="s">
        <v>6109</v>
      </c>
      <c r="C1103" s="531" t="s">
        <v>5670</v>
      </c>
      <c r="D1103" s="531" t="s">
        <v>7088</v>
      </c>
      <c r="E1103" s="531" t="s">
        <v>6241</v>
      </c>
      <c r="F1103" s="228" t="s">
        <v>5951</v>
      </c>
    </row>
    <row r="1104">
      <c r="A1104" s="523" t="s">
        <v>7461</v>
      </c>
      <c r="B1104" s="531" t="s">
        <v>2724</v>
      </c>
      <c r="C1104" s="531" t="s">
        <v>6794</v>
      </c>
      <c r="D1104" s="531" t="s">
        <v>5705</v>
      </c>
      <c r="E1104" s="531" t="s">
        <v>6241</v>
      </c>
      <c r="F1104" s="497" t="s">
        <v>3465</v>
      </c>
      <c r="G1104" s="498">
        <v>2.0</v>
      </c>
      <c r="H1104" s="497" t="s">
        <v>6243</v>
      </c>
      <c r="I1104" s="497" t="s">
        <v>2724</v>
      </c>
      <c r="J1104" s="497" t="s">
        <v>7462</v>
      </c>
      <c r="K1104" s="497" t="s">
        <v>5721</v>
      </c>
      <c r="L1104" s="498">
        <v>6.0</v>
      </c>
      <c r="M1104" s="497" t="s">
        <v>5879</v>
      </c>
      <c r="N1104" s="497" t="s">
        <v>7463</v>
      </c>
      <c r="O1104" s="498">
        <v>300.0</v>
      </c>
      <c r="P1104" s="497" t="s">
        <v>7464</v>
      </c>
      <c r="Q1104" s="499"/>
      <c r="R1104" s="500"/>
      <c r="S1104" s="500"/>
      <c r="T1104" s="500"/>
      <c r="U1104" s="500"/>
      <c r="V1104" s="500"/>
      <c r="W1104" s="500"/>
      <c r="X1104" s="500"/>
      <c r="Y1104" s="500"/>
      <c r="Z1104" s="500"/>
      <c r="AA1104" s="500"/>
      <c r="AB1104" s="500"/>
      <c r="AC1104" s="500"/>
      <c r="AD1104" s="500"/>
      <c r="AE1104" s="497"/>
    </row>
    <row r="1105">
      <c r="A1105" s="523" t="s">
        <v>3467</v>
      </c>
      <c r="B1105" s="531" t="s">
        <v>6112</v>
      </c>
      <c r="C1105" s="531" t="s">
        <v>7007</v>
      </c>
      <c r="D1105" s="531" t="s">
        <v>5705</v>
      </c>
      <c r="E1105" s="531" t="s">
        <v>6241</v>
      </c>
      <c r="F1105" s="228" t="s">
        <v>5951</v>
      </c>
    </row>
    <row r="1106">
      <c r="A1106" s="523" t="s">
        <v>3475</v>
      </c>
      <c r="B1106" s="531" t="s">
        <v>6109</v>
      </c>
      <c r="C1106" s="531" t="s">
        <v>7007</v>
      </c>
      <c r="D1106" s="531" t="s">
        <v>5705</v>
      </c>
      <c r="E1106" s="531" t="s">
        <v>6241</v>
      </c>
      <c r="F1106" s="228" t="s">
        <v>5951</v>
      </c>
    </row>
    <row r="1107">
      <c r="A1107" s="523" t="s">
        <v>3490</v>
      </c>
      <c r="B1107" s="531" t="s">
        <v>6112</v>
      </c>
      <c r="C1107" s="531" t="s">
        <v>6489</v>
      </c>
      <c r="D1107" s="531" t="s">
        <v>5716</v>
      </c>
      <c r="E1107" s="531" t="s">
        <v>6241</v>
      </c>
      <c r="F1107" s="228" t="s">
        <v>5951</v>
      </c>
    </row>
    <row r="1108">
      <c r="A1108" s="523" t="s">
        <v>3492</v>
      </c>
      <c r="B1108" s="531" t="s">
        <v>6482</v>
      </c>
      <c r="C1108" s="531" t="s">
        <v>7032</v>
      </c>
      <c r="D1108" s="531" t="s">
        <v>5716</v>
      </c>
      <c r="E1108" s="531" t="s">
        <v>6241</v>
      </c>
      <c r="F1108" s="228" t="s">
        <v>5951</v>
      </c>
    </row>
    <row r="1109">
      <c r="A1109" s="523" t="s">
        <v>3495</v>
      </c>
      <c r="B1109" s="531" t="s">
        <v>6112</v>
      </c>
      <c r="C1109" s="531" t="s">
        <v>5671</v>
      </c>
      <c r="D1109" s="531" t="s">
        <v>5716</v>
      </c>
      <c r="E1109" s="531" t="s">
        <v>6241</v>
      </c>
      <c r="F1109" s="321" t="s">
        <v>5951</v>
      </c>
    </row>
    <row r="1110">
      <c r="A1110" s="523" t="s">
        <v>7465</v>
      </c>
      <c r="B1110" s="531" t="s">
        <v>6101</v>
      </c>
      <c r="C1110" s="531" t="s">
        <v>7040</v>
      </c>
      <c r="D1110" s="531" t="s">
        <v>5716</v>
      </c>
      <c r="E1110" s="531" t="s">
        <v>6241</v>
      </c>
      <c r="F1110" s="497" t="s">
        <v>3499</v>
      </c>
      <c r="G1110" s="498">
        <v>2.0</v>
      </c>
      <c r="H1110" s="497" t="s">
        <v>6243</v>
      </c>
      <c r="I1110" s="497" t="s">
        <v>2715</v>
      </c>
      <c r="J1110" s="497" t="s">
        <v>1361</v>
      </c>
      <c r="K1110" s="497" t="s">
        <v>5734</v>
      </c>
      <c r="L1110" s="498">
        <v>7.0</v>
      </c>
      <c r="M1110" s="497" t="s">
        <v>5794</v>
      </c>
      <c r="N1110" s="497" t="s">
        <v>7466</v>
      </c>
      <c r="O1110" s="498">
        <v>281.0</v>
      </c>
      <c r="P1110" s="497" t="s">
        <v>7467</v>
      </c>
      <c r="Q1110" s="499"/>
      <c r="R1110" s="500"/>
      <c r="S1110" s="500"/>
      <c r="T1110" s="500"/>
      <c r="U1110" s="500"/>
      <c r="V1110" s="500"/>
      <c r="W1110" s="500"/>
      <c r="X1110" s="500"/>
      <c r="Y1110" s="500"/>
      <c r="Z1110" s="500"/>
      <c r="AA1110" s="500"/>
      <c r="AB1110" s="500"/>
      <c r="AC1110" s="500"/>
      <c r="AD1110" s="500"/>
      <c r="AE1110" s="497"/>
    </row>
    <row r="1111">
      <c r="A1111" s="523" t="s">
        <v>3505</v>
      </c>
      <c r="B1111" s="531" t="s">
        <v>6109</v>
      </c>
      <c r="C1111" s="531" t="s">
        <v>5671</v>
      </c>
      <c r="D1111" s="531" t="s">
        <v>5716</v>
      </c>
      <c r="E1111" s="531" t="s">
        <v>6241</v>
      </c>
      <c r="F1111" s="321" t="s">
        <v>5951</v>
      </c>
    </row>
    <row r="1112">
      <c r="A1112" s="523" t="s">
        <v>7468</v>
      </c>
      <c r="B1112" s="531" t="s">
        <v>6116</v>
      </c>
      <c r="C1112" s="531" t="s">
        <v>6794</v>
      </c>
      <c r="D1112" s="531" t="s">
        <v>5716</v>
      </c>
      <c r="E1112" s="531" t="s">
        <v>6241</v>
      </c>
      <c r="F1112" s="497" t="s">
        <v>3507</v>
      </c>
      <c r="G1112" s="498">
        <v>2.0</v>
      </c>
      <c r="H1112" s="497" t="s">
        <v>6243</v>
      </c>
      <c r="I1112" s="497" t="s">
        <v>2692</v>
      </c>
      <c r="J1112" s="497" t="s">
        <v>1352</v>
      </c>
      <c r="K1112" s="497" t="s">
        <v>5721</v>
      </c>
      <c r="L1112" s="498">
        <v>7.0</v>
      </c>
      <c r="M1112" s="497" t="s">
        <v>7469</v>
      </c>
      <c r="N1112" s="497" t="s">
        <v>7470</v>
      </c>
      <c r="O1112" s="498">
        <v>385.0</v>
      </c>
      <c r="P1112" s="497" t="s">
        <v>7471</v>
      </c>
      <c r="Q1112" s="499"/>
      <c r="R1112" s="500"/>
      <c r="S1112" s="500"/>
      <c r="T1112" s="500"/>
      <c r="U1112" s="500"/>
      <c r="V1112" s="500"/>
      <c r="W1112" s="500"/>
      <c r="X1112" s="500"/>
      <c r="Y1112" s="500"/>
      <c r="Z1112" s="500"/>
      <c r="AA1112" s="500"/>
      <c r="AB1112" s="500"/>
      <c r="AC1112" s="500"/>
      <c r="AD1112" s="500"/>
      <c r="AE1112" s="497"/>
    </row>
    <row r="1113">
      <c r="A1113" s="523" t="s">
        <v>7472</v>
      </c>
      <c r="B1113" s="531" t="s">
        <v>6532</v>
      </c>
      <c r="C1113" s="531" t="s">
        <v>5671</v>
      </c>
      <c r="D1113" s="531" t="s">
        <v>5719</v>
      </c>
      <c r="E1113" s="531" t="s">
        <v>6241</v>
      </c>
      <c r="F1113" s="497" t="s">
        <v>3509</v>
      </c>
      <c r="G1113" s="498">
        <v>2.0</v>
      </c>
      <c r="H1113" s="497" t="s">
        <v>6243</v>
      </c>
      <c r="I1113" s="497" t="s">
        <v>2740</v>
      </c>
      <c r="J1113" s="497" t="s">
        <v>6211</v>
      </c>
      <c r="K1113" s="497" t="s">
        <v>5729</v>
      </c>
      <c r="L1113" s="498">
        <v>8.0</v>
      </c>
      <c r="M1113" s="497" t="s">
        <v>7473</v>
      </c>
      <c r="N1113" s="497" t="s">
        <v>7474</v>
      </c>
      <c r="O1113" s="498">
        <v>1286.0</v>
      </c>
      <c r="P1113" s="497" t="s">
        <v>7475</v>
      </c>
      <c r="Q1113" s="500"/>
      <c r="R1113" s="500"/>
      <c r="S1113" s="500"/>
      <c r="T1113" s="500"/>
      <c r="U1113" s="500"/>
      <c r="V1113" s="500"/>
      <c r="W1113" s="500"/>
      <c r="X1113" s="500"/>
      <c r="Y1113" s="500"/>
      <c r="Z1113" s="500"/>
      <c r="AA1113" s="500"/>
      <c r="AB1113" s="500"/>
      <c r="AC1113" s="500"/>
      <c r="AD1113" s="500"/>
      <c r="AE1113" s="497"/>
    </row>
    <row r="1114">
      <c r="A1114" s="523" t="s">
        <v>7476</v>
      </c>
      <c r="B1114" s="531" t="s">
        <v>6532</v>
      </c>
      <c r="C1114" s="531" t="s">
        <v>5664</v>
      </c>
      <c r="D1114" s="531" t="s">
        <v>5719</v>
      </c>
      <c r="E1114" s="531" t="s">
        <v>6241</v>
      </c>
      <c r="F1114" s="497" t="s">
        <v>3522</v>
      </c>
      <c r="G1114" s="498">
        <v>2.0</v>
      </c>
      <c r="H1114" s="497" t="s">
        <v>6243</v>
      </c>
      <c r="I1114" s="497" t="s">
        <v>2740</v>
      </c>
      <c r="J1114" s="497" t="s">
        <v>7224</v>
      </c>
      <c r="K1114" s="497" t="s">
        <v>5754</v>
      </c>
      <c r="L1114" s="498">
        <v>8.0</v>
      </c>
      <c r="M1114" s="497" t="s">
        <v>7473</v>
      </c>
      <c r="N1114" s="497" t="s">
        <v>7477</v>
      </c>
      <c r="O1114" s="498">
        <v>1798.0</v>
      </c>
      <c r="P1114" s="497" t="s">
        <v>7478</v>
      </c>
      <c r="Q1114" s="500"/>
      <c r="R1114" s="500"/>
      <c r="S1114" s="500"/>
      <c r="T1114" s="500"/>
      <c r="U1114" s="500"/>
      <c r="V1114" s="500"/>
      <c r="W1114" s="500"/>
      <c r="X1114" s="500"/>
      <c r="Y1114" s="500"/>
      <c r="Z1114" s="500"/>
      <c r="AA1114" s="500"/>
      <c r="AB1114" s="500"/>
      <c r="AC1114" s="500"/>
      <c r="AD1114" s="500"/>
      <c r="AE1114" s="497"/>
    </row>
    <row r="1115">
      <c r="A1115" s="523" t="s">
        <v>3534</v>
      </c>
      <c r="B1115" s="531" t="s">
        <v>2704</v>
      </c>
      <c r="C1115" s="531" t="s">
        <v>5664</v>
      </c>
      <c r="D1115" s="531" t="s">
        <v>5719</v>
      </c>
      <c r="E1115" s="531" t="s">
        <v>6241</v>
      </c>
      <c r="F1115" s="228" t="s">
        <v>5951</v>
      </c>
    </row>
    <row r="1116">
      <c r="A1116" s="523" t="s">
        <v>7479</v>
      </c>
      <c r="B1116" s="531" t="s">
        <v>6096</v>
      </c>
      <c r="C1116" s="531" t="s">
        <v>5664</v>
      </c>
      <c r="D1116" s="531" t="s">
        <v>5725</v>
      </c>
      <c r="E1116" s="531" t="s">
        <v>6241</v>
      </c>
      <c r="F1116" s="538" t="s">
        <v>3545</v>
      </c>
      <c r="G1116" s="539">
        <v>2.0</v>
      </c>
      <c r="H1116" s="538" t="s">
        <v>6243</v>
      </c>
      <c r="I1116" s="538" t="s">
        <v>2709</v>
      </c>
      <c r="J1116" s="540">
        <v>43734.0</v>
      </c>
      <c r="K1116" s="538" t="s">
        <v>5754</v>
      </c>
      <c r="L1116" s="539">
        <v>9.0</v>
      </c>
      <c r="M1116" s="538" t="s">
        <v>6171</v>
      </c>
      <c r="N1116" s="538" t="s">
        <v>7480</v>
      </c>
      <c r="O1116" s="539">
        <v>959.0</v>
      </c>
      <c r="P1116" s="541" t="s">
        <v>7481</v>
      </c>
      <c r="Q1116" s="542"/>
      <c r="R1116" s="500"/>
      <c r="S1116" s="500"/>
      <c r="T1116" s="500"/>
      <c r="U1116" s="500"/>
      <c r="V1116" s="500"/>
      <c r="W1116" s="500"/>
      <c r="X1116" s="500"/>
      <c r="Y1116" s="500"/>
      <c r="Z1116" s="500"/>
      <c r="AA1116" s="500"/>
      <c r="AB1116" s="500"/>
      <c r="AC1116" s="500"/>
      <c r="AD1116" s="500"/>
      <c r="AE1116" s="497"/>
    </row>
    <row r="1117">
      <c r="A1117" s="523" t="s">
        <v>3547</v>
      </c>
      <c r="B1117" s="531" t="s">
        <v>6109</v>
      </c>
      <c r="C1117" s="531" t="s">
        <v>7032</v>
      </c>
      <c r="D1117" s="531" t="s">
        <v>7031</v>
      </c>
      <c r="E1117" s="531" t="s">
        <v>6241</v>
      </c>
      <c r="F1117" s="228" t="s">
        <v>5951</v>
      </c>
    </row>
    <row r="1118">
      <c r="A1118" s="523" t="s">
        <v>3587</v>
      </c>
      <c r="B1118" s="531" t="s">
        <v>6109</v>
      </c>
      <c r="C1118" s="531" t="s">
        <v>5681</v>
      </c>
      <c r="D1118" s="531" t="s">
        <v>5668</v>
      </c>
      <c r="E1118" s="531" t="s">
        <v>6795</v>
      </c>
      <c r="F1118" s="228" t="s">
        <v>5951</v>
      </c>
    </row>
    <row r="1119">
      <c r="A1119" s="523" t="s">
        <v>7482</v>
      </c>
      <c r="B1119" s="531" t="s">
        <v>6116</v>
      </c>
      <c r="C1119" s="531" t="s">
        <v>5671</v>
      </c>
      <c r="D1119" s="531" t="s">
        <v>5675</v>
      </c>
      <c r="E1119" s="531" t="s">
        <v>6795</v>
      </c>
      <c r="F1119" s="538" t="s">
        <v>3624</v>
      </c>
      <c r="G1119" s="539">
        <v>2.0</v>
      </c>
      <c r="H1119" s="538" t="s">
        <v>6647</v>
      </c>
      <c r="I1119" s="538" t="s">
        <v>2692</v>
      </c>
      <c r="J1119" s="540">
        <v>43534.0</v>
      </c>
      <c r="K1119" s="538" t="s">
        <v>5729</v>
      </c>
      <c r="L1119" s="539">
        <v>3.0</v>
      </c>
      <c r="M1119" s="538" t="s">
        <v>5828</v>
      </c>
      <c r="N1119" s="538" t="s">
        <v>7483</v>
      </c>
      <c r="O1119" s="539">
        <v>212.0</v>
      </c>
      <c r="P1119" s="541" t="s">
        <v>7484</v>
      </c>
      <c r="Q1119" s="542"/>
      <c r="R1119" s="500"/>
      <c r="S1119" s="500"/>
      <c r="T1119" s="500"/>
      <c r="U1119" s="500"/>
      <c r="V1119" s="500"/>
      <c r="W1119" s="500"/>
      <c r="X1119" s="500"/>
      <c r="Y1119" s="500"/>
      <c r="Z1119" s="500"/>
      <c r="AA1119" s="500"/>
      <c r="AB1119" s="500"/>
      <c r="AC1119" s="500"/>
      <c r="AD1119" s="500"/>
      <c r="AE1119" s="497"/>
    </row>
    <row r="1120">
      <c r="A1120" s="523" t="s">
        <v>7485</v>
      </c>
      <c r="B1120" s="531" t="s">
        <v>2724</v>
      </c>
      <c r="C1120" s="531" t="s">
        <v>7032</v>
      </c>
      <c r="D1120" s="531" t="s">
        <v>7088</v>
      </c>
      <c r="E1120" s="531" t="s">
        <v>6795</v>
      </c>
      <c r="F1120" s="538" t="s">
        <v>3687</v>
      </c>
      <c r="G1120" s="539">
        <v>2.0</v>
      </c>
      <c r="H1120" s="538" t="s">
        <v>6647</v>
      </c>
      <c r="I1120" s="538" t="s">
        <v>2724</v>
      </c>
      <c r="J1120" s="540">
        <v>43568.0</v>
      </c>
      <c r="K1120" s="538" t="s">
        <v>5786</v>
      </c>
      <c r="L1120" s="539">
        <v>4.0</v>
      </c>
      <c r="M1120" s="538" t="s">
        <v>5828</v>
      </c>
      <c r="N1120" s="538" t="s">
        <v>7486</v>
      </c>
      <c r="O1120" s="539">
        <v>231.0</v>
      </c>
      <c r="P1120" s="541" t="s">
        <v>7487</v>
      </c>
      <c r="Q1120" s="542"/>
      <c r="R1120" s="500"/>
      <c r="S1120" s="500"/>
      <c r="T1120" s="500"/>
      <c r="U1120" s="500"/>
      <c r="V1120" s="500"/>
      <c r="W1120" s="500"/>
      <c r="X1120" s="500"/>
      <c r="Y1120" s="500"/>
      <c r="Z1120" s="500"/>
      <c r="AA1120" s="500"/>
      <c r="AB1120" s="500"/>
      <c r="AC1120" s="500"/>
      <c r="AD1120" s="500"/>
      <c r="AE1120" s="497"/>
    </row>
    <row r="1121">
      <c r="A1121" s="523" t="s">
        <v>7488</v>
      </c>
      <c r="B1121" s="531" t="s">
        <v>6482</v>
      </c>
      <c r="C1121" s="531" t="s">
        <v>7133</v>
      </c>
      <c r="D1121" s="531" t="s">
        <v>6493</v>
      </c>
      <c r="E1121" s="531" t="s">
        <v>6795</v>
      </c>
      <c r="F1121" s="538" t="s">
        <v>3694</v>
      </c>
      <c r="G1121" s="539">
        <v>2.0</v>
      </c>
      <c r="H1121" s="538" t="s">
        <v>6647</v>
      </c>
      <c r="I1121" s="538" t="s">
        <v>2715</v>
      </c>
      <c r="J1121" s="540">
        <v>43593.0</v>
      </c>
      <c r="K1121" s="538" t="s">
        <v>5711</v>
      </c>
      <c r="L1121" s="539">
        <v>5.0</v>
      </c>
      <c r="M1121" s="538" t="s">
        <v>7438</v>
      </c>
      <c r="N1121" s="538" t="s">
        <v>7489</v>
      </c>
      <c r="O1121" s="539">
        <v>64.0</v>
      </c>
      <c r="P1121" s="541" t="s">
        <v>7490</v>
      </c>
      <c r="Q1121" s="542"/>
      <c r="R1121" s="500"/>
      <c r="S1121" s="500"/>
      <c r="T1121" s="500"/>
      <c r="U1121" s="500"/>
      <c r="V1121" s="500"/>
      <c r="W1121" s="500"/>
      <c r="X1121" s="500"/>
      <c r="Y1121" s="500"/>
      <c r="Z1121" s="500"/>
      <c r="AA1121" s="500"/>
      <c r="AB1121" s="500"/>
      <c r="AC1121" s="497"/>
      <c r="AD1121" s="497"/>
      <c r="AE1121" s="497"/>
    </row>
    <row r="1122">
      <c r="A1122" s="523" t="s">
        <v>3710</v>
      </c>
      <c r="B1122" s="531" t="s">
        <v>2704</v>
      </c>
      <c r="C1122" s="531" t="s">
        <v>6489</v>
      </c>
      <c r="D1122" s="531" t="s">
        <v>6493</v>
      </c>
      <c r="E1122" s="531" t="s">
        <v>6795</v>
      </c>
      <c r="F1122" s="228" t="s">
        <v>5951</v>
      </c>
    </row>
    <row r="1123">
      <c r="A1123" s="523" t="s">
        <v>7491</v>
      </c>
      <c r="B1123" s="531" t="s">
        <v>6112</v>
      </c>
      <c r="C1123" s="531" t="s">
        <v>7040</v>
      </c>
      <c r="D1123" s="531" t="s">
        <v>5705</v>
      </c>
      <c r="E1123" s="531" t="s">
        <v>6795</v>
      </c>
      <c r="F1123" s="538" t="s">
        <v>3726</v>
      </c>
      <c r="G1123" s="539">
        <v>2.0</v>
      </c>
      <c r="H1123" s="538" t="s">
        <v>6647</v>
      </c>
      <c r="I1123" s="538" t="s">
        <v>2707</v>
      </c>
      <c r="J1123" s="540">
        <v>43630.0</v>
      </c>
      <c r="K1123" s="538" t="s">
        <v>5734</v>
      </c>
      <c r="L1123" s="539">
        <v>6.0</v>
      </c>
      <c r="M1123" s="538" t="s">
        <v>7492</v>
      </c>
      <c r="N1123" s="538" t="s">
        <v>7493</v>
      </c>
      <c r="O1123" s="539">
        <v>266.0</v>
      </c>
      <c r="P1123" s="541" t="s">
        <v>7494</v>
      </c>
      <c r="Q1123" s="542"/>
      <c r="R1123" s="500"/>
      <c r="S1123" s="500"/>
      <c r="T1123" s="500"/>
      <c r="U1123" s="500"/>
      <c r="V1123" s="500"/>
      <c r="W1123" s="500"/>
      <c r="X1123" s="500"/>
      <c r="Y1123" s="500"/>
      <c r="Z1123" s="500"/>
      <c r="AA1123" s="500"/>
      <c r="AB1123" s="500"/>
      <c r="AC1123" s="500"/>
      <c r="AD1123" s="500"/>
      <c r="AE1123" s="497"/>
    </row>
    <row r="1124">
      <c r="A1124" s="523" t="s">
        <v>3779</v>
      </c>
      <c r="B1124" s="531" t="s">
        <v>2724</v>
      </c>
      <c r="C1124" s="531" t="s">
        <v>5671</v>
      </c>
      <c r="D1124" s="531" t="s">
        <v>5716</v>
      </c>
      <c r="E1124" s="531" t="s">
        <v>6795</v>
      </c>
      <c r="F1124" s="228" t="s">
        <v>5951</v>
      </c>
    </row>
    <row r="1125">
      <c r="A1125" s="523" t="s">
        <v>7495</v>
      </c>
      <c r="B1125" s="531" t="s">
        <v>2724</v>
      </c>
      <c r="C1125" s="531" t="s">
        <v>5681</v>
      </c>
      <c r="D1125" s="531" t="s">
        <v>5716</v>
      </c>
      <c r="E1125" s="531" t="s">
        <v>6795</v>
      </c>
      <c r="F1125" s="538" t="s">
        <v>3780</v>
      </c>
      <c r="G1125" s="539">
        <v>2.0</v>
      </c>
      <c r="H1125" s="538" t="s">
        <v>6647</v>
      </c>
      <c r="I1125" s="538" t="s">
        <v>2724</v>
      </c>
      <c r="J1125" s="540">
        <v>43662.0</v>
      </c>
      <c r="K1125" s="538" t="s">
        <v>5750</v>
      </c>
      <c r="L1125" s="539">
        <v>7.0</v>
      </c>
      <c r="M1125" s="538" t="s">
        <v>5828</v>
      </c>
      <c r="N1125" s="538" t="s">
        <v>7496</v>
      </c>
      <c r="O1125" s="539">
        <v>187.0</v>
      </c>
      <c r="P1125" s="541" t="s">
        <v>7497</v>
      </c>
      <c r="Q1125" s="545"/>
      <c r="R1125" s="500"/>
      <c r="S1125" s="500"/>
      <c r="T1125" s="500"/>
      <c r="U1125" s="500"/>
      <c r="V1125" s="500"/>
      <c r="W1125" s="500"/>
      <c r="X1125" s="500"/>
      <c r="Y1125" s="500"/>
      <c r="Z1125" s="500"/>
      <c r="AA1125" s="500"/>
      <c r="AB1125" s="500"/>
      <c r="AC1125" s="500"/>
      <c r="AD1125" s="500"/>
      <c r="AE1125" s="497"/>
    </row>
    <row r="1126">
      <c r="A1126" s="523" t="s">
        <v>7498</v>
      </c>
      <c r="B1126" s="531" t="s">
        <v>6096</v>
      </c>
      <c r="C1126" s="531" t="s">
        <v>5657</v>
      </c>
      <c r="D1126" s="531" t="s">
        <v>5716</v>
      </c>
      <c r="E1126" s="531" t="s">
        <v>6795</v>
      </c>
      <c r="F1126" s="538" t="s">
        <v>3782</v>
      </c>
      <c r="G1126" s="539">
        <v>2.0</v>
      </c>
      <c r="H1126" s="538" t="s">
        <v>6647</v>
      </c>
      <c r="I1126" s="538" t="s">
        <v>2709</v>
      </c>
      <c r="J1126" s="540">
        <v>43677.0</v>
      </c>
      <c r="K1126" s="538" t="s">
        <v>5711</v>
      </c>
      <c r="L1126" s="539">
        <v>7.0</v>
      </c>
      <c r="M1126" s="538" t="s">
        <v>6401</v>
      </c>
      <c r="N1126" s="538" t="s">
        <v>7499</v>
      </c>
      <c r="O1126" s="539">
        <v>274.0</v>
      </c>
      <c r="P1126" s="541" t="s">
        <v>7500</v>
      </c>
      <c r="Q1126" s="542"/>
      <c r="R1126" s="500"/>
      <c r="S1126" s="500"/>
      <c r="T1126" s="500"/>
      <c r="U1126" s="500"/>
      <c r="V1126" s="500"/>
      <c r="W1126" s="500"/>
      <c r="X1126" s="500"/>
      <c r="Y1126" s="500"/>
      <c r="Z1126" s="500"/>
      <c r="AA1126" s="500"/>
      <c r="AB1126" s="500"/>
      <c r="AC1126" s="500"/>
      <c r="AD1126" s="500"/>
      <c r="AE1126" s="497"/>
    </row>
    <row r="1127">
      <c r="A1127" s="523" t="s">
        <v>7501</v>
      </c>
      <c r="B1127" s="531" t="s">
        <v>6112</v>
      </c>
      <c r="C1127" s="531" t="s">
        <v>5670</v>
      </c>
      <c r="D1127" s="531" t="s">
        <v>5716</v>
      </c>
      <c r="E1127" s="531" t="s">
        <v>6795</v>
      </c>
      <c r="F1127" s="538" t="s">
        <v>3785</v>
      </c>
      <c r="G1127" s="539">
        <v>2.0</v>
      </c>
      <c r="H1127" s="538" t="s">
        <v>6647</v>
      </c>
      <c r="I1127" s="538" t="s">
        <v>2707</v>
      </c>
      <c r="J1127" s="540">
        <v>43652.0</v>
      </c>
      <c r="K1127" s="538" t="s">
        <v>5786</v>
      </c>
      <c r="L1127" s="539">
        <v>7.0</v>
      </c>
      <c r="M1127" s="538" t="s">
        <v>7502</v>
      </c>
      <c r="N1127" s="538" t="s">
        <v>7503</v>
      </c>
      <c r="O1127" s="539">
        <v>38.0</v>
      </c>
      <c r="P1127" s="541" t="s">
        <v>7504</v>
      </c>
      <c r="Q1127" s="542"/>
      <c r="R1127" s="500"/>
      <c r="S1127" s="500"/>
      <c r="T1127" s="500"/>
      <c r="U1127" s="500"/>
      <c r="V1127" s="500"/>
      <c r="W1127" s="500"/>
      <c r="X1127" s="500"/>
      <c r="Y1127" s="500"/>
      <c r="Z1127" s="500"/>
      <c r="AA1127" s="500"/>
      <c r="AB1127" s="500"/>
      <c r="AC1127" s="500"/>
      <c r="AD1127" s="500"/>
      <c r="AE1127" s="497"/>
    </row>
    <row r="1128">
      <c r="A1128" s="523" t="s">
        <v>5415</v>
      </c>
      <c r="B1128" s="531" t="s">
        <v>6112</v>
      </c>
      <c r="C1128" s="531" t="s">
        <v>5671</v>
      </c>
      <c r="D1128" s="531" t="s">
        <v>5716</v>
      </c>
      <c r="E1128" s="531" t="s">
        <v>6795</v>
      </c>
      <c r="F1128" s="538" t="s">
        <v>3791</v>
      </c>
      <c r="G1128" s="539">
        <v>2.0</v>
      </c>
      <c r="H1128" s="538" t="s">
        <v>6647</v>
      </c>
      <c r="I1128" s="538" t="s">
        <v>2707</v>
      </c>
      <c r="J1128" s="540">
        <v>43653.0</v>
      </c>
      <c r="K1128" s="538" t="s">
        <v>5729</v>
      </c>
      <c r="L1128" s="539">
        <v>7.0</v>
      </c>
      <c r="M1128" s="538" t="s">
        <v>7505</v>
      </c>
      <c r="N1128" s="538" t="s">
        <v>7506</v>
      </c>
      <c r="O1128" s="539">
        <v>183.0</v>
      </c>
      <c r="P1128" s="541" t="s">
        <v>7507</v>
      </c>
      <c r="Q1128" s="542"/>
      <c r="R1128" s="500"/>
      <c r="S1128" s="500"/>
      <c r="T1128" s="500"/>
      <c r="U1128" s="500"/>
      <c r="V1128" s="500"/>
      <c r="W1128" s="500"/>
      <c r="X1128" s="500"/>
      <c r="Y1128" s="500"/>
      <c r="Z1128" s="500"/>
      <c r="AA1128" s="500"/>
      <c r="AB1128" s="500"/>
      <c r="AC1128" s="500"/>
      <c r="AD1128" s="500"/>
      <c r="AE1128" s="497"/>
    </row>
    <row r="1129">
      <c r="A1129" s="523" t="s">
        <v>7508</v>
      </c>
      <c r="B1129" s="531" t="s">
        <v>2704</v>
      </c>
      <c r="C1129" s="531" t="s">
        <v>5670</v>
      </c>
      <c r="D1129" s="531" t="s">
        <v>5719</v>
      </c>
      <c r="E1129" s="531" t="s">
        <v>6795</v>
      </c>
      <c r="F1129" s="538" t="s">
        <v>3809</v>
      </c>
      <c r="G1129" s="539">
        <v>2.0</v>
      </c>
      <c r="H1129" s="538" t="s">
        <v>6647</v>
      </c>
      <c r="I1129" s="538" t="s">
        <v>2704</v>
      </c>
      <c r="J1129" s="540">
        <v>43708.0</v>
      </c>
      <c r="K1129" s="538" t="s">
        <v>5786</v>
      </c>
      <c r="L1129" s="539">
        <v>8.0</v>
      </c>
      <c r="M1129" s="538" t="s">
        <v>5993</v>
      </c>
      <c r="N1129" s="538" t="s">
        <v>7509</v>
      </c>
      <c r="O1129" s="539">
        <v>631.0</v>
      </c>
      <c r="P1129" s="541" t="s">
        <v>7510</v>
      </c>
      <c r="Q1129" s="542"/>
      <c r="R1129" s="500"/>
      <c r="S1129" s="500"/>
      <c r="T1129" s="500"/>
      <c r="U1129" s="500"/>
      <c r="V1129" s="500"/>
      <c r="W1129" s="500"/>
      <c r="X1129" s="500"/>
      <c r="Y1129" s="500"/>
      <c r="Z1129" s="500"/>
      <c r="AA1129" s="500"/>
      <c r="AB1129" s="500"/>
      <c r="AC1129" s="500"/>
      <c r="AD1129" s="500"/>
      <c r="AE1129" s="497"/>
    </row>
    <row r="1130">
      <c r="A1130" s="546" t="s">
        <v>3813</v>
      </c>
      <c r="B1130" s="531" t="s">
        <v>2704</v>
      </c>
      <c r="C1130" s="531" t="s">
        <v>7007</v>
      </c>
      <c r="D1130" s="531" t="s">
        <v>5719</v>
      </c>
      <c r="E1130" s="531" t="s">
        <v>6795</v>
      </c>
      <c r="F1130" s="228" t="s">
        <v>5951</v>
      </c>
    </row>
    <row r="1131">
      <c r="A1131" s="523" t="s">
        <v>7511</v>
      </c>
      <c r="B1131" s="531" t="s">
        <v>6116</v>
      </c>
      <c r="C1131" s="531" t="s">
        <v>5670</v>
      </c>
      <c r="D1131" s="531" t="s">
        <v>5719</v>
      </c>
      <c r="E1131" s="531" t="s">
        <v>6795</v>
      </c>
      <c r="F1131" s="538" t="s">
        <v>3821</v>
      </c>
      <c r="G1131" s="539">
        <v>2.0</v>
      </c>
      <c r="H1131" s="538" t="s">
        <v>6647</v>
      </c>
      <c r="I1131" s="538" t="s">
        <v>2692</v>
      </c>
      <c r="J1131" s="540">
        <v>43680.0</v>
      </c>
      <c r="K1131" s="538" t="s">
        <v>5786</v>
      </c>
      <c r="L1131" s="539">
        <v>8.0</v>
      </c>
      <c r="M1131" s="538" t="s">
        <v>5763</v>
      </c>
      <c r="N1131" s="538" t="s">
        <v>7512</v>
      </c>
      <c r="O1131" s="539">
        <v>128.0</v>
      </c>
      <c r="P1131" s="541" t="s">
        <v>7513</v>
      </c>
      <c r="Q1131" s="542"/>
      <c r="R1131" s="500"/>
      <c r="S1131" s="500"/>
      <c r="T1131" s="500"/>
      <c r="U1131" s="500"/>
      <c r="V1131" s="500"/>
      <c r="W1131" s="500"/>
      <c r="X1131" s="500"/>
      <c r="Y1131" s="500"/>
      <c r="Z1131" s="500"/>
      <c r="AA1131" s="500"/>
      <c r="AB1131" s="500"/>
      <c r="AC1131" s="500"/>
      <c r="AD1131" s="500"/>
      <c r="AE1131" s="497"/>
    </row>
    <row r="1132">
      <c r="A1132" s="533" t="s">
        <v>5464</v>
      </c>
      <c r="B1132" s="534" t="s">
        <v>5699</v>
      </c>
      <c r="C1132" s="531" t="s">
        <v>7040</v>
      </c>
      <c r="D1132" s="531" t="s">
        <v>7514</v>
      </c>
      <c r="E1132" s="531" t="s">
        <v>5660</v>
      </c>
      <c r="F1132" s="228" t="s">
        <v>5951</v>
      </c>
    </row>
    <row r="1133">
      <c r="A1133" s="533" t="s">
        <v>5465</v>
      </c>
      <c r="B1133" s="531" t="s">
        <v>6110</v>
      </c>
      <c r="C1133" s="531" t="s">
        <v>5664</v>
      </c>
      <c r="D1133" s="531" t="s">
        <v>7515</v>
      </c>
      <c r="E1133" s="531" t="s">
        <v>5660</v>
      </c>
      <c r="F1133" s="538" t="s">
        <v>7516</v>
      </c>
      <c r="G1133" s="539">
        <v>2.0</v>
      </c>
      <c r="H1133" s="538" t="s">
        <v>5660</v>
      </c>
      <c r="I1133" s="538" t="s">
        <v>2698</v>
      </c>
      <c r="J1133" s="540">
        <v>43783.0</v>
      </c>
      <c r="K1133" s="538" t="s">
        <v>5754</v>
      </c>
      <c r="L1133" s="539">
        <v>11.0</v>
      </c>
      <c r="M1133" s="538" t="s">
        <v>5854</v>
      </c>
      <c r="N1133" s="538" t="s">
        <v>7517</v>
      </c>
      <c r="O1133" s="539">
        <v>244.0</v>
      </c>
      <c r="P1133" s="541" t="s">
        <v>7518</v>
      </c>
      <c r="Q1133" s="545"/>
      <c r="R1133" s="500"/>
      <c r="S1133" s="500"/>
      <c r="T1133" s="500"/>
      <c r="U1133" s="500"/>
      <c r="V1133" s="500"/>
      <c r="W1133" s="500"/>
      <c r="X1133" s="500"/>
      <c r="Y1133" s="500"/>
      <c r="Z1133" s="500"/>
      <c r="AA1133" s="500"/>
      <c r="AB1133" s="500"/>
      <c r="AC1133" s="500"/>
      <c r="AD1133" s="500"/>
      <c r="AE1133" s="497"/>
    </row>
    <row r="1134">
      <c r="A1134" s="533" t="s">
        <v>5470</v>
      </c>
      <c r="B1134" s="531" t="s">
        <v>6096</v>
      </c>
      <c r="C1134" s="531" t="s">
        <v>7007</v>
      </c>
      <c r="D1134" s="531" t="s">
        <v>7515</v>
      </c>
      <c r="E1134" s="531" t="s">
        <v>5660</v>
      </c>
      <c r="F1134" s="228" t="s">
        <v>5951</v>
      </c>
    </row>
    <row r="1135">
      <c r="A1135" s="533" t="s">
        <v>5471</v>
      </c>
      <c r="B1135" s="531" t="s">
        <v>6112</v>
      </c>
      <c r="C1135" s="531" t="s">
        <v>7007</v>
      </c>
      <c r="D1135" s="531" t="s">
        <v>7515</v>
      </c>
      <c r="E1135" s="531" t="s">
        <v>5660</v>
      </c>
      <c r="F1135" s="228" t="s">
        <v>5951</v>
      </c>
    </row>
    <row r="1136">
      <c r="A1136" s="533" t="s">
        <v>5472</v>
      </c>
      <c r="B1136" s="534" t="s">
        <v>5699</v>
      </c>
      <c r="C1136" s="531" t="s">
        <v>5657</v>
      </c>
      <c r="D1136" s="531" t="s">
        <v>7515</v>
      </c>
      <c r="E1136" s="531" t="s">
        <v>7519</v>
      </c>
      <c r="F1136" s="228" t="s">
        <v>5951</v>
      </c>
    </row>
    <row r="1137">
      <c r="A1137" s="533" t="s">
        <v>5477</v>
      </c>
      <c r="B1137" s="531" t="s">
        <v>6112</v>
      </c>
      <c r="C1137" s="531" t="s">
        <v>5682</v>
      </c>
      <c r="D1137" s="531" t="s">
        <v>7515</v>
      </c>
      <c r="E1137" s="531" t="s">
        <v>7519</v>
      </c>
      <c r="F1137" s="228" t="s">
        <v>5951</v>
      </c>
    </row>
    <row r="1138">
      <c r="A1138" s="533" t="s">
        <v>3852</v>
      </c>
      <c r="B1138" s="531" t="s">
        <v>6482</v>
      </c>
      <c r="C1138" s="531" t="s">
        <v>5657</v>
      </c>
      <c r="D1138" s="531" t="s">
        <v>7520</v>
      </c>
      <c r="E1138" s="531" t="s">
        <v>7519</v>
      </c>
      <c r="F1138" s="538" t="s">
        <v>7521</v>
      </c>
      <c r="G1138" s="539">
        <v>2.0</v>
      </c>
      <c r="H1138" s="538" t="s">
        <v>5660</v>
      </c>
      <c r="I1138" s="538" t="s">
        <v>2715</v>
      </c>
      <c r="J1138" s="540">
        <v>43824.0</v>
      </c>
      <c r="K1138" s="538" t="s">
        <v>5711</v>
      </c>
      <c r="L1138" s="539">
        <v>12.0</v>
      </c>
      <c r="M1138" s="538" t="s">
        <v>5954</v>
      </c>
      <c r="N1138" s="538" t="s">
        <v>7522</v>
      </c>
      <c r="O1138" s="539">
        <v>441.0</v>
      </c>
      <c r="P1138" s="541" t="s">
        <v>7523</v>
      </c>
      <c r="Q1138" s="542"/>
      <c r="R1138" s="500"/>
      <c r="S1138" s="500"/>
      <c r="T1138" s="500"/>
      <c r="U1138" s="500"/>
      <c r="V1138" s="500"/>
      <c r="W1138" s="500"/>
      <c r="X1138" s="500"/>
      <c r="Y1138" s="500"/>
      <c r="Z1138" s="500"/>
      <c r="AA1138" s="500"/>
      <c r="AB1138" s="500"/>
      <c r="AC1138" s="500"/>
      <c r="AD1138" s="500"/>
      <c r="AE1138" s="497"/>
    </row>
    <row r="1139">
      <c r="A1139" s="533" t="s">
        <v>5479</v>
      </c>
      <c r="B1139" s="531" t="s">
        <v>6110</v>
      </c>
      <c r="C1139" s="531" t="s">
        <v>5657</v>
      </c>
      <c r="D1139" s="531" t="s">
        <v>7520</v>
      </c>
      <c r="E1139" s="531" t="s">
        <v>7519</v>
      </c>
      <c r="F1139" s="228" t="s">
        <v>5951</v>
      </c>
    </row>
    <row r="1140">
      <c r="A1140" s="533" t="s">
        <v>5490</v>
      </c>
      <c r="B1140" s="531" t="s">
        <v>6116</v>
      </c>
      <c r="C1140" s="531" t="s">
        <v>7040</v>
      </c>
      <c r="D1140" s="531" t="s">
        <v>7514</v>
      </c>
      <c r="E1140" s="531" t="s">
        <v>5727</v>
      </c>
      <c r="F1140" s="538" t="s">
        <v>7524</v>
      </c>
      <c r="G1140" s="539">
        <v>2.0</v>
      </c>
      <c r="H1140" s="538" t="s">
        <v>5728</v>
      </c>
      <c r="I1140" s="538" t="s">
        <v>2692</v>
      </c>
      <c r="J1140" s="540">
        <v>43742.0</v>
      </c>
      <c r="K1140" s="538" t="s">
        <v>5734</v>
      </c>
      <c r="L1140" s="539">
        <v>10.0</v>
      </c>
      <c r="M1140" s="538" t="s">
        <v>5824</v>
      </c>
      <c r="N1140" s="538" t="s">
        <v>7525</v>
      </c>
      <c r="O1140" s="539">
        <v>443.0</v>
      </c>
      <c r="P1140" s="541" t="s">
        <v>7526</v>
      </c>
      <c r="Q1140" s="542"/>
      <c r="R1140" s="500"/>
      <c r="S1140" s="500"/>
      <c r="T1140" s="500"/>
      <c r="U1140" s="500"/>
      <c r="V1140" s="500"/>
      <c r="W1140" s="500"/>
      <c r="X1140" s="500"/>
      <c r="Y1140" s="500"/>
      <c r="Z1140" s="500"/>
      <c r="AA1140" s="500"/>
      <c r="AB1140" s="500"/>
      <c r="AC1140" s="500"/>
      <c r="AD1140" s="500"/>
      <c r="AE1140" s="497"/>
    </row>
    <row r="1141">
      <c r="A1141" s="533" t="s">
        <v>5494</v>
      </c>
      <c r="B1141" s="531" t="s">
        <v>2704</v>
      </c>
      <c r="C1141" s="531" t="s">
        <v>5670</v>
      </c>
      <c r="D1141" s="531" t="s">
        <v>7514</v>
      </c>
      <c r="E1141" s="531" t="s">
        <v>5727</v>
      </c>
      <c r="F1141" s="228" t="s">
        <v>5951</v>
      </c>
    </row>
    <row r="1142">
      <c r="A1142" s="533" t="s">
        <v>5495</v>
      </c>
      <c r="B1142" s="531" t="s">
        <v>6096</v>
      </c>
      <c r="C1142" s="531" t="s">
        <v>5671</v>
      </c>
      <c r="D1142" s="531" t="s">
        <v>7514</v>
      </c>
      <c r="E1142" s="531" t="s">
        <v>5727</v>
      </c>
      <c r="F1142" s="228" t="s">
        <v>5951</v>
      </c>
    </row>
    <row r="1143">
      <c r="A1143" s="533" t="s">
        <v>1829</v>
      </c>
      <c r="B1143" s="534" t="s">
        <v>5699</v>
      </c>
      <c r="C1143" s="531" t="s">
        <v>5671</v>
      </c>
      <c r="D1143" s="531" t="s">
        <v>7514</v>
      </c>
      <c r="E1143" s="531" t="s">
        <v>5727</v>
      </c>
      <c r="F1143" s="538" t="s">
        <v>7527</v>
      </c>
      <c r="G1143" s="539">
        <v>2.0</v>
      </c>
      <c r="H1143" s="538" t="s">
        <v>5728</v>
      </c>
      <c r="I1143" s="538" t="s">
        <v>2702</v>
      </c>
      <c r="J1143" s="540">
        <v>43744.0</v>
      </c>
      <c r="K1143" s="538" t="s">
        <v>5729</v>
      </c>
      <c r="L1143" s="539">
        <v>10.0</v>
      </c>
      <c r="M1143" s="538" t="s">
        <v>6057</v>
      </c>
      <c r="N1143" s="538" t="s">
        <v>7528</v>
      </c>
      <c r="O1143" s="539">
        <v>184.0</v>
      </c>
      <c r="P1143" s="541" t="s">
        <v>7529</v>
      </c>
      <c r="Q1143" s="542"/>
      <c r="R1143" s="500"/>
      <c r="S1143" s="500"/>
      <c r="T1143" s="500"/>
      <c r="U1143" s="500"/>
      <c r="V1143" s="500"/>
      <c r="W1143" s="500"/>
      <c r="X1143" s="500"/>
      <c r="Y1143" s="500"/>
      <c r="Z1143" s="500"/>
      <c r="AA1143" s="500"/>
      <c r="AB1143" s="500"/>
      <c r="AC1143" s="500"/>
      <c r="AD1143" s="500"/>
      <c r="AE1143" s="497"/>
    </row>
    <row r="1144">
      <c r="A1144" s="533" t="s">
        <v>5504</v>
      </c>
      <c r="B1144" s="534" t="s">
        <v>5699</v>
      </c>
      <c r="C1144" s="531" t="s">
        <v>5657</v>
      </c>
      <c r="D1144" s="531" t="s">
        <v>7514</v>
      </c>
      <c r="E1144" s="531" t="s">
        <v>5727</v>
      </c>
      <c r="F1144" s="538" t="s">
        <v>7530</v>
      </c>
      <c r="G1144" s="539">
        <v>2.0</v>
      </c>
      <c r="H1144" s="538" t="s">
        <v>5728</v>
      </c>
      <c r="I1144" s="538" t="s">
        <v>2702</v>
      </c>
      <c r="J1144" s="540">
        <v>43747.0</v>
      </c>
      <c r="K1144" s="538" t="s">
        <v>5711</v>
      </c>
      <c r="L1144" s="539">
        <v>10.0</v>
      </c>
      <c r="M1144" s="538" t="s">
        <v>7531</v>
      </c>
      <c r="N1144" s="538" t="s">
        <v>7532</v>
      </c>
      <c r="O1144" s="539">
        <v>185.0</v>
      </c>
      <c r="P1144" s="541" t="s">
        <v>7533</v>
      </c>
      <c r="Q1144" s="542"/>
      <c r="R1144" s="500"/>
      <c r="S1144" s="500"/>
      <c r="T1144" s="500"/>
      <c r="U1144" s="500"/>
      <c r="V1144" s="500"/>
      <c r="W1144" s="500"/>
      <c r="X1144" s="500"/>
      <c r="Y1144" s="500"/>
      <c r="Z1144" s="500"/>
      <c r="AA1144" s="500"/>
      <c r="AB1144" s="500"/>
      <c r="AC1144" s="500"/>
      <c r="AD1144" s="500"/>
      <c r="AE1144" s="497"/>
    </row>
    <row r="1145">
      <c r="A1145" s="533" t="s">
        <v>5506</v>
      </c>
      <c r="B1145" s="531" t="s">
        <v>2704</v>
      </c>
      <c r="C1145" s="531" t="s">
        <v>5664</v>
      </c>
      <c r="D1145" s="531" t="s">
        <v>7514</v>
      </c>
      <c r="E1145" s="531" t="s">
        <v>5727</v>
      </c>
      <c r="F1145" s="228" t="s">
        <v>5951</v>
      </c>
    </row>
    <row r="1146">
      <c r="A1146" s="533" t="s">
        <v>5513</v>
      </c>
      <c r="B1146" s="531" t="s">
        <v>6116</v>
      </c>
      <c r="C1146" s="531" t="s">
        <v>5664</v>
      </c>
      <c r="D1146" s="531" t="s">
        <v>7515</v>
      </c>
      <c r="E1146" s="531" t="s">
        <v>5727</v>
      </c>
      <c r="F1146" s="228" t="s">
        <v>5951</v>
      </c>
    </row>
    <row r="1147">
      <c r="A1147" s="533" t="s">
        <v>5516</v>
      </c>
      <c r="B1147" s="531" t="s">
        <v>2704</v>
      </c>
      <c r="C1147" s="531" t="s">
        <v>5664</v>
      </c>
      <c r="D1147" s="531" t="s">
        <v>7515</v>
      </c>
      <c r="E1147" s="531" t="s">
        <v>5727</v>
      </c>
      <c r="F1147" s="538" t="s">
        <v>7534</v>
      </c>
      <c r="G1147" s="539">
        <v>2.0</v>
      </c>
      <c r="H1147" s="538" t="s">
        <v>5728</v>
      </c>
      <c r="I1147" s="538" t="s">
        <v>2704</v>
      </c>
      <c r="J1147" s="540">
        <v>43790.0</v>
      </c>
      <c r="K1147" s="538" t="s">
        <v>5754</v>
      </c>
      <c r="L1147" s="539">
        <v>11.0</v>
      </c>
      <c r="M1147" s="538" t="s">
        <v>6322</v>
      </c>
      <c r="N1147" s="538" t="s">
        <v>7535</v>
      </c>
      <c r="O1147" s="539">
        <v>293.0</v>
      </c>
      <c r="P1147" s="541" t="s">
        <v>7536</v>
      </c>
      <c r="Q1147" s="542"/>
      <c r="R1147" s="500"/>
      <c r="S1147" s="500"/>
      <c r="T1147" s="500"/>
      <c r="U1147" s="500"/>
      <c r="V1147" s="500"/>
      <c r="W1147" s="500"/>
      <c r="X1147" s="500"/>
      <c r="Y1147" s="500"/>
      <c r="Z1147" s="500"/>
      <c r="AA1147" s="500"/>
      <c r="AB1147" s="500"/>
      <c r="AC1147" s="500"/>
      <c r="AD1147" s="500"/>
      <c r="AE1147" s="497"/>
    </row>
    <row r="1148">
      <c r="A1148" s="533" t="s">
        <v>5520</v>
      </c>
      <c r="B1148" s="534" t="s">
        <v>5699</v>
      </c>
      <c r="C1148" s="531" t="s">
        <v>7040</v>
      </c>
      <c r="D1148" s="531" t="s">
        <v>7515</v>
      </c>
      <c r="E1148" s="531" t="s">
        <v>5727</v>
      </c>
      <c r="F1148" s="228" t="s">
        <v>5951</v>
      </c>
    </row>
    <row r="1149">
      <c r="A1149" s="547" t="s">
        <v>4728</v>
      </c>
      <c r="B1149" s="531" t="s">
        <v>6116</v>
      </c>
      <c r="C1149" s="531" t="s">
        <v>5670</v>
      </c>
      <c r="D1149" s="531" t="s">
        <v>7515</v>
      </c>
      <c r="E1149" s="531" t="s">
        <v>5727</v>
      </c>
      <c r="F1149" s="228" t="s">
        <v>5951</v>
      </c>
    </row>
    <row r="1150">
      <c r="A1150" s="533" t="s">
        <v>5521</v>
      </c>
      <c r="B1150" s="531" t="s">
        <v>6482</v>
      </c>
      <c r="C1150" s="531" t="s">
        <v>5670</v>
      </c>
      <c r="D1150" s="531" t="s">
        <v>7515</v>
      </c>
      <c r="E1150" s="531" t="s">
        <v>5727</v>
      </c>
      <c r="F1150" s="538" t="s">
        <v>7537</v>
      </c>
      <c r="G1150" s="539">
        <v>2.0</v>
      </c>
      <c r="H1150" s="538" t="s">
        <v>5728</v>
      </c>
      <c r="I1150" s="538" t="s">
        <v>2715</v>
      </c>
      <c r="J1150" s="540">
        <v>43792.0</v>
      </c>
      <c r="K1150" s="538" t="s">
        <v>5786</v>
      </c>
      <c r="L1150" s="539">
        <v>11.0</v>
      </c>
      <c r="M1150" s="538" t="s">
        <v>6257</v>
      </c>
      <c r="N1150" s="538" t="s">
        <v>7538</v>
      </c>
      <c r="O1150" s="539">
        <v>219.0</v>
      </c>
      <c r="P1150" s="541" t="s">
        <v>7539</v>
      </c>
      <c r="Q1150" s="542"/>
      <c r="R1150" s="500"/>
      <c r="S1150" s="500"/>
      <c r="T1150" s="500"/>
      <c r="U1150" s="500"/>
      <c r="V1150" s="500"/>
      <c r="W1150" s="500"/>
      <c r="X1150" s="500"/>
      <c r="Y1150" s="500"/>
      <c r="Z1150" s="500"/>
      <c r="AA1150" s="500"/>
      <c r="AB1150" s="500"/>
      <c r="AC1150" s="500"/>
      <c r="AD1150" s="500"/>
      <c r="AE1150" s="497"/>
    </row>
    <row r="1151">
      <c r="A1151" s="533" t="s">
        <v>5605</v>
      </c>
      <c r="B1151" s="531" t="s">
        <v>6532</v>
      </c>
      <c r="C1151" s="531" t="s">
        <v>5670</v>
      </c>
      <c r="D1151" s="531" t="s">
        <v>7515</v>
      </c>
      <c r="E1151" s="531" t="s">
        <v>6795</v>
      </c>
      <c r="F1151" s="538" t="s">
        <v>7540</v>
      </c>
      <c r="G1151" s="539">
        <v>2.0</v>
      </c>
      <c r="H1151" s="538" t="s">
        <v>6647</v>
      </c>
      <c r="I1151" s="538" t="s">
        <v>2740</v>
      </c>
      <c r="J1151" s="540">
        <v>43792.0</v>
      </c>
      <c r="K1151" s="538" t="s">
        <v>5786</v>
      </c>
      <c r="L1151" s="539">
        <v>11.0</v>
      </c>
      <c r="M1151" s="538" t="s">
        <v>7148</v>
      </c>
      <c r="N1151" s="538" t="s">
        <v>7541</v>
      </c>
      <c r="O1151" s="539">
        <v>243.0</v>
      </c>
      <c r="P1151" s="541" t="s">
        <v>7542</v>
      </c>
      <c r="Q1151" s="545"/>
      <c r="R1151" s="500"/>
      <c r="S1151" s="500"/>
      <c r="T1151" s="500"/>
      <c r="U1151" s="500"/>
      <c r="V1151" s="500"/>
      <c r="W1151" s="500"/>
      <c r="X1151" s="500"/>
      <c r="Y1151" s="500"/>
      <c r="Z1151" s="500"/>
      <c r="AA1151" s="500"/>
      <c r="AB1151" s="500"/>
      <c r="AC1151" s="500"/>
      <c r="AD1151" s="500"/>
      <c r="AE1151" s="497"/>
    </row>
    <row r="1152">
      <c r="A1152" s="533" t="s">
        <v>4021</v>
      </c>
      <c r="B1152" s="531" t="s">
        <v>6096</v>
      </c>
      <c r="C1152" s="531" t="s">
        <v>6794</v>
      </c>
      <c r="D1152" s="531" t="s">
        <v>7515</v>
      </c>
      <c r="E1152" s="531" t="s">
        <v>6795</v>
      </c>
      <c r="F1152" s="538" t="s">
        <v>7543</v>
      </c>
      <c r="G1152" s="539">
        <v>2.0</v>
      </c>
      <c r="H1152" s="538" t="s">
        <v>6647</v>
      </c>
      <c r="I1152" s="538" t="s">
        <v>2709</v>
      </c>
      <c r="J1152" s="540">
        <v>43794.0</v>
      </c>
      <c r="K1152" s="538" t="s">
        <v>5721</v>
      </c>
      <c r="L1152" s="539">
        <v>11.0</v>
      </c>
      <c r="M1152" s="538" t="s">
        <v>7285</v>
      </c>
      <c r="N1152" s="538" t="s">
        <v>7544</v>
      </c>
      <c r="O1152" s="539">
        <v>221.0</v>
      </c>
      <c r="P1152" s="541" t="s">
        <v>7545</v>
      </c>
      <c r="Q1152" s="542"/>
      <c r="R1152" s="500"/>
      <c r="S1152" s="500"/>
      <c r="T1152" s="500"/>
      <c r="U1152" s="500"/>
      <c r="V1152" s="500"/>
      <c r="W1152" s="500"/>
      <c r="X1152" s="500"/>
      <c r="Y1152" s="500"/>
      <c r="Z1152" s="500"/>
      <c r="AA1152" s="500"/>
      <c r="AB1152" s="500"/>
      <c r="AC1152" s="500"/>
      <c r="AD1152" s="500"/>
      <c r="AE1152" s="497"/>
    </row>
    <row r="1153">
      <c r="A1153" s="533" t="s">
        <v>5616</v>
      </c>
      <c r="B1153" s="531" t="s">
        <v>6532</v>
      </c>
      <c r="C1153" s="531" t="s">
        <v>7007</v>
      </c>
      <c r="D1153" s="531" t="s">
        <v>7520</v>
      </c>
      <c r="E1153" s="531" t="s">
        <v>6795</v>
      </c>
      <c r="F1153" s="228" t="s">
        <v>5951</v>
      </c>
    </row>
    <row r="1154">
      <c r="A1154" s="533" t="s">
        <v>5627</v>
      </c>
      <c r="B1154" s="531" t="s">
        <v>6482</v>
      </c>
      <c r="C1154" s="531" t="s">
        <v>7007</v>
      </c>
      <c r="D1154" s="531" t="s">
        <v>7520</v>
      </c>
      <c r="E1154" s="531" t="s">
        <v>6795</v>
      </c>
      <c r="F1154" s="538" t="s">
        <v>7546</v>
      </c>
      <c r="G1154" s="539">
        <v>2.0</v>
      </c>
      <c r="H1154" s="538" t="s">
        <v>6647</v>
      </c>
      <c r="I1154" s="538" t="s">
        <v>2715</v>
      </c>
      <c r="J1154" s="540">
        <v>43823.0</v>
      </c>
      <c r="K1154" s="538" t="s">
        <v>5750</v>
      </c>
      <c r="L1154" s="539">
        <v>12.0</v>
      </c>
      <c r="M1154" s="538" t="s">
        <v>5794</v>
      </c>
      <c r="N1154" s="538" t="s">
        <v>7547</v>
      </c>
      <c r="O1154" s="539">
        <v>169.0</v>
      </c>
      <c r="P1154" s="541" t="s">
        <v>7548</v>
      </c>
      <c r="Q1154" s="542"/>
      <c r="R1154" s="500"/>
      <c r="S1154" s="500"/>
      <c r="T1154" s="500"/>
      <c r="U1154" s="500"/>
      <c r="V1154" s="500"/>
      <c r="W1154" s="500"/>
      <c r="X1154" s="500"/>
      <c r="Y1154" s="500"/>
      <c r="Z1154" s="500"/>
      <c r="AA1154" s="500"/>
      <c r="AB1154" s="500"/>
      <c r="AC1154" s="500"/>
      <c r="AD1154" s="500"/>
      <c r="AE1154" s="497"/>
    </row>
    <row r="1155">
      <c r="A1155" s="533" t="s">
        <v>5635</v>
      </c>
      <c r="B1155" s="534" t="s">
        <v>5699</v>
      </c>
      <c r="C1155" s="531" t="s">
        <v>5671</v>
      </c>
      <c r="D1155" s="531" t="s">
        <v>7520</v>
      </c>
      <c r="E1155" s="531" t="s">
        <v>6795</v>
      </c>
      <c r="F1155" s="538" t="s">
        <v>7549</v>
      </c>
      <c r="G1155" s="539">
        <v>2.0</v>
      </c>
      <c r="H1155" s="538" t="s">
        <v>6647</v>
      </c>
      <c r="I1155" s="538" t="s">
        <v>2702</v>
      </c>
      <c r="J1155" s="540">
        <v>43821.0</v>
      </c>
      <c r="K1155" s="538" t="s">
        <v>5729</v>
      </c>
      <c r="L1155" s="539">
        <v>12.0</v>
      </c>
      <c r="M1155" s="538" t="s">
        <v>7531</v>
      </c>
      <c r="N1155" s="538" t="s">
        <v>7550</v>
      </c>
      <c r="O1155" s="539">
        <v>278.0</v>
      </c>
      <c r="P1155" s="541" t="s">
        <v>7551</v>
      </c>
      <c r="Q1155" s="542"/>
      <c r="R1155" s="500"/>
      <c r="S1155" s="500"/>
      <c r="T1155" s="500"/>
      <c r="U1155" s="500"/>
      <c r="V1155" s="500"/>
      <c r="W1155" s="500"/>
      <c r="X1155" s="500"/>
      <c r="Y1155" s="500"/>
      <c r="Z1155" s="500"/>
      <c r="AA1155" s="500"/>
      <c r="AB1155" s="500"/>
      <c r="AC1155" s="500"/>
      <c r="AD1155" s="500"/>
      <c r="AE1155" s="497"/>
    </row>
    <row r="1156">
      <c r="A1156" s="533" t="s">
        <v>5523</v>
      </c>
      <c r="B1156" s="531" t="s">
        <v>2704</v>
      </c>
      <c r="C1156" s="531" t="s">
        <v>5671</v>
      </c>
      <c r="D1156" s="531" t="s">
        <v>7515</v>
      </c>
      <c r="E1156" s="531" t="s">
        <v>5727</v>
      </c>
      <c r="F1156" s="228" t="s">
        <v>5951</v>
      </c>
    </row>
    <row r="1157">
      <c r="A1157" s="533" t="s">
        <v>5524</v>
      </c>
      <c r="B1157" s="531" t="s">
        <v>6109</v>
      </c>
      <c r="C1157" s="531" t="s">
        <v>5664</v>
      </c>
      <c r="D1157" s="531" t="s">
        <v>7552</v>
      </c>
      <c r="E1157" s="531" t="s">
        <v>5727</v>
      </c>
      <c r="F1157" s="228" t="s">
        <v>5951</v>
      </c>
    </row>
    <row r="1158">
      <c r="A1158" s="533" t="s">
        <v>5526</v>
      </c>
      <c r="B1158" s="531" t="s">
        <v>6116</v>
      </c>
      <c r="C1158" s="531" t="s">
        <v>5670</v>
      </c>
      <c r="D1158" s="531" t="s">
        <v>7552</v>
      </c>
      <c r="E1158" s="531" t="s">
        <v>5727</v>
      </c>
      <c r="F1158" s="538" t="s">
        <v>7553</v>
      </c>
      <c r="G1158" s="539">
        <v>2.0</v>
      </c>
      <c r="H1158" s="538" t="s">
        <v>5728</v>
      </c>
      <c r="I1158" s="538" t="s">
        <v>2692</v>
      </c>
      <c r="J1158" s="540">
        <v>43820.0</v>
      </c>
      <c r="K1158" s="538" t="s">
        <v>5786</v>
      </c>
      <c r="L1158" s="539">
        <v>12.0</v>
      </c>
      <c r="M1158" s="538" t="s">
        <v>5824</v>
      </c>
      <c r="N1158" s="538" t="s">
        <v>7554</v>
      </c>
      <c r="O1158" s="539">
        <v>368.0</v>
      </c>
      <c r="P1158" s="541" t="s">
        <v>7555</v>
      </c>
      <c r="Q1158" s="542"/>
      <c r="R1158" s="500"/>
      <c r="S1158" s="500"/>
      <c r="T1158" s="500"/>
      <c r="U1158" s="500"/>
      <c r="V1158" s="500"/>
      <c r="W1158" s="500"/>
      <c r="X1158" s="500"/>
      <c r="Y1158" s="500"/>
      <c r="Z1158" s="500"/>
      <c r="AA1158" s="500"/>
      <c r="AB1158" s="500"/>
      <c r="AC1158" s="500"/>
      <c r="AD1158" s="500"/>
      <c r="AE1158" s="497"/>
    </row>
    <row r="1159">
      <c r="A1159" s="533" t="s">
        <v>5528</v>
      </c>
      <c r="B1159" s="531" t="s">
        <v>6532</v>
      </c>
      <c r="C1159" s="531" t="s">
        <v>7007</v>
      </c>
      <c r="D1159" s="531" t="s">
        <v>7552</v>
      </c>
      <c r="E1159" s="531" t="s">
        <v>5727</v>
      </c>
      <c r="F1159" s="538" t="s">
        <v>7556</v>
      </c>
      <c r="G1159" s="539">
        <v>2.0</v>
      </c>
      <c r="H1159" s="538" t="s">
        <v>5728</v>
      </c>
      <c r="I1159" s="538" t="s">
        <v>2740</v>
      </c>
      <c r="J1159" s="540">
        <v>43816.0</v>
      </c>
      <c r="K1159" s="538" t="s">
        <v>5750</v>
      </c>
      <c r="L1159" s="539">
        <v>12.0</v>
      </c>
      <c r="M1159" s="538" t="s">
        <v>7557</v>
      </c>
      <c r="N1159" s="538" t="s">
        <v>7558</v>
      </c>
      <c r="O1159" s="539">
        <v>608.0</v>
      </c>
      <c r="P1159" s="541" t="s">
        <v>7559</v>
      </c>
      <c r="Q1159" s="545"/>
      <c r="R1159" s="500"/>
      <c r="S1159" s="500"/>
      <c r="T1159" s="500"/>
      <c r="U1159" s="500"/>
      <c r="V1159" s="500"/>
      <c r="W1159" s="500"/>
      <c r="X1159" s="500"/>
      <c r="Y1159" s="500"/>
      <c r="Z1159" s="500"/>
      <c r="AA1159" s="500"/>
      <c r="AB1159" s="500"/>
      <c r="AC1159" s="500"/>
      <c r="AD1159" s="500"/>
      <c r="AE1159" s="497"/>
    </row>
    <row r="1160">
      <c r="A1160" s="533" t="s">
        <v>5530</v>
      </c>
      <c r="B1160" s="531" t="s">
        <v>6112</v>
      </c>
      <c r="C1160" s="531" t="s">
        <v>5657</v>
      </c>
      <c r="D1160" s="531" t="s">
        <v>7552</v>
      </c>
      <c r="E1160" s="531" t="s">
        <v>5727</v>
      </c>
      <c r="F1160" s="538" t="s">
        <v>7560</v>
      </c>
      <c r="G1160" s="539">
        <v>2.0</v>
      </c>
      <c r="H1160" s="538" t="s">
        <v>5728</v>
      </c>
      <c r="I1160" s="538" t="s">
        <v>2707</v>
      </c>
      <c r="J1160" s="540">
        <v>43824.0</v>
      </c>
      <c r="K1160" s="538" t="s">
        <v>5711</v>
      </c>
      <c r="L1160" s="539">
        <v>12.0</v>
      </c>
      <c r="M1160" s="538" t="s">
        <v>7561</v>
      </c>
      <c r="N1160" s="538" t="s">
        <v>7562</v>
      </c>
      <c r="O1160" s="539">
        <v>258.0</v>
      </c>
      <c r="P1160" s="541" t="s">
        <v>7563</v>
      </c>
      <c r="Q1160" s="542"/>
      <c r="R1160" s="500"/>
      <c r="S1160" s="500"/>
      <c r="T1160" s="500"/>
      <c r="U1160" s="500"/>
      <c r="V1160" s="500"/>
      <c r="W1160" s="500"/>
      <c r="X1160" s="500"/>
      <c r="Y1160" s="500"/>
      <c r="Z1160" s="500"/>
      <c r="AA1160" s="500"/>
      <c r="AB1160" s="500"/>
      <c r="AC1160" s="500"/>
      <c r="AD1160" s="500"/>
      <c r="AE1160" s="497"/>
    </row>
    <row r="1161">
      <c r="A1161" s="533" t="s">
        <v>5538</v>
      </c>
      <c r="B1161" s="531" t="s">
        <v>6116</v>
      </c>
      <c r="C1161" s="531" t="s">
        <v>5671</v>
      </c>
      <c r="D1161" s="531" t="s">
        <v>7552</v>
      </c>
      <c r="E1161" s="531" t="s">
        <v>5727</v>
      </c>
      <c r="F1161" s="228" t="s">
        <v>5951</v>
      </c>
    </row>
    <row r="1162">
      <c r="A1162" s="533" t="s">
        <v>5539</v>
      </c>
      <c r="B1162" s="531" t="s">
        <v>6110</v>
      </c>
      <c r="C1162" s="531" t="s">
        <v>5664</v>
      </c>
      <c r="D1162" s="531" t="s">
        <v>7552</v>
      </c>
      <c r="E1162" s="531" t="s">
        <v>5727</v>
      </c>
      <c r="F1162" s="538" t="s">
        <v>7564</v>
      </c>
      <c r="G1162" s="539">
        <v>2.0</v>
      </c>
      <c r="H1162" s="538" t="s">
        <v>5728</v>
      </c>
      <c r="I1162" s="538" t="s">
        <v>2698</v>
      </c>
      <c r="J1162" s="540">
        <v>43818.0</v>
      </c>
      <c r="K1162" s="538" t="s">
        <v>5754</v>
      </c>
      <c r="L1162" s="539">
        <v>12.0</v>
      </c>
      <c r="M1162" s="538" t="s">
        <v>7565</v>
      </c>
      <c r="N1162" s="538" t="s">
        <v>7566</v>
      </c>
      <c r="O1162" s="539">
        <v>817.0</v>
      </c>
      <c r="P1162" s="541" t="s">
        <v>7567</v>
      </c>
      <c r="Q1162" s="542"/>
      <c r="R1162" s="500"/>
      <c r="S1162" s="500"/>
      <c r="T1162" s="500"/>
      <c r="U1162" s="500"/>
      <c r="V1162" s="500"/>
      <c r="W1162" s="500"/>
      <c r="X1162" s="500"/>
      <c r="Y1162" s="500"/>
      <c r="Z1162" s="500"/>
      <c r="AA1162" s="500"/>
      <c r="AB1162" s="500"/>
      <c r="AC1162" s="500"/>
      <c r="AD1162" s="500"/>
      <c r="AE1162" s="497"/>
    </row>
    <row r="1163">
      <c r="A1163" s="533" t="s">
        <v>1884</v>
      </c>
      <c r="B1163" s="531" t="s">
        <v>6116</v>
      </c>
      <c r="C1163" s="531" t="s">
        <v>6489</v>
      </c>
      <c r="D1163" s="531" t="s">
        <v>7514</v>
      </c>
      <c r="E1163" s="531" t="s">
        <v>6241</v>
      </c>
      <c r="F1163" s="228" t="s">
        <v>5951</v>
      </c>
    </row>
    <row r="1164">
      <c r="A1164" s="533" t="s">
        <v>5543</v>
      </c>
      <c r="B1164" s="531" t="s">
        <v>2709</v>
      </c>
      <c r="C1164" s="531" t="s">
        <v>6489</v>
      </c>
      <c r="D1164" s="531" t="s">
        <v>7514</v>
      </c>
      <c r="E1164" s="531" t="s">
        <v>6241</v>
      </c>
      <c r="F1164" s="538" t="s">
        <v>7568</v>
      </c>
      <c r="G1164" s="539">
        <v>2.0</v>
      </c>
      <c r="H1164" s="538" t="s">
        <v>6243</v>
      </c>
      <c r="I1164" s="538" t="s">
        <v>2709</v>
      </c>
      <c r="J1164" s="540">
        <v>43741.0</v>
      </c>
      <c r="K1164" s="538" t="s">
        <v>5754</v>
      </c>
      <c r="L1164" s="539">
        <v>10.0</v>
      </c>
      <c r="M1164" s="538" t="s">
        <v>5909</v>
      </c>
      <c r="N1164" s="538" t="s">
        <v>7569</v>
      </c>
      <c r="O1164" s="539">
        <v>400.0</v>
      </c>
      <c r="P1164" s="541" t="s">
        <v>7570</v>
      </c>
      <c r="Q1164" s="542"/>
      <c r="R1164" s="500"/>
      <c r="S1164" s="500"/>
      <c r="T1164" s="500"/>
      <c r="U1164" s="500"/>
      <c r="V1164" s="500"/>
      <c r="W1164" s="500"/>
      <c r="X1164" s="500"/>
      <c r="Y1164" s="500"/>
      <c r="Z1164" s="500"/>
      <c r="AA1164" s="500"/>
      <c r="AB1164" s="500"/>
      <c r="AC1164" s="500"/>
      <c r="AD1164" s="500"/>
      <c r="AE1164" s="497"/>
    </row>
    <row r="1165">
      <c r="A1165" s="533" t="s">
        <v>5557</v>
      </c>
      <c r="B1165" s="531" t="s">
        <v>2724</v>
      </c>
      <c r="C1165" s="531" t="s">
        <v>6489</v>
      </c>
      <c r="D1165" s="531" t="s">
        <v>7515</v>
      </c>
      <c r="E1165" s="531" t="s">
        <v>6241</v>
      </c>
      <c r="F1165" s="538" t="s">
        <v>7571</v>
      </c>
      <c r="G1165" s="539">
        <v>2.0</v>
      </c>
      <c r="H1165" s="538" t="s">
        <v>6243</v>
      </c>
      <c r="I1165" s="538" t="s">
        <v>2724</v>
      </c>
      <c r="J1165" s="540">
        <v>43790.0</v>
      </c>
      <c r="K1165" s="538" t="s">
        <v>5754</v>
      </c>
      <c r="L1165" s="539">
        <v>11.0</v>
      </c>
      <c r="M1165" s="538" t="s">
        <v>6357</v>
      </c>
      <c r="N1165" s="538" t="s">
        <v>7572</v>
      </c>
      <c r="O1165" s="539">
        <v>252.0</v>
      </c>
      <c r="P1165" s="541" t="s">
        <v>7573</v>
      </c>
      <c r="Q1165" s="542"/>
      <c r="R1165" s="500"/>
      <c r="S1165" s="500"/>
      <c r="T1165" s="500"/>
      <c r="U1165" s="500"/>
      <c r="V1165" s="500"/>
      <c r="W1165" s="500"/>
      <c r="X1165" s="500"/>
      <c r="Y1165" s="500"/>
      <c r="Z1165" s="500"/>
      <c r="AA1165" s="500"/>
      <c r="AB1165" s="500"/>
      <c r="AC1165" s="500"/>
      <c r="AD1165" s="500"/>
      <c r="AE1165" s="497"/>
    </row>
    <row r="1166">
      <c r="A1166" s="533" t="s">
        <v>5567</v>
      </c>
      <c r="B1166" s="531" t="s">
        <v>6101</v>
      </c>
      <c r="C1166" s="531" t="s">
        <v>7007</v>
      </c>
      <c r="D1166" s="531" t="s">
        <v>7515</v>
      </c>
      <c r="E1166" s="531" t="s">
        <v>6241</v>
      </c>
      <c r="F1166" s="538" t="s">
        <v>7574</v>
      </c>
      <c r="G1166" s="539">
        <v>2.0</v>
      </c>
      <c r="H1166" s="538" t="s">
        <v>6243</v>
      </c>
      <c r="I1166" s="538" t="s">
        <v>2715</v>
      </c>
      <c r="J1166" s="540">
        <v>43788.0</v>
      </c>
      <c r="K1166" s="538" t="s">
        <v>5750</v>
      </c>
      <c r="L1166" s="539">
        <v>11.0</v>
      </c>
      <c r="M1166" s="538" t="s">
        <v>5886</v>
      </c>
      <c r="N1166" s="538" t="s">
        <v>7575</v>
      </c>
      <c r="O1166" s="539">
        <v>301.0</v>
      </c>
      <c r="P1166" s="541" t="s">
        <v>7576</v>
      </c>
      <c r="Q1166" s="542"/>
      <c r="R1166" s="500"/>
      <c r="S1166" s="500"/>
      <c r="T1166" s="500"/>
      <c r="U1166" s="500"/>
      <c r="V1166" s="500"/>
      <c r="W1166" s="500"/>
      <c r="X1166" s="500"/>
      <c r="Y1166" s="500"/>
      <c r="Z1166" s="500"/>
      <c r="AA1166" s="500"/>
      <c r="AB1166" s="500"/>
      <c r="AC1166" s="500"/>
      <c r="AD1166" s="500"/>
      <c r="AE1166" s="497"/>
    </row>
    <row r="1167">
      <c r="A1167" s="533" t="s">
        <v>5571</v>
      </c>
      <c r="B1167" s="534" t="s">
        <v>5699</v>
      </c>
      <c r="C1167" s="531" t="s">
        <v>7040</v>
      </c>
      <c r="D1167" s="531" t="s">
        <v>7552</v>
      </c>
      <c r="E1167" s="531" t="s">
        <v>6241</v>
      </c>
      <c r="F1167" s="538" t="s">
        <v>1004</v>
      </c>
      <c r="G1167" s="539">
        <v>2.0</v>
      </c>
      <c r="H1167" s="538" t="s">
        <v>6243</v>
      </c>
      <c r="I1167" s="538" t="s">
        <v>2702</v>
      </c>
      <c r="J1167" s="540">
        <v>43826.0</v>
      </c>
      <c r="K1167" s="538" t="s">
        <v>5734</v>
      </c>
      <c r="L1167" s="539">
        <v>12.0</v>
      </c>
      <c r="M1167" s="538" t="s">
        <v>7531</v>
      </c>
      <c r="N1167" s="538" t="s">
        <v>7577</v>
      </c>
      <c r="O1167" s="539">
        <v>334.0</v>
      </c>
      <c r="P1167" s="541" t="s">
        <v>7578</v>
      </c>
      <c r="Q1167" s="542"/>
      <c r="R1167" s="500"/>
      <c r="S1167" s="500"/>
      <c r="T1167" s="500"/>
      <c r="U1167" s="500"/>
      <c r="V1167" s="500"/>
      <c r="W1167" s="500"/>
      <c r="X1167" s="500"/>
      <c r="Y1167" s="500"/>
      <c r="Z1167" s="500"/>
      <c r="AA1167" s="500"/>
      <c r="AB1167" s="500"/>
      <c r="AC1167" s="500"/>
      <c r="AD1167" s="500"/>
      <c r="AE1167" s="497"/>
    </row>
    <row r="1168">
      <c r="A1168" s="533" t="s">
        <v>5586</v>
      </c>
      <c r="B1168" s="534" t="s">
        <v>5699</v>
      </c>
      <c r="C1168" s="531" t="s">
        <v>7040</v>
      </c>
      <c r="D1168" s="531" t="s">
        <v>7514</v>
      </c>
      <c r="E1168" s="531" t="s">
        <v>6795</v>
      </c>
      <c r="F1168" s="228" t="s">
        <v>5951</v>
      </c>
    </row>
    <row r="1169">
      <c r="A1169" s="533" t="s">
        <v>5598</v>
      </c>
      <c r="B1169" s="531" t="s">
        <v>6109</v>
      </c>
      <c r="C1169" s="531" t="s">
        <v>5657</v>
      </c>
      <c r="D1169" s="531" t="s">
        <v>7515</v>
      </c>
      <c r="E1169" s="531" t="s">
        <v>6795</v>
      </c>
      <c r="F1169" s="538" t="s">
        <v>7579</v>
      </c>
      <c r="G1169" s="539">
        <v>2.0</v>
      </c>
      <c r="H1169" s="538" t="s">
        <v>6647</v>
      </c>
      <c r="I1169" s="538" t="s">
        <v>2695</v>
      </c>
      <c r="J1169" s="540">
        <v>43789.0</v>
      </c>
      <c r="K1169" s="538" t="s">
        <v>5711</v>
      </c>
      <c r="L1169" s="539">
        <v>11.0</v>
      </c>
      <c r="M1169" s="538" t="s">
        <v>5879</v>
      </c>
      <c r="N1169" s="538" t="s">
        <v>7580</v>
      </c>
      <c r="O1169" s="539">
        <v>375.0</v>
      </c>
      <c r="P1169" s="541" t="s">
        <v>7581</v>
      </c>
      <c r="Q1169" s="545"/>
      <c r="R1169" s="500"/>
      <c r="S1169" s="500"/>
      <c r="T1169" s="500"/>
      <c r="U1169" s="500"/>
      <c r="V1169" s="500"/>
      <c r="W1169" s="500"/>
      <c r="X1169" s="500"/>
      <c r="Y1169" s="500"/>
      <c r="Z1169" s="500"/>
      <c r="AA1169" s="500"/>
      <c r="AB1169" s="500"/>
      <c r="AC1169" s="500"/>
      <c r="AD1169" s="500"/>
      <c r="AE1169" s="497"/>
    </row>
    <row r="1170">
      <c r="A1170" s="528" t="s">
        <v>4685</v>
      </c>
      <c r="B1170" s="534" t="s">
        <v>5699</v>
      </c>
      <c r="C1170" s="531" t="s">
        <v>6794</v>
      </c>
      <c r="D1170" s="531" t="s">
        <v>7515</v>
      </c>
      <c r="E1170" s="531" t="s">
        <v>7519</v>
      </c>
      <c r="F1170" s="228" t="s">
        <v>5951</v>
      </c>
    </row>
    <row r="1171">
      <c r="A1171" s="528" t="s">
        <v>881</v>
      </c>
      <c r="B1171" s="531" t="s">
        <v>2709</v>
      </c>
      <c r="C1171" s="531" t="s">
        <v>5657</v>
      </c>
      <c r="D1171" s="531" t="s">
        <v>7515</v>
      </c>
      <c r="E1171" s="531" t="s">
        <v>7519</v>
      </c>
      <c r="F1171" s="228" t="s">
        <v>5951</v>
      </c>
    </row>
    <row r="1172">
      <c r="A1172" s="528" t="s">
        <v>4686</v>
      </c>
      <c r="B1172" s="531" t="s">
        <v>6482</v>
      </c>
      <c r="C1172" s="531" t="s">
        <v>5657</v>
      </c>
      <c r="D1172" s="531" t="s">
        <v>7515</v>
      </c>
      <c r="E1172" s="531" t="s">
        <v>7519</v>
      </c>
      <c r="F1172" s="228" t="s">
        <v>5951</v>
      </c>
    </row>
    <row r="1173">
      <c r="A1173" s="528" t="s">
        <v>4687</v>
      </c>
      <c r="B1173" s="531" t="s">
        <v>6482</v>
      </c>
      <c r="C1173" s="531" t="s">
        <v>7040</v>
      </c>
      <c r="D1173" s="531" t="s">
        <v>7515</v>
      </c>
      <c r="E1173" s="531" t="s">
        <v>7519</v>
      </c>
      <c r="F1173" s="228" t="s">
        <v>5951</v>
      </c>
    </row>
    <row r="1174">
      <c r="A1174" s="528" t="s">
        <v>4689</v>
      </c>
      <c r="B1174" s="531" t="s">
        <v>6482</v>
      </c>
      <c r="C1174" s="531" t="s">
        <v>5664</v>
      </c>
      <c r="D1174" s="531" t="s">
        <v>7552</v>
      </c>
      <c r="E1174" s="531" t="s">
        <v>7519</v>
      </c>
      <c r="F1174" s="228" t="s">
        <v>5951</v>
      </c>
    </row>
    <row r="1175">
      <c r="A1175" s="528" t="s">
        <v>1810</v>
      </c>
      <c r="B1175" s="531" t="s">
        <v>6112</v>
      </c>
      <c r="C1175" s="531" t="s">
        <v>7007</v>
      </c>
      <c r="D1175" s="531" t="s">
        <v>7552</v>
      </c>
      <c r="E1175" s="531" t="s">
        <v>7519</v>
      </c>
      <c r="F1175" s="228" t="s">
        <v>5951</v>
      </c>
    </row>
    <row r="1176">
      <c r="A1176" s="528" t="s">
        <v>4698</v>
      </c>
      <c r="B1176" s="531" t="s">
        <v>6482</v>
      </c>
      <c r="C1176" s="531" t="s">
        <v>7040</v>
      </c>
      <c r="D1176" s="531" t="s">
        <v>7520</v>
      </c>
      <c r="E1176" s="531" t="s">
        <v>7519</v>
      </c>
      <c r="F1176" s="228" t="s">
        <v>5951</v>
      </c>
    </row>
    <row r="1177">
      <c r="A1177" s="528" t="s">
        <v>4706</v>
      </c>
      <c r="B1177" s="531" t="s">
        <v>6482</v>
      </c>
      <c r="C1177" s="531" t="s">
        <v>6794</v>
      </c>
      <c r="D1177" s="531" t="s">
        <v>7514</v>
      </c>
      <c r="E1177" s="531" t="s">
        <v>5727</v>
      </c>
      <c r="F1177" s="228" t="s">
        <v>5951</v>
      </c>
    </row>
    <row r="1178">
      <c r="A1178" s="528" t="s">
        <v>4707</v>
      </c>
      <c r="B1178" s="531" t="s">
        <v>6109</v>
      </c>
      <c r="C1178" s="531" t="s">
        <v>5681</v>
      </c>
      <c r="D1178" s="531" t="s">
        <v>7514</v>
      </c>
      <c r="E1178" s="531" t="s">
        <v>5727</v>
      </c>
      <c r="F1178" s="228" t="s">
        <v>5951</v>
      </c>
    </row>
    <row r="1179">
      <c r="A1179" s="528" t="s">
        <v>4720</v>
      </c>
      <c r="B1179" s="534" t="s">
        <v>5699</v>
      </c>
      <c r="C1179" s="531" t="s">
        <v>5681</v>
      </c>
      <c r="D1179" s="531" t="s">
        <v>7515</v>
      </c>
      <c r="E1179" s="531" t="s">
        <v>5727</v>
      </c>
      <c r="F1179" s="228" t="s">
        <v>5951</v>
      </c>
    </row>
    <row r="1180">
      <c r="A1180" s="528" t="s">
        <v>7582</v>
      </c>
      <c r="B1180" s="531" t="s">
        <v>2709</v>
      </c>
      <c r="C1180" s="531" t="s">
        <v>5664</v>
      </c>
      <c r="D1180" s="531" t="s">
        <v>7515</v>
      </c>
      <c r="E1180" s="531" t="s">
        <v>5728</v>
      </c>
      <c r="F1180" s="538" t="s">
        <v>4725</v>
      </c>
      <c r="G1180" s="539">
        <v>2.0</v>
      </c>
      <c r="H1180" s="538" t="s">
        <v>5728</v>
      </c>
      <c r="I1180" s="538" t="s">
        <v>2709</v>
      </c>
      <c r="J1180" s="540">
        <v>43790.0</v>
      </c>
      <c r="K1180" s="538" t="s">
        <v>5754</v>
      </c>
      <c r="L1180" s="539">
        <v>11.0</v>
      </c>
      <c r="M1180" s="538" t="s">
        <v>6171</v>
      </c>
      <c r="N1180" s="538" t="s">
        <v>7583</v>
      </c>
      <c r="O1180" s="539">
        <v>671.0</v>
      </c>
      <c r="P1180" s="541" t="s">
        <v>7584</v>
      </c>
      <c r="Q1180" s="542"/>
      <c r="R1180" s="500"/>
      <c r="S1180" s="500"/>
      <c r="T1180" s="500"/>
      <c r="U1180" s="500"/>
      <c r="V1180" s="500"/>
      <c r="W1180" s="500"/>
      <c r="X1180" s="500"/>
      <c r="Y1180" s="500"/>
      <c r="Z1180" s="500"/>
      <c r="AA1180" s="500"/>
      <c r="AB1180" s="500"/>
      <c r="AC1180" s="500"/>
      <c r="AD1180" s="500"/>
      <c r="AE1180" s="497"/>
    </row>
    <row r="1181">
      <c r="A1181" s="528" t="s">
        <v>4727</v>
      </c>
      <c r="B1181" s="531" t="s">
        <v>6116</v>
      </c>
      <c r="C1181" s="531" t="s">
        <v>5664</v>
      </c>
      <c r="D1181" s="531" t="s">
        <v>7515</v>
      </c>
      <c r="E1181" s="531" t="s">
        <v>5727</v>
      </c>
      <c r="F1181" s="228" t="s">
        <v>5951</v>
      </c>
    </row>
    <row r="1182">
      <c r="A1182" s="528" t="s">
        <v>4728</v>
      </c>
      <c r="B1182" s="531" t="s">
        <v>6116</v>
      </c>
      <c r="C1182" s="531" t="s">
        <v>7040</v>
      </c>
      <c r="D1182" s="531" t="s">
        <v>7515</v>
      </c>
      <c r="E1182" s="531" t="s">
        <v>5727</v>
      </c>
      <c r="F1182" s="228" t="s">
        <v>5951</v>
      </c>
    </row>
    <row r="1183">
      <c r="A1183" s="528" t="s">
        <v>7585</v>
      </c>
      <c r="B1183" s="531" t="s">
        <v>6109</v>
      </c>
      <c r="C1183" s="531" t="s">
        <v>5671</v>
      </c>
      <c r="D1183" s="531" t="s">
        <v>7515</v>
      </c>
      <c r="E1183" s="531" t="s">
        <v>5727</v>
      </c>
      <c r="F1183" s="538" t="s">
        <v>4729</v>
      </c>
      <c r="G1183" s="539">
        <v>2.0</v>
      </c>
      <c r="H1183" s="538" t="s">
        <v>5728</v>
      </c>
      <c r="I1183" s="538" t="s">
        <v>2695</v>
      </c>
      <c r="J1183" s="540">
        <v>43793.0</v>
      </c>
      <c r="K1183" s="538" t="s">
        <v>5729</v>
      </c>
      <c r="L1183" s="539">
        <v>11.0</v>
      </c>
      <c r="M1183" s="538" t="s">
        <v>6490</v>
      </c>
      <c r="N1183" s="538" t="s">
        <v>7586</v>
      </c>
      <c r="O1183" s="539">
        <v>299.0</v>
      </c>
      <c r="P1183" s="541" t="s">
        <v>7587</v>
      </c>
      <c r="Q1183" s="545" t="s">
        <v>7588</v>
      </c>
      <c r="R1183" s="500"/>
      <c r="S1183" s="500"/>
      <c r="T1183" s="500"/>
      <c r="U1183" s="500"/>
      <c r="V1183" s="500"/>
      <c r="W1183" s="500"/>
      <c r="X1183" s="500"/>
      <c r="Y1183" s="500"/>
      <c r="Z1183" s="500"/>
      <c r="AA1183" s="500"/>
      <c r="AB1183" s="500"/>
      <c r="AC1183" s="500"/>
      <c r="AD1183" s="500"/>
      <c r="AE1183" s="497"/>
    </row>
    <row r="1184">
      <c r="A1184" s="528" t="s">
        <v>7589</v>
      </c>
      <c r="B1184" s="531" t="s">
        <v>2724</v>
      </c>
      <c r="C1184" s="531" t="s">
        <v>5671</v>
      </c>
      <c r="D1184" s="531" t="s">
        <v>7515</v>
      </c>
      <c r="E1184" s="531" t="s">
        <v>5727</v>
      </c>
      <c r="F1184" s="538" t="s">
        <v>4733</v>
      </c>
      <c r="G1184" s="539">
        <v>2.0</v>
      </c>
      <c r="H1184" s="538" t="s">
        <v>5728</v>
      </c>
      <c r="I1184" s="538" t="s">
        <v>2724</v>
      </c>
      <c r="J1184" s="540">
        <v>43793.0</v>
      </c>
      <c r="K1184" s="538" t="s">
        <v>5729</v>
      </c>
      <c r="L1184" s="539">
        <v>11.0</v>
      </c>
      <c r="M1184" s="538" t="s">
        <v>5763</v>
      </c>
      <c r="N1184" s="538" t="s">
        <v>7590</v>
      </c>
      <c r="O1184" s="539">
        <v>176.0</v>
      </c>
      <c r="P1184" s="541" t="s">
        <v>7591</v>
      </c>
      <c r="Q1184" s="542"/>
      <c r="R1184" s="500"/>
      <c r="S1184" s="500"/>
      <c r="T1184" s="500"/>
      <c r="U1184" s="500"/>
      <c r="V1184" s="500"/>
      <c r="W1184" s="500"/>
      <c r="X1184" s="500"/>
      <c r="Y1184" s="500"/>
      <c r="Z1184" s="500"/>
      <c r="AA1184" s="500"/>
      <c r="AB1184" s="500"/>
      <c r="AC1184" s="500"/>
      <c r="AD1184" s="500"/>
      <c r="AE1184" s="497"/>
    </row>
    <row r="1185">
      <c r="A1185" s="528" t="s">
        <v>4738</v>
      </c>
      <c r="B1185" s="531" t="s">
        <v>6116</v>
      </c>
      <c r="C1185" s="531" t="s">
        <v>5682</v>
      </c>
      <c r="D1185" s="531" t="s">
        <v>7515</v>
      </c>
      <c r="E1185" s="531" t="s">
        <v>5727</v>
      </c>
      <c r="F1185" s="228" t="s">
        <v>5951</v>
      </c>
    </row>
    <row r="1186">
      <c r="A1186" s="548" t="s">
        <v>4740</v>
      </c>
      <c r="B1186" s="531" t="s">
        <v>2709</v>
      </c>
      <c r="C1186" s="531" t="s">
        <v>5681</v>
      </c>
      <c r="D1186" s="531" t="s">
        <v>7515</v>
      </c>
      <c r="E1186" s="531" t="s">
        <v>5727</v>
      </c>
      <c r="F1186" s="228" t="s">
        <v>5951</v>
      </c>
    </row>
    <row r="1187">
      <c r="A1187" s="528" t="s">
        <v>4741</v>
      </c>
      <c r="B1187" s="531" t="s">
        <v>2724</v>
      </c>
      <c r="C1187" s="531" t="s">
        <v>5664</v>
      </c>
      <c r="D1187" s="531" t="s">
        <v>7520</v>
      </c>
      <c r="E1187" s="531" t="s">
        <v>5727</v>
      </c>
      <c r="F1187" s="228" t="s">
        <v>5951</v>
      </c>
    </row>
    <row r="1188">
      <c r="A1188" s="528" t="s">
        <v>4746</v>
      </c>
      <c r="B1188" s="531" t="s">
        <v>2709</v>
      </c>
      <c r="C1188" s="531" t="s">
        <v>5657</v>
      </c>
      <c r="D1188" s="531" t="s">
        <v>7520</v>
      </c>
      <c r="E1188" s="531" t="s">
        <v>5727</v>
      </c>
      <c r="F1188" s="228" t="s">
        <v>5951</v>
      </c>
    </row>
    <row r="1189">
      <c r="A1189" s="528" t="s">
        <v>7592</v>
      </c>
      <c r="B1189" s="531" t="s">
        <v>6112</v>
      </c>
      <c r="C1189" s="531" t="s">
        <v>5664</v>
      </c>
      <c r="D1189" s="531" t="s">
        <v>7520</v>
      </c>
      <c r="E1189" s="531" t="s">
        <v>5727</v>
      </c>
      <c r="F1189" s="538" t="s">
        <v>4747</v>
      </c>
      <c r="G1189" s="539">
        <v>2.0</v>
      </c>
      <c r="H1189" s="538" t="s">
        <v>5728</v>
      </c>
      <c r="I1189" s="538" t="s">
        <v>2715</v>
      </c>
      <c r="J1189" s="540">
        <v>43818.0</v>
      </c>
      <c r="K1189" s="538" t="s">
        <v>5754</v>
      </c>
      <c r="L1189" s="539">
        <v>12.0</v>
      </c>
      <c r="M1189" s="538" t="s">
        <v>5794</v>
      </c>
      <c r="N1189" s="538" t="s">
        <v>7593</v>
      </c>
      <c r="O1189" s="539">
        <v>130.0</v>
      </c>
      <c r="P1189" s="541" t="s">
        <v>7594</v>
      </c>
      <c r="Q1189" s="542"/>
      <c r="R1189" s="500"/>
      <c r="S1189" s="500"/>
      <c r="T1189" s="500"/>
      <c r="U1189" s="500"/>
      <c r="V1189" s="500"/>
      <c r="W1189" s="500"/>
      <c r="X1189" s="500"/>
      <c r="Y1189" s="500"/>
      <c r="Z1189" s="500"/>
      <c r="AA1189" s="500"/>
      <c r="AB1189" s="500"/>
      <c r="AC1189" s="500"/>
      <c r="AD1189" s="500"/>
      <c r="AE1189" s="497"/>
    </row>
    <row r="1190">
      <c r="A1190" s="528" t="s">
        <v>7595</v>
      </c>
      <c r="B1190" s="531" t="s">
        <v>2724</v>
      </c>
      <c r="C1190" s="531" t="s">
        <v>7040</v>
      </c>
      <c r="D1190" s="531" t="s">
        <v>7520</v>
      </c>
      <c r="E1190" s="531" t="s">
        <v>5727</v>
      </c>
      <c r="F1190" s="538" t="s">
        <v>4749</v>
      </c>
      <c r="G1190" s="539">
        <v>2.0</v>
      </c>
      <c r="H1190" s="538" t="s">
        <v>5728</v>
      </c>
      <c r="I1190" s="538" t="s">
        <v>2724</v>
      </c>
      <c r="J1190" s="540">
        <v>43819.0</v>
      </c>
      <c r="K1190" s="538" t="s">
        <v>5734</v>
      </c>
      <c r="L1190" s="539">
        <v>12.0</v>
      </c>
      <c r="M1190" s="538" t="s">
        <v>7596</v>
      </c>
      <c r="N1190" s="538" t="s">
        <v>7597</v>
      </c>
      <c r="O1190" s="539">
        <v>218.0</v>
      </c>
      <c r="P1190" s="541" t="s">
        <v>7598</v>
      </c>
      <c r="Q1190" s="542"/>
      <c r="R1190" s="500"/>
      <c r="S1190" s="500"/>
      <c r="T1190" s="500"/>
      <c r="U1190" s="500"/>
      <c r="V1190" s="500"/>
      <c r="W1190" s="500"/>
      <c r="X1190" s="500"/>
      <c r="Y1190" s="500"/>
      <c r="Z1190" s="500"/>
      <c r="AA1190" s="500"/>
      <c r="AB1190" s="500"/>
      <c r="AC1190" s="500"/>
      <c r="AD1190" s="500"/>
      <c r="AE1190" s="497"/>
    </row>
    <row r="1191">
      <c r="A1191" s="528" t="s">
        <v>4755</v>
      </c>
      <c r="B1191" s="531" t="s">
        <v>6532</v>
      </c>
      <c r="C1191" s="531" t="s">
        <v>7040</v>
      </c>
      <c r="D1191" s="531" t="s">
        <v>7520</v>
      </c>
      <c r="E1191" s="531" t="s">
        <v>5727</v>
      </c>
      <c r="F1191" s="228" t="s">
        <v>6472</v>
      </c>
    </row>
    <row r="1192">
      <c r="A1192" s="528" t="s">
        <v>4756</v>
      </c>
      <c r="B1192" s="531" t="s">
        <v>6482</v>
      </c>
      <c r="C1192" s="531" t="s">
        <v>5670</v>
      </c>
      <c r="D1192" s="531" t="s">
        <v>7520</v>
      </c>
      <c r="E1192" s="531" t="s">
        <v>5727</v>
      </c>
      <c r="F1192" s="228" t="s">
        <v>6472</v>
      </c>
    </row>
    <row r="1193">
      <c r="A1193" s="528" t="s">
        <v>4757</v>
      </c>
      <c r="B1193" s="531" t="s">
        <v>6532</v>
      </c>
      <c r="C1193" s="531" t="s">
        <v>5671</v>
      </c>
      <c r="D1193" s="531" t="s">
        <v>7520</v>
      </c>
      <c r="E1193" s="531" t="s">
        <v>5727</v>
      </c>
      <c r="F1193" s="228" t="s">
        <v>5951</v>
      </c>
    </row>
    <row r="1194">
      <c r="A1194" s="495" t="s">
        <v>878</v>
      </c>
      <c r="B1194" s="531" t="s">
        <v>6109</v>
      </c>
      <c r="C1194" s="531" t="s">
        <v>7040</v>
      </c>
      <c r="D1194" s="531" t="s">
        <v>7514</v>
      </c>
      <c r="E1194" s="531" t="s">
        <v>7519</v>
      </c>
      <c r="F1194" s="228" t="s">
        <v>5951</v>
      </c>
    </row>
    <row r="1195">
      <c r="A1195" s="495" t="s">
        <v>1802</v>
      </c>
      <c r="B1195" s="531" t="s">
        <v>6116</v>
      </c>
      <c r="C1195" s="531" t="s">
        <v>7040</v>
      </c>
      <c r="D1195" s="531" t="s">
        <v>7514</v>
      </c>
      <c r="E1195" s="531" t="s">
        <v>7519</v>
      </c>
      <c r="F1195" s="228" t="s">
        <v>5951</v>
      </c>
    </row>
    <row r="1196">
      <c r="A1196" s="495" t="s">
        <v>1803</v>
      </c>
      <c r="B1196" s="531" t="s">
        <v>6109</v>
      </c>
      <c r="C1196" s="531" t="s">
        <v>5682</v>
      </c>
      <c r="D1196" s="531" t="s">
        <v>7514</v>
      </c>
      <c r="E1196" s="531" t="s">
        <v>7519</v>
      </c>
      <c r="F1196" s="228" t="s">
        <v>5951</v>
      </c>
    </row>
    <row r="1197">
      <c r="A1197" s="495" t="s">
        <v>1804</v>
      </c>
      <c r="B1197" s="534" t="s">
        <v>5699</v>
      </c>
      <c r="C1197" s="531" t="s">
        <v>5682</v>
      </c>
      <c r="D1197" s="531" t="s">
        <v>7514</v>
      </c>
      <c r="E1197" s="531" t="s">
        <v>7519</v>
      </c>
      <c r="F1197" s="228" t="s">
        <v>5951</v>
      </c>
    </row>
    <row r="1198">
      <c r="A1198" s="495" t="s">
        <v>1805</v>
      </c>
      <c r="B1198" s="531" t="s">
        <v>6112</v>
      </c>
      <c r="C1198" s="531" t="s">
        <v>7040</v>
      </c>
      <c r="D1198" s="531" t="s">
        <v>7515</v>
      </c>
      <c r="E1198" s="531" t="s">
        <v>7519</v>
      </c>
      <c r="F1198" s="228" t="s">
        <v>5951</v>
      </c>
    </row>
    <row r="1199">
      <c r="A1199" s="495" t="s">
        <v>1809</v>
      </c>
      <c r="B1199" s="531" t="s">
        <v>2724</v>
      </c>
      <c r="C1199" s="531" t="s">
        <v>5670</v>
      </c>
      <c r="D1199" s="531" t="s">
        <v>7520</v>
      </c>
      <c r="E1199" s="531" t="s">
        <v>7519</v>
      </c>
      <c r="F1199" s="228" t="s">
        <v>5951</v>
      </c>
    </row>
    <row r="1200">
      <c r="A1200" s="495" t="s">
        <v>1814</v>
      </c>
      <c r="B1200" s="531" t="s">
        <v>6116</v>
      </c>
      <c r="C1200" s="531" t="s">
        <v>5682</v>
      </c>
      <c r="D1200" s="531" t="s">
        <v>7520</v>
      </c>
      <c r="E1200" s="531" t="s">
        <v>7519</v>
      </c>
      <c r="F1200" s="228" t="s">
        <v>5951</v>
      </c>
    </row>
    <row r="1201">
      <c r="A1201" s="495" t="s">
        <v>1815</v>
      </c>
      <c r="B1201" s="534" t="s">
        <v>5699</v>
      </c>
      <c r="C1201" s="531" t="s">
        <v>5682</v>
      </c>
      <c r="D1201" s="531" t="s">
        <v>7520</v>
      </c>
      <c r="E1201" s="531" t="s">
        <v>7519</v>
      </c>
      <c r="F1201" s="228" t="s">
        <v>5951</v>
      </c>
    </row>
    <row r="1202">
      <c r="A1202" s="495" t="s">
        <v>1818</v>
      </c>
      <c r="B1202" s="531" t="s">
        <v>6109</v>
      </c>
      <c r="C1202" s="531" t="s">
        <v>5682</v>
      </c>
      <c r="D1202" s="531" t="s">
        <v>7514</v>
      </c>
      <c r="E1202" s="531" t="s">
        <v>5727</v>
      </c>
      <c r="F1202" s="228" t="s">
        <v>5951</v>
      </c>
    </row>
    <row r="1203">
      <c r="A1203" s="495" t="s">
        <v>1827</v>
      </c>
      <c r="B1203" s="531" t="s">
        <v>6109</v>
      </c>
      <c r="C1203" s="531" t="s">
        <v>5671</v>
      </c>
      <c r="D1203" s="531" t="s">
        <v>7514</v>
      </c>
      <c r="E1203" s="531" t="s">
        <v>5727</v>
      </c>
      <c r="F1203" s="228" t="s">
        <v>5951</v>
      </c>
    </row>
    <row r="1204">
      <c r="A1204" s="495" t="s">
        <v>1828</v>
      </c>
      <c r="B1204" s="531" t="s">
        <v>6110</v>
      </c>
      <c r="C1204" s="531" t="s">
        <v>5671</v>
      </c>
      <c r="D1204" s="531" t="s">
        <v>7514</v>
      </c>
      <c r="E1204" s="531" t="s">
        <v>5727</v>
      </c>
      <c r="F1204" s="228" t="s">
        <v>5951</v>
      </c>
    </row>
    <row r="1205">
      <c r="A1205" s="495" t="s">
        <v>7599</v>
      </c>
      <c r="B1205" s="531" t="s">
        <v>6482</v>
      </c>
      <c r="C1205" s="531" t="s">
        <v>5671</v>
      </c>
      <c r="D1205" s="531" t="s">
        <v>7514</v>
      </c>
      <c r="E1205" s="531" t="s">
        <v>5727</v>
      </c>
      <c r="F1205" s="538" t="s">
        <v>1830</v>
      </c>
      <c r="G1205" s="539">
        <v>2.0</v>
      </c>
      <c r="H1205" s="538" t="s">
        <v>5728</v>
      </c>
      <c r="I1205" s="538" t="s">
        <v>2715</v>
      </c>
      <c r="J1205" s="540">
        <v>43744.0</v>
      </c>
      <c r="K1205" s="538" t="s">
        <v>5729</v>
      </c>
      <c r="L1205" s="539">
        <v>10.0</v>
      </c>
      <c r="M1205" s="538" t="s">
        <v>5794</v>
      </c>
      <c r="N1205" s="538" t="s">
        <v>7600</v>
      </c>
      <c r="O1205" s="539">
        <v>181.0</v>
      </c>
      <c r="P1205" s="541" t="s">
        <v>7601</v>
      </c>
      <c r="Q1205" s="542"/>
      <c r="R1205" s="500"/>
      <c r="S1205" s="500"/>
      <c r="T1205" s="500"/>
      <c r="U1205" s="500"/>
      <c r="V1205" s="500"/>
      <c r="W1205" s="500"/>
      <c r="X1205" s="500"/>
      <c r="Y1205" s="500"/>
      <c r="Z1205" s="500"/>
      <c r="AA1205" s="500"/>
      <c r="AB1205" s="500"/>
      <c r="AC1205" s="500"/>
      <c r="AD1205" s="500"/>
      <c r="AE1205" s="497"/>
    </row>
    <row r="1206">
      <c r="A1206" s="495" t="s">
        <v>1832</v>
      </c>
      <c r="B1206" s="531" t="s">
        <v>6532</v>
      </c>
      <c r="C1206" s="531" t="s">
        <v>5682</v>
      </c>
      <c r="D1206" s="531" t="s">
        <v>7514</v>
      </c>
      <c r="E1206" s="531" t="s">
        <v>5727</v>
      </c>
      <c r="F1206" s="228" t="s">
        <v>5951</v>
      </c>
    </row>
    <row r="1207">
      <c r="A1207" s="495" t="s">
        <v>7602</v>
      </c>
      <c r="B1207" s="534" t="s">
        <v>5699</v>
      </c>
      <c r="C1207" s="531" t="s">
        <v>5682</v>
      </c>
      <c r="D1207" s="531" t="s">
        <v>7514</v>
      </c>
      <c r="E1207" s="531" t="s">
        <v>5727</v>
      </c>
      <c r="F1207" s="538" t="s">
        <v>1835</v>
      </c>
      <c r="G1207" s="539">
        <v>2.0</v>
      </c>
      <c r="H1207" s="538" t="s">
        <v>5728</v>
      </c>
      <c r="I1207" s="538" t="s">
        <v>2702</v>
      </c>
      <c r="J1207" s="540">
        <v>43787.0</v>
      </c>
      <c r="K1207" s="538" t="s">
        <v>5721</v>
      </c>
      <c r="L1207" s="539">
        <v>11.0</v>
      </c>
      <c r="M1207" s="538" t="s">
        <v>7531</v>
      </c>
      <c r="N1207" s="538" t="s">
        <v>7603</v>
      </c>
      <c r="O1207" s="539">
        <v>245.0</v>
      </c>
      <c r="P1207" s="541" t="s">
        <v>7604</v>
      </c>
      <c r="Q1207" s="542"/>
      <c r="R1207" s="500"/>
      <c r="S1207" s="500"/>
      <c r="T1207" s="500"/>
      <c r="U1207" s="500"/>
      <c r="V1207" s="500"/>
      <c r="W1207" s="500"/>
      <c r="X1207" s="500"/>
      <c r="Y1207" s="500"/>
      <c r="Z1207" s="500"/>
      <c r="AA1207" s="500"/>
      <c r="AB1207" s="500"/>
      <c r="AC1207" s="500"/>
      <c r="AD1207" s="500"/>
      <c r="AE1207" s="497"/>
    </row>
    <row r="1208">
      <c r="A1208" s="495" t="s">
        <v>7605</v>
      </c>
      <c r="B1208" s="531" t="s">
        <v>6109</v>
      </c>
      <c r="C1208" s="531" t="s">
        <v>5657</v>
      </c>
      <c r="D1208" s="531" t="s">
        <v>7514</v>
      </c>
      <c r="E1208" s="531" t="s">
        <v>5727</v>
      </c>
      <c r="F1208" s="538" t="s">
        <v>1836</v>
      </c>
      <c r="G1208" s="539">
        <v>2.0</v>
      </c>
      <c r="H1208" s="538" t="s">
        <v>5728</v>
      </c>
      <c r="I1208" s="538" t="s">
        <v>2695</v>
      </c>
      <c r="J1208" s="540">
        <v>43789.0</v>
      </c>
      <c r="K1208" s="538" t="s">
        <v>5711</v>
      </c>
      <c r="L1208" s="539"/>
      <c r="M1208" s="538" t="s">
        <v>5777</v>
      </c>
      <c r="N1208" s="538" t="s">
        <v>7606</v>
      </c>
      <c r="O1208" s="539">
        <v>501.0</v>
      </c>
      <c r="P1208" s="541" t="s">
        <v>7607</v>
      </c>
      <c r="Q1208" s="545"/>
      <c r="R1208" s="500"/>
      <c r="S1208" s="500"/>
      <c r="T1208" s="500"/>
      <c r="U1208" s="500"/>
      <c r="V1208" s="500"/>
      <c r="W1208" s="500"/>
      <c r="X1208" s="500"/>
      <c r="Y1208" s="500"/>
      <c r="Z1208" s="500"/>
      <c r="AA1208" s="500"/>
      <c r="AB1208" s="500"/>
      <c r="AC1208" s="500"/>
      <c r="AD1208" s="500"/>
      <c r="AE1208" s="497"/>
    </row>
    <row r="1209">
      <c r="A1209" s="495" t="s">
        <v>7608</v>
      </c>
      <c r="B1209" s="531" t="s">
        <v>6110</v>
      </c>
      <c r="C1209" s="531" t="s">
        <v>5664</v>
      </c>
      <c r="D1209" s="531" t="s">
        <v>7514</v>
      </c>
      <c r="E1209" s="531" t="s">
        <v>5727</v>
      </c>
      <c r="F1209" s="538" t="s">
        <v>1838</v>
      </c>
      <c r="G1209" s="539">
        <v>2.0</v>
      </c>
      <c r="H1209" s="538" t="s">
        <v>5728</v>
      </c>
      <c r="I1209" s="538" t="s">
        <v>2698</v>
      </c>
      <c r="J1209" s="540">
        <v>43748.0</v>
      </c>
      <c r="K1209" s="538" t="s">
        <v>5754</v>
      </c>
      <c r="L1209" s="539">
        <v>10.0</v>
      </c>
      <c r="M1209" s="538" t="s">
        <v>5824</v>
      </c>
      <c r="N1209" s="538" t="s">
        <v>7609</v>
      </c>
      <c r="O1209" s="539">
        <v>248.0</v>
      </c>
      <c r="P1209" s="541" t="s">
        <v>7610</v>
      </c>
      <c r="Q1209" s="542"/>
      <c r="R1209" s="500"/>
      <c r="S1209" s="500"/>
      <c r="T1209" s="500"/>
      <c r="U1209" s="500"/>
      <c r="V1209" s="500"/>
      <c r="W1209" s="500"/>
      <c r="X1209" s="500"/>
      <c r="Y1209" s="500"/>
      <c r="Z1209" s="500"/>
      <c r="AA1209" s="500"/>
      <c r="AB1209" s="500"/>
      <c r="AC1209" s="500"/>
      <c r="AD1209" s="500"/>
      <c r="AE1209" s="497"/>
    </row>
    <row r="1210">
      <c r="A1210" s="495" t="s">
        <v>1845</v>
      </c>
      <c r="B1210" s="531" t="s">
        <v>2709</v>
      </c>
      <c r="C1210" s="531" t="s">
        <v>5657</v>
      </c>
      <c r="D1210" s="531" t="s">
        <v>7515</v>
      </c>
      <c r="E1210" s="531" t="s">
        <v>5727</v>
      </c>
      <c r="F1210" s="228" t="s">
        <v>5951</v>
      </c>
    </row>
    <row r="1211">
      <c r="A1211" s="495" t="s">
        <v>954</v>
      </c>
      <c r="B1211" s="531" t="s">
        <v>6112</v>
      </c>
      <c r="C1211" s="531" t="s">
        <v>5670</v>
      </c>
      <c r="D1211" s="531" t="s">
        <v>7515</v>
      </c>
      <c r="E1211" s="531" t="s">
        <v>5727</v>
      </c>
      <c r="F1211" s="228" t="s">
        <v>5951</v>
      </c>
    </row>
    <row r="1212">
      <c r="A1212" s="495" t="s">
        <v>1855</v>
      </c>
      <c r="B1212" s="531" t="s">
        <v>6116</v>
      </c>
      <c r="C1212" s="531" t="s">
        <v>5671</v>
      </c>
      <c r="D1212" s="531" t="s">
        <v>7515</v>
      </c>
      <c r="E1212" s="531" t="s">
        <v>5727</v>
      </c>
      <c r="F1212" s="228" t="s">
        <v>5700</v>
      </c>
    </row>
    <row r="1213">
      <c r="A1213" s="495" t="s">
        <v>1857</v>
      </c>
      <c r="B1213" s="531" t="s">
        <v>2704</v>
      </c>
      <c r="C1213" s="531" t="s">
        <v>5671</v>
      </c>
      <c r="D1213" s="531" t="s">
        <v>7520</v>
      </c>
      <c r="E1213" s="531" t="s">
        <v>5727</v>
      </c>
      <c r="F1213" s="228" t="s">
        <v>5700</v>
      </c>
    </row>
    <row r="1214">
      <c r="A1214" s="495" t="s">
        <v>7611</v>
      </c>
      <c r="B1214" s="531" t="s">
        <v>6532</v>
      </c>
      <c r="C1214" s="531" t="s">
        <v>5664</v>
      </c>
      <c r="D1214" s="531" t="s">
        <v>7520</v>
      </c>
      <c r="E1214" s="531" t="s">
        <v>5727</v>
      </c>
      <c r="F1214" s="538" t="s">
        <v>1860</v>
      </c>
      <c r="G1214" s="539">
        <v>2.0</v>
      </c>
      <c r="H1214" s="538" t="s">
        <v>5728</v>
      </c>
      <c r="I1214" s="538" t="s">
        <v>2740</v>
      </c>
      <c r="J1214" s="540">
        <v>43811.0</v>
      </c>
      <c r="K1214" s="538" t="s">
        <v>5754</v>
      </c>
      <c r="L1214" s="539">
        <v>12.0</v>
      </c>
      <c r="M1214" s="538" t="s">
        <v>6070</v>
      </c>
      <c r="N1214" s="538" t="s">
        <v>7612</v>
      </c>
      <c r="O1214" s="539">
        <v>527.0</v>
      </c>
      <c r="P1214" s="541" t="s">
        <v>7613</v>
      </c>
      <c r="Q1214" s="545"/>
      <c r="R1214" s="500"/>
      <c r="S1214" s="500"/>
      <c r="T1214" s="500"/>
      <c r="U1214" s="500"/>
      <c r="V1214" s="500"/>
      <c r="W1214" s="500"/>
      <c r="X1214" s="500"/>
      <c r="Y1214" s="500"/>
      <c r="Z1214" s="500"/>
      <c r="AA1214" s="500"/>
      <c r="AB1214" s="500"/>
      <c r="AC1214" s="500"/>
      <c r="AD1214" s="500"/>
      <c r="AE1214" s="497"/>
    </row>
    <row r="1215">
      <c r="A1215" s="495" t="s">
        <v>7614</v>
      </c>
      <c r="B1215" s="531" t="s">
        <v>6116</v>
      </c>
      <c r="C1215" s="531" t="s">
        <v>6489</v>
      </c>
      <c r="D1215" s="531" t="s">
        <v>7520</v>
      </c>
      <c r="E1215" s="531" t="s">
        <v>5727</v>
      </c>
      <c r="F1215" s="538" t="s">
        <v>1862</v>
      </c>
      <c r="G1215" s="539">
        <v>2.0</v>
      </c>
      <c r="H1215" s="538" t="s">
        <v>5728</v>
      </c>
      <c r="I1215" s="538" t="s">
        <v>2692</v>
      </c>
      <c r="J1215" s="540">
        <v>43811.0</v>
      </c>
      <c r="K1215" s="538" t="s">
        <v>5754</v>
      </c>
      <c r="L1215" s="539">
        <v>12.0</v>
      </c>
      <c r="M1215" s="538" t="s">
        <v>5790</v>
      </c>
      <c r="N1215" s="538" t="s">
        <v>7615</v>
      </c>
      <c r="O1215" s="539">
        <v>611.0</v>
      </c>
      <c r="P1215" s="541" t="s">
        <v>7616</v>
      </c>
      <c r="Q1215" s="542"/>
      <c r="R1215" s="500"/>
      <c r="S1215" s="500"/>
      <c r="T1215" s="500"/>
      <c r="U1215" s="500"/>
      <c r="V1215" s="500"/>
      <c r="W1215" s="500"/>
      <c r="X1215" s="500"/>
      <c r="Y1215" s="500"/>
      <c r="Z1215" s="500"/>
      <c r="AA1215" s="500"/>
      <c r="AB1215" s="500"/>
      <c r="AC1215" s="500"/>
      <c r="AD1215" s="500"/>
      <c r="AE1215" s="497"/>
    </row>
    <row r="1216">
      <c r="A1216" s="495" t="s">
        <v>1868</v>
      </c>
      <c r="B1216" s="531" t="s">
        <v>2704</v>
      </c>
      <c r="C1216" s="531" t="s">
        <v>5670</v>
      </c>
      <c r="D1216" s="531" t="s">
        <v>7520</v>
      </c>
      <c r="E1216" s="531" t="s">
        <v>5727</v>
      </c>
      <c r="F1216" s="228" t="s">
        <v>5951</v>
      </c>
    </row>
    <row r="1217">
      <c r="A1217" s="495" t="s">
        <v>7617</v>
      </c>
      <c r="B1217" s="531" t="s">
        <v>2709</v>
      </c>
      <c r="C1217" s="531" t="s">
        <v>5671</v>
      </c>
      <c r="D1217" s="531" t="s">
        <v>7520</v>
      </c>
      <c r="E1217" s="531" t="s">
        <v>5727</v>
      </c>
      <c r="F1217" s="538" t="s">
        <v>1869</v>
      </c>
      <c r="G1217" s="539">
        <v>2.0</v>
      </c>
      <c r="H1217" s="538" t="s">
        <v>5728</v>
      </c>
      <c r="I1217" s="538" t="s">
        <v>2709</v>
      </c>
      <c r="J1217" s="540">
        <v>43821.0</v>
      </c>
      <c r="K1217" s="538" t="s">
        <v>5729</v>
      </c>
      <c r="L1217" s="539">
        <v>12.0</v>
      </c>
      <c r="M1217" s="538" t="s">
        <v>5850</v>
      </c>
      <c r="N1217" s="538" t="s">
        <v>7618</v>
      </c>
      <c r="O1217" s="539">
        <v>244.0</v>
      </c>
      <c r="P1217" s="541" t="s">
        <v>7619</v>
      </c>
      <c r="Q1217" s="542"/>
      <c r="R1217" s="500"/>
      <c r="S1217" s="500"/>
      <c r="T1217" s="500"/>
      <c r="U1217" s="500"/>
      <c r="V1217" s="500"/>
      <c r="W1217" s="500"/>
      <c r="X1217" s="500"/>
      <c r="Y1217" s="500"/>
      <c r="Z1217" s="500"/>
      <c r="AA1217" s="500"/>
      <c r="AB1217" s="500"/>
      <c r="AC1217" s="500"/>
      <c r="AD1217" s="500"/>
      <c r="AE1217" s="497"/>
    </row>
    <row r="1218">
      <c r="A1218" s="495" t="s">
        <v>7620</v>
      </c>
      <c r="B1218" s="531" t="s">
        <v>6116</v>
      </c>
      <c r="C1218" s="531" t="s">
        <v>7040</v>
      </c>
      <c r="D1218" s="531" t="s">
        <v>7520</v>
      </c>
      <c r="E1218" s="531" t="s">
        <v>5727</v>
      </c>
      <c r="F1218" s="538" t="s">
        <v>1873</v>
      </c>
      <c r="G1218" s="539">
        <v>2.0</v>
      </c>
      <c r="H1218" s="538" t="s">
        <v>5728</v>
      </c>
      <c r="I1218" s="538" t="s">
        <v>2692</v>
      </c>
      <c r="J1218" s="540">
        <v>43819.0</v>
      </c>
      <c r="K1218" s="538" t="s">
        <v>5734</v>
      </c>
      <c r="L1218" s="539">
        <v>12.0</v>
      </c>
      <c r="M1218" s="538" t="s">
        <v>6023</v>
      </c>
      <c r="N1218" s="538" t="s">
        <v>7621</v>
      </c>
      <c r="O1218" s="539">
        <v>415.0</v>
      </c>
      <c r="P1218" s="541" t="s">
        <v>7622</v>
      </c>
      <c r="Q1218" s="542"/>
      <c r="R1218" s="500"/>
      <c r="S1218" s="500"/>
      <c r="T1218" s="500"/>
      <c r="U1218" s="500"/>
      <c r="V1218" s="500"/>
      <c r="W1218" s="500"/>
      <c r="X1218" s="500"/>
      <c r="Y1218" s="500"/>
      <c r="Z1218" s="500"/>
      <c r="AA1218" s="500"/>
      <c r="AB1218" s="500"/>
      <c r="AC1218" s="500"/>
      <c r="AD1218" s="500"/>
      <c r="AE1218" s="497"/>
    </row>
    <row r="1219">
      <c r="A1219" s="495" t="s">
        <v>7623</v>
      </c>
      <c r="B1219" s="531" t="s">
        <v>2724</v>
      </c>
      <c r="C1219" s="531" t="s">
        <v>5671</v>
      </c>
      <c r="D1219" s="531" t="s">
        <v>7520</v>
      </c>
      <c r="E1219" s="531" t="s">
        <v>5727</v>
      </c>
      <c r="F1219" s="538" t="s">
        <v>1875</v>
      </c>
      <c r="G1219" s="539">
        <v>2.0</v>
      </c>
      <c r="H1219" s="538" t="s">
        <v>5728</v>
      </c>
      <c r="I1219" s="538" t="s">
        <v>2724</v>
      </c>
      <c r="J1219" s="540">
        <v>43814.0</v>
      </c>
      <c r="K1219" s="538" t="s">
        <v>5729</v>
      </c>
      <c r="L1219" s="539">
        <v>12.0</v>
      </c>
      <c r="M1219" s="538" t="s">
        <v>5828</v>
      </c>
      <c r="N1219" s="538" t="s">
        <v>7624</v>
      </c>
      <c r="O1219" s="539">
        <v>180.0</v>
      </c>
      <c r="P1219" s="541" t="s">
        <v>7625</v>
      </c>
      <c r="Q1219" s="542"/>
      <c r="R1219" s="500"/>
      <c r="S1219" s="500"/>
      <c r="T1219" s="500"/>
      <c r="U1219" s="500"/>
      <c r="V1219" s="500"/>
      <c r="W1219" s="500"/>
      <c r="X1219" s="500"/>
      <c r="Y1219" s="500"/>
      <c r="Z1219" s="500"/>
      <c r="AA1219" s="500"/>
      <c r="AB1219" s="500"/>
      <c r="AC1219" s="500"/>
      <c r="AD1219" s="500"/>
      <c r="AE1219" s="497"/>
    </row>
    <row r="1220">
      <c r="A1220" s="495" t="s">
        <v>1879</v>
      </c>
      <c r="B1220" s="531" t="s">
        <v>6109</v>
      </c>
      <c r="C1220" s="531" t="s">
        <v>5682</v>
      </c>
      <c r="D1220" s="531" t="s">
        <v>7520</v>
      </c>
      <c r="E1220" s="531" t="s">
        <v>5727</v>
      </c>
      <c r="F1220" s="228" t="s">
        <v>5951</v>
      </c>
    </row>
    <row r="1221">
      <c r="A1221" s="495" t="s">
        <v>7626</v>
      </c>
      <c r="B1221" s="531" t="s">
        <v>6482</v>
      </c>
      <c r="C1221" s="531" t="s">
        <v>5664</v>
      </c>
      <c r="D1221" s="531" t="s">
        <v>7514</v>
      </c>
      <c r="E1221" s="531" t="s">
        <v>6241</v>
      </c>
      <c r="F1221" s="538" t="s">
        <v>1887</v>
      </c>
      <c r="G1221" s="539">
        <v>2.0</v>
      </c>
      <c r="H1221" s="538" t="s">
        <v>6243</v>
      </c>
      <c r="I1221" s="538" t="s">
        <v>2715</v>
      </c>
      <c r="J1221" s="540">
        <v>43741.0</v>
      </c>
      <c r="K1221" s="538" t="s">
        <v>5754</v>
      </c>
      <c r="L1221" s="539">
        <v>10.0</v>
      </c>
      <c r="M1221" s="538" t="s">
        <v>7360</v>
      </c>
      <c r="N1221" s="538" t="s">
        <v>7627</v>
      </c>
      <c r="O1221" s="539">
        <v>170.0</v>
      </c>
      <c r="P1221" s="541" t="s">
        <v>7628</v>
      </c>
      <c r="Q1221" s="542"/>
      <c r="R1221" s="500"/>
      <c r="S1221" s="500"/>
      <c r="T1221" s="500"/>
      <c r="U1221" s="500"/>
      <c r="V1221" s="500"/>
      <c r="W1221" s="500"/>
      <c r="X1221" s="500"/>
      <c r="Y1221" s="500"/>
      <c r="Z1221" s="500"/>
      <c r="AA1221" s="500"/>
      <c r="AB1221" s="500"/>
      <c r="AC1221" s="500"/>
      <c r="AD1221" s="500"/>
      <c r="AE1221" s="497"/>
    </row>
    <row r="1222">
      <c r="A1222" s="495" t="s">
        <v>1891</v>
      </c>
      <c r="B1222" s="531" t="s">
        <v>6532</v>
      </c>
      <c r="C1222" s="531" t="s">
        <v>5682</v>
      </c>
      <c r="D1222" s="531" t="s">
        <v>7514</v>
      </c>
      <c r="E1222" s="531" t="s">
        <v>6241</v>
      </c>
      <c r="F1222" s="228" t="s">
        <v>5951</v>
      </c>
    </row>
    <row r="1223">
      <c r="A1223" s="495" t="s">
        <v>1901</v>
      </c>
      <c r="B1223" s="531" t="s">
        <v>6482</v>
      </c>
      <c r="C1223" s="531" t="s">
        <v>5657</v>
      </c>
      <c r="D1223" s="531" t="s">
        <v>7515</v>
      </c>
      <c r="E1223" s="531" t="s">
        <v>6241</v>
      </c>
      <c r="F1223" s="228" t="s">
        <v>5951</v>
      </c>
    </row>
    <row r="1224">
      <c r="A1224" s="495" t="s">
        <v>1908</v>
      </c>
      <c r="B1224" s="531" t="s">
        <v>6532</v>
      </c>
      <c r="C1224" s="531" t="s">
        <v>5681</v>
      </c>
      <c r="D1224" s="531" t="s">
        <v>7515</v>
      </c>
      <c r="E1224" s="531" t="s">
        <v>6241</v>
      </c>
      <c r="F1224" s="228" t="s">
        <v>5951</v>
      </c>
    </row>
    <row r="1225">
      <c r="A1225" s="495" t="s">
        <v>1920</v>
      </c>
      <c r="B1225" s="531" t="s">
        <v>6532</v>
      </c>
      <c r="C1225" s="531" t="s">
        <v>5670</v>
      </c>
      <c r="D1225" s="531" t="s">
        <v>7520</v>
      </c>
      <c r="E1225" s="531" t="s">
        <v>6241</v>
      </c>
      <c r="F1225" s="228" t="s">
        <v>5951</v>
      </c>
    </row>
    <row r="1226">
      <c r="A1226" s="495" t="s">
        <v>1934</v>
      </c>
      <c r="B1226" s="531" t="s">
        <v>2724</v>
      </c>
      <c r="C1226" s="531" t="s">
        <v>6489</v>
      </c>
      <c r="D1226" s="531" t="s">
        <v>7514</v>
      </c>
      <c r="E1226" s="531" t="s">
        <v>6647</v>
      </c>
      <c r="F1226" s="228" t="s">
        <v>5951</v>
      </c>
    </row>
    <row r="1227">
      <c r="A1227" s="495" t="s">
        <v>1936</v>
      </c>
      <c r="B1227" s="531" t="s">
        <v>2704</v>
      </c>
      <c r="C1227" s="531" t="s">
        <v>6489</v>
      </c>
      <c r="D1227" s="531" t="s">
        <v>7514</v>
      </c>
      <c r="E1227" s="531" t="s">
        <v>6647</v>
      </c>
      <c r="F1227" s="228" t="s">
        <v>5951</v>
      </c>
    </row>
    <row r="1228">
      <c r="A1228" s="495" t="s">
        <v>7629</v>
      </c>
      <c r="B1228" s="531" t="s">
        <v>2709</v>
      </c>
      <c r="C1228" s="531" t="s">
        <v>5657</v>
      </c>
      <c r="D1228" s="531" t="s">
        <v>7515</v>
      </c>
      <c r="E1228" s="531" t="s">
        <v>6647</v>
      </c>
      <c r="F1228" s="538" t="s">
        <v>1946</v>
      </c>
      <c r="G1228" s="539">
        <v>2.0</v>
      </c>
      <c r="H1228" s="538" t="s">
        <v>6647</v>
      </c>
      <c r="I1228" s="538" t="s">
        <v>2709</v>
      </c>
      <c r="J1228" s="540">
        <v>43747.0</v>
      </c>
      <c r="K1228" s="538" t="s">
        <v>5711</v>
      </c>
      <c r="L1228" s="539">
        <v>10.0</v>
      </c>
      <c r="M1228" s="538" t="s">
        <v>5722</v>
      </c>
      <c r="N1228" s="538" t="s">
        <v>7630</v>
      </c>
      <c r="O1228" s="539">
        <v>363.0</v>
      </c>
      <c r="P1228" s="541" t="s">
        <v>7631</v>
      </c>
      <c r="Q1228" s="542"/>
      <c r="R1228" s="500"/>
      <c r="S1228" s="500"/>
      <c r="T1228" s="500"/>
      <c r="U1228" s="500"/>
      <c r="V1228" s="500"/>
      <c r="W1228" s="500"/>
      <c r="X1228" s="500"/>
      <c r="Y1228" s="500"/>
      <c r="Z1228" s="500"/>
      <c r="AA1228" s="500"/>
      <c r="AB1228" s="500"/>
      <c r="AC1228" s="500"/>
      <c r="AD1228" s="500"/>
      <c r="AE1228" s="497"/>
    </row>
    <row r="1229">
      <c r="A1229" s="495" t="s">
        <v>1954</v>
      </c>
      <c r="B1229" s="531" t="s">
        <v>6116</v>
      </c>
      <c r="C1229" s="531" t="s">
        <v>5671</v>
      </c>
      <c r="D1229" s="531" t="s">
        <v>7515</v>
      </c>
      <c r="E1229" s="531" t="s">
        <v>6647</v>
      </c>
      <c r="F1229" s="321" t="s">
        <v>5700</v>
      </c>
      <c r="G1229" s="549"/>
      <c r="H1229" s="321"/>
      <c r="I1229" s="321"/>
      <c r="J1229" s="322"/>
      <c r="K1229" s="321"/>
      <c r="L1229" s="549"/>
      <c r="M1229" s="321"/>
      <c r="N1229" s="321"/>
      <c r="O1229" s="549"/>
      <c r="P1229" s="321"/>
      <c r="Q1229" s="550"/>
      <c r="R1229" s="509"/>
      <c r="S1229" s="509"/>
      <c r="T1229" s="509"/>
      <c r="U1229" s="509"/>
      <c r="V1229" s="509"/>
      <c r="W1229" s="509"/>
      <c r="X1229" s="509"/>
      <c r="Y1229" s="509"/>
      <c r="Z1229" s="509"/>
      <c r="AA1229" s="509"/>
      <c r="AB1229" s="509"/>
      <c r="AC1229" s="509"/>
      <c r="AD1229" s="509"/>
      <c r="AE1229" s="507"/>
    </row>
    <row r="1230">
      <c r="A1230" s="495" t="s">
        <v>1955</v>
      </c>
      <c r="B1230" s="531" t="s">
        <v>6112</v>
      </c>
      <c r="C1230" s="531" t="s">
        <v>5671</v>
      </c>
      <c r="D1230" s="531" t="s">
        <v>7515</v>
      </c>
      <c r="E1230" s="531" t="s">
        <v>6647</v>
      </c>
      <c r="F1230" s="228" t="s">
        <v>5700</v>
      </c>
    </row>
    <row r="1231">
      <c r="A1231" s="495" t="s">
        <v>7632</v>
      </c>
      <c r="B1231" s="531" t="s">
        <v>6116</v>
      </c>
      <c r="C1231" s="531" t="s">
        <v>5670</v>
      </c>
      <c r="D1231" s="531" t="s">
        <v>7515</v>
      </c>
      <c r="E1231" s="531" t="s">
        <v>6647</v>
      </c>
      <c r="F1231" s="538" t="s">
        <v>1968</v>
      </c>
      <c r="G1231" s="539">
        <v>2.0</v>
      </c>
      <c r="H1231" s="538" t="s">
        <v>6647</v>
      </c>
      <c r="I1231" s="538" t="s">
        <v>2692</v>
      </c>
      <c r="J1231" s="540">
        <v>43792.0</v>
      </c>
      <c r="K1231" s="538" t="s">
        <v>5786</v>
      </c>
      <c r="L1231" s="539">
        <v>11.0</v>
      </c>
      <c r="M1231" s="538" t="s">
        <v>5970</v>
      </c>
      <c r="N1231" s="538" t="s">
        <v>7633</v>
      </c>
      <c r="O1231" s="539">
        <v>553.0</v>
      </c>
      <c r="P1231" s="541" t="s">
        <v>7634</v>
      </c>
      <c r="Q1231" s="542"/>
      <c r="R1231" s="500"/>
      <c r="S1231" s="500"/>
      <c r="T1231" s="500"/>
      <c r="U1231" s="500"/>
      <c r="V1231" s="500"/>
      <c r="W1231" s="500"/>
      <c r="X1231" s="500"/>
      <c r="Y1231" s="500"/>
      <c r="Z1231" s="500"/>
      <c r="AA1231" s="500"/>
      <c r="AB1231" s="500"/>
      <c r="AC1231" s="500"/>
      <c r="AD1231" s="500"/>
      <c r="AE1231" s="497"/>
    </row>
    <row r="1232">
      <c r="A1232" s="495" t="s">
        <v>1975</v>
      </c>
      <c r="B1232" s="531" t="s">
        <v>2704</v>
      </c>
      <c r="C1232" s="531" t="s">
        <v>7040</v>
      </c>
      <c r="D1232" s="531" t="s">
        <v>7520</v>
      </c>
      <c r="E1232" s="531" t="s">
        <v>6647</v>
      </c>
      <c r="F1232" s="228" t="s">
        <v>5951</v>
      </c>
    </row>
    <row r="1233">
      <c r="A1233" s="495" t="s">
        <v>7635</v>
      </c>
      <c r="B1233" s="534" t="s">
        <v>5699</v>
      </c>
      <c r="C1233" s="531" t="s">
        <v>5681</v>
      </c>
      <c r="D1233" s="531" t="s">
        <v>7520</v>
      </c>
      <c r="E1233" s="531" t="s">
        <v>6647</v>
      </c>
      <c r="F1233" s="538" t="s">
        <v>1980</v>
      </c>
      <c r="G1233" s="539">
        <v>2.0</v>
      </c>
      <c r="H1233" s="538" t="s">
        <v>6647</v>
      </c>
      <c r="I1233" s="538" t="s">
        <v>2702</v>
      </c>
      <c r="J1233" s="540">
        <v>43823.0</v>
      </c>
      <c r="K1233" s="538" t="s">
        <v>5750</v>
      </c>
      <c r="L1233" s="539">
        <v>12.0</v>
      </c>
      <c r="M1233" s="538" t="s">
        <v>7531</v>
      </c>
      <c r="N1233" s="538" t="s">
        <v>7636</v>
      </c>
      <c r="O1233" s="539">
        <v>228.0</v>
      </c>
      <c r="P1233" s="541" t="s">
        <v>7637</v>
      </c>
      <c r="Q1233" s="542"/>
      <c r="R1233" s="500"/>
      <c r="S1233" s="500"/>
      <c r="T1233" s="500"/>
      <c r="U1233" s="500"/>
      <c r="V1233" s="500"/>
      <c r="W1233" s="500"/>
      <c r="X1233" s="500"/>
      <c r="Y1233" s="500"/>
      <c r="Z1233" s="500"/>
      <c r="AA1233" s="500"/>
      <c r="AB1233" s="500"/>
      <c r="AC1233" s="500"/>
      <c r="AD1233" s="500"/>
      <c r="AE1233" s="497"/>
    </row>
    <row r="1234">
      <c r="A1234" s="551" t="s">
        <v>877</v>
      </c>
      <c r="B1234" s="531" t="s">
        <v>6532</v>
      </c>
      <c r="C1234" s="531" t="s">
        <v>5664</v>
      </c>
      <c r="D1234" s="531" t="s">
        <v>7514</v>
      </c>
      <c r="E1234" s="531" t="s">
        <v>7519</v>
      </c>
      <c r="F1234" s="228" t="s">
        <v>5951</v>
      </c>
    </row>
    <row r="1235">
      <c r="A1235" s="551" t="s">
        <v>878</v>
      </c>
      <c r="B1235" s="531" t="s">
        <v>6109</v>
      </c>
      <c r="C1235" s="531" t="s">
        <v>7040</v>
      </c>
      <c r="D1235" s="531" t="s">
        <v>7514</v>
      </c>
      <c r="E1235" s="531" t="s">
        <v>7519</v>
      </c>
      <c r="F1235" s="228" t="s">
        <v>5951</v>
      </c>
    </row>
    <row r="1236">
      <c r="A1236" s="551" t="s">
        <v>879</v>
      </c>
      <c r="B1236" s="531" t="s">
        <v>2709</v>
      </c>
      <c r="C1236" s="531" t="s">
        <v>7040</v>
      </c>
      <c r="D1236" s="531" t="s">
        <v>7514</v>
      </c>
      <c r="E1236" s="531" t="s">
        <v>7519</v>
      </c>
      <c r="F1236" s="228" t="s">
        <v>5951</v>
      </c>
    </row>
    <row r="1237">
      <c r="A1237" s="551" t="s">
        <v>880</v>
      </c>
      <c r="B1237" s="531" t="s">
        <v>6110</v>
      </c>
      <c r="C1237" s="531" t="s">
        <v>5682</v>
      </c>
      <c r="D1237" s="531" t="s">
        <v>7514</v>
      </c>
      <c r="E1237" s="531" t="s">
        <v>7519</v>
      </c>
      <c r="F1237" s="228" t="s">
        <v>5951</v>
      </c>
    </row>
    <row r="1238">
      <c r="A1238" s="551" t="s">
        <v>883</v>
      </c>
      <c r="B1238" s="531" t="s">
        <v>2709</v>
      </c>
      <c r="C1238" s="531" t="s">
        <v>7040</v>
      </c>
      <c r="D1238" s="531" t="s">
        <v>7515</v>
      </c>
      <c r="E1238" s="531" t="s">
        <v>7519</v>
      </c>
      <c r="F1238" s="228" t="s">
        <v>5951</v>
      </c>
    </row>
    <row r="1239">
      <c r="A1239" s="551" t="s">
        <v>904</v>
      </c>
      <c r="B1239" s="534" t="s">
        <v>5699</v>
      </c>
      <c r="C1239" s="531" t="s">
        <v>5681</v>
      </c>
      <c r="D1239" s="531" t="s">
        <v>7520</v>
      </c>
      <c r="E1239" s="531" t="s">
        <v>7519</v>
      </c>
      <c r="F1239" s="228" t="s">
        <v>5951</v>
      </c>
    </row>
    <row r="1240">
      <c r="A1240" s="551" t="s">
        <v>7638</v>
      </c>
      <c r="B1240" s="552" t="s">
        <v>6116</v>
      </c>
      <c r="C1240" s="531" t="s">
        <v>5681</v>
      </c>
      <c r="D1240" s="531" t="s">
        <v>7520</v>
      </c>
      <c r="E1240" s="531" t="s">
        <v>7519</v>
      </c>
      <c r="F1240" s="538" t="s">
        <v>906</v>
      </c>
      <c r="G1240" s="539">
        <v>2.0</v>
      </c>
      <c r="H1240" s="538" t="s">
        <v>5660</v>
      </c>
      <c r="I1240" s="538" t="s">
        <v>2692</v>
      </c>
      <c r="J1240" s="540">
        <v>43816.0</v>
      </c>
      <c r="K1240" s="538" t="s">
        <v>5750</v>
      </c>
      <c r="L1240" s="539">
        <v>12.0</v>
      </c>
      <c r="M1240" s="538" t="s">
        <v>5763</v>
      </c>
      <c r="N1240" s="538" t="s">
        <v>7639</v>
      </c>
      <c r="O1240" s="539">
        <v>291.0</v>
      </c>
      <c r="P1240" s="541" t="s">
        <v>7640</v>
      </c>
      <c r="Q1240" s="542"/>
      <c r="R1240" s="500"/>
      <c r="S1240" s="500"/>
      <c r="T1240" s="500"/>
      <c r="U1240" s="500"/>
      <c r="V1240" s="500"/>
      <c r="W1240" s="500"/>
      <c r="X1240" s="500"/>
      <c r="Y1240" s="500"/>
      <c r="Z1240" s="500"/>
      <c r="AA1240" s="500"/>
      <c r="AB1240" s="500"/>
      <c r="AC1240" s="500"/>
      <c r="AD1240" s="500"/>
      <c r="AE1240" s="497"/>
    </row>
    <row r="1241">
      <c r="A1241" s="551" t="s">
        <v>912</v>
      </c>
      <c r="B1241" s="531" t="s">
        <v>6110</v>
      </c>
      <c r="C1241" s="531" t="s">
        <v>7040</v>
      </c>
      <c r="D1241" s="531" t="s">
        <v>7514</v>
      </c>
      <c r="E1241" s="531" t="s">
        <v>5727</v>
      </c>
      <c r="F1241" s="228" t="s">
        <v>5951</v>
      </c>
    </row>
    <row r="1242">
      <c r="A1242" s="551" t="s">
        <v>889</v>
      </c>
      <c r="B1242" s="531" t="s">
        <v>6116</v>
      </c>
      <c r="C1242" s="531" t="s">
        <v>7040</v>
      </c>
      <c r="D1242" s="531" t="s">
        <v>7520</v>
      </c>
      <c r="E1242" s="531" t="s">
        <v>7519</v>
      </c>
      <c r="F1242" s="228" t="s">
        <v>5951</v>
      </c>
    </row>
    <row r="1243">
      <c r="A1243" s="551" t="s">
        <v>890</v>
      </c>
      <c r="B1243" s="531" t="s">
        <v>6116</v>
      </c>
      <c r="C1243" s="531" t="s">
        <v>5670</v>
      </c>
      <c r="D1243" s="531" t="s">
        <v>7520</v>
      </c>
      <c r="E1243" s="531" t="s">
        <v>7519</v>
      </c>
      <c r="F1243" s="228" t="s">
        <v>5951</v>
      </c>
    </row>
    <row r="1244">
      <c r="A1244" s="551" t="s">
        <v>891</v>
      </c>
      <c r="B1244" s="531" t="s">
        <v>6482</v>
      </c>
      <c r="C1244" s="531" t="s">
        <v>5671</v>
      </c>
      <c r="D1244" s="531" t="s">
        <v>7520</v>
      </c>
      <c r="E1244" s="531" t="s">
        <v>7519</v>
      </c>
      <c r="F1244" s="228" t="s">
        <v>5951</v>
      </c>
    </row>
    <row r="1245">
      <c r="A1245" s="551" t="s">
        <v>913</v>
      </c>
      <c r="B1245" s="531" t="s">
        <v>2704</v>
      </c>
      <c r="C1245" s="531" t="s">
        <v>7040</v>
      </c>
      <c r="D1245" s="531" t="s">
        <v>7514</v>
      </c>
      <c r="E1245" s="531" t="s">
        <v>5727</v>
      </c>
      <c r="F1245" s="228" t="s">
        <v>5951</v>
      </c>
    </row>
    <row r="1246">
      <c r="A1246" s="551" t="s">
        <v>7641</v>
      </c>
      <c r="B1246" s="531" t="s">
        <v>6532</v>
      </c>
      <c r="C1246" s="531" t="s">
        <v>5670</v>
      </c>
      <c r="D1246" s="531" t="s">
        <v>7514</v>
      </c>
      <c r="E1246" s="531" t="s">
        <v>5727</v>
      </c>
      <c r="F1246" s="538" t="s">
        <v>919</v>
      </c>
      <c r="G1246" s="539">
        <v>2.0</v>
      </c>
      <c r="H1246" s="538" t="s">
        <v>5728</v>
      </c>
      <c r="I1246" s="538" t="s">
        <v>2740</v>
      </c>
      <c r="J1246" s="540">
        <v>43743.0</v>
      </c>
      <c r="K1246" s="538" t="s">
        <v>5786</v>
      </c>
      <c r="L1246" s="539">
        <v>10.0</v>
      </c>
      <c r="M1246" s="538" t="s">
        <v>7642</v>
      </c>
      <c r="N1246" s="538" t="s">
        <v>7643</v>
      </c>
      <c r="O1246" s="539">
        <v>380.0</v>
      </c>
      <c r="P1246" s="541" t="s">
        <v>7644</v>
      </c>
      <c r="Q1246" s="545"/>
      <c r="R1246" s="500"/>
      <c r="S1246" s="500"/>
      <c r="T1246" s="500"/>
      <c r="U1246" s="500"/>
      <c r="V1246" s="500"/>
      <c r="W1246" s="500"/>
      <c r="X1246" s="500"/>
      <c r="Y1246" s="500"/>
      <c r="Z1246" s="500"/>
      <c r="AA1246" s="500"/>
      <c r="AB1246" s="500"/>
      <c r="AC1246" s="500"/>
      <c r="AD1246" s="500"/>
      <c r="AE1246" s="497"/>
    </row>
    <row r="1247">
      <c r="A1247" s="551" t="s">
        <v>7645</v>
      </c>
      <c r="B1247" s="531" t="s">
        <v>2704</v>
      </c>
      <c r="C1247" s="531" t="s">
        <v>5682</v>
      </c>
      <c r="D1247" s="531" t="s">
        <v>7514</v>
      </c>
      <c r="E1247" s="531" t="s">
        <v>5727</v>
      </c>
      <c r="F1247" s="538" t="s">
        <v>922</v>
      </c>
      <c r="G1247" s="539">
        <v>2.0</v>
      </c>
      <c r="H1247" s="538" t="s">
        <v>5728</v>
      </c>
      <c r="I1247" s="538" t="s">
        <v>2704</v>
      </c>
      <c r="J1247" s="540">
        <v>43745.0</v>
      </c>
      <c r="K1247" s="538" t="s">
        <v>5721</v>
      </c>
      <c r="L1247" s="539">
        <v>10.0</v>
      </c>
      <c r="M1247" s="538" t="s">
        <v>6322</v>
      </c>
      <c r="N1247" s="538" t="s">
        <v>7646</v>
      </c>
      <c r="O1247" s="539">
        <v>272.0</v>
      </c>
      <c r="P1247" s="541" t="s">
        <v>7647</v>
      </c>
      <c r="Q1247" s="542"/>
      <c r="R1247" s="500"/>
      <c r="S1247" s="500"/>
      <c r="T1247" s="500"/>
      <c r="U1247" s="500"/>
      <c r="V1247" s="500"/>
      <c r="W1247" s="500"/>
      <c r="X1247" s="500"/>
      <c r="Y1247" s="500"/>
      <c r="Z1247" s="500"/>
      <c r="AA1247" s="500"/>
      <c r="AB1247" s="500"/>
      <c r="AC1247" s="500"/>
      <c r="AD1247" s="500"/>
      <c r="AE1247" s="497"/>
    </row>
    <row r="1248">
      <c r="A1248" s="551" t="s">
        <v>7648</v>
      </c>
      <c r="B1248" s="531" t="s">
        <v>6110</v>
      </c>
      <c r="C1248" s="531" t="s">
        <v>5681</v>
      </c>
      <c r="D1248" s="531" t="s">
        <v>7514</v>
      </c>
      <c r="E1248" s="531" t="s">
        <v>5727</v>
      </c>
      <c r="F1248" s="538" t="s">
        <v>924</v>
      </c>
      <c r="G1248" s="539">
        <v>2.0</v>
      </c>
      <c r="H1248" s="538" t="s">
        <v>5728</v>
      </c>
      <c r="I1248" s="538" t="s">
        <v>2698</v>
      </c>
      <c r="J1248" s="540">
        <v>43746.0</v>
      </c>
      <c r="K1248" s="538" t="s">
        <v>5750</v>
      </c>
      <c r="L1248" s="539">
        <v>10.0</v>
      </c>
      <c r="M1248" s="538" t="s">
        <v>5854</v>
      </c>
      <c r="N1248" s="538" t="s">
        <v>7649</v>
      </c>
      <c r="O1248" s="539">
        <v>397.0</v>
      </c>
      <c r="P1248" s="541" t="s">
        <v>7650</v>
      </c>
      <c r="Q1248" s="545"/>
      <c r="R1248" s="500"/>
      <c r="S1248" s="500"/>
      <c r="T1248" s="500"/>
      <c r="U1248" s="500"/>
      <c r="V1248" s="500"/>
      <c r="W1248" s="500"/>
      <c r="X1248" s="500"/>
      <c r="Y1248" s="500"/>
      <c r="Z1248" s="500"/>
      <c r="AA1248" s="500"/>
      <c r="AB1248" s="500"/>
      <c r="AC1248" s="500"/>
      <c r="AD1248" s="500"/>
      <c r="AE1248" s="497"/>
    </row>
    <row r="1249">
      <c r="A1249" s="551" t="s">
        <v>7651</v>
      </c>
      <c r="B1249" s="531" t="s">
        <v>6532</v>
      </c>
      <c r="C1249" s="531" t="s">
        <v>5657</v>
      </c>
      <c r="D1249" s="531" t="s">
        <v>7514</v>
      </c>
      <c r="E1249" s="531" t="s">
        <v>5727</v>
      </c>
      <c r="F1249" s="538" t="s">
        <v>926</v>
      </c>
      <c r="G1249" s="539">
        <v>2.0</v>
      </c>
      <c r="H1249" s="538" t="s">
        <v>5728</v>
      </c>
      <c r="I1249" s="538" t="s">
        <v>2740</v>
      </c>
      <c r="J1249" s="540">
        <v>43747.0</v>
      </c>
      <c r="K1249" s="538" t="s">
        <v>5711</v>
      </c>
      <c r="L1249" s="539">
        <v>10.0</v>
      </c>
      <c r="M1249" s="538" t="s">
        <v>6106</v>
      </c>
      <c r="N1249" s="538" t="s">
        <v>7652</v>
      </c>
      <c r="O1249" s="539">
        <v>250.0</v>
      </c>
      <c r="P1249" s="541" t="s">
        <v>7653</v>
      </c>
      <c r="Q1249" s="545"/>
      <c r="R1249" s="500"/>
      <c r="S1249" s="500"/>
      <c r="T1249" s="500"/>
      <c r="U1249" s="500"/>
      <c r="V1249" s="500"/>
      <c r="W1249" s="500"/>
      <c r="X1249" s="500"/>
      <c r="Y1249" s="500"/>
      <c r="Z1249" s="500"/>
      <c r="AA1249" s="500"/>
      <c r="AB1249" s="500"/>
      <c r="AC1249" s="500"/>
      <c r="AD1249" s="500"/>
      <c r="AE1249" s="497"/>
    </row>
    <row r="1250">
      <c r="A1250" s="551" t="s">
        <v>934</v>
      </c>
      <c r="B1250" s="531" t="s">
        <v>6112</v>
      </c>
      <c r="C1250" s="531" t="s">
        <v>5682</v>
      </c>
      <c r="D1250" s="531" t="s">
        <v>7515</v>
      </c>
      <c r="E1250" s="531" t="s">
        <v>5727</v>
      </c>
      <c r="F1250" s="228" t="s">
        <v>5951</v>
      </c>
    </row>
    <row r="1251">
      <c r="A1251" s="551" t="s">
        <v>935</v>
      </c>
      <c r="B1251" s="531" t="s">
        <v>6109</v>
      </c>
      <c r="C1251" s="531" t="s">
        <v>5681</v>
      </c>
      <c r="D1251" s="531" t="s">
        <v>7515</v>
      </c>
      <c r="E1251" s="531" t="s">
        <v>5727</v>
      </c>
      <c r="F1251" s="228" t="s">
        <v>5951</v>
      </c>
    </row>
    <row r="1252">
      <c r="A1252" s="551" t="s">
        <v>937</v>
      </c>
      <c r="B1252" s="531" t="s">
        <v>6532</v>
      </c>
      <c r="C1252" s="531" t="s">
        <v>5657</v>
      </c>
      <c r="D1252" s="531" t="s">
        <v>7515</v>
      </c>
      <c r="E1252" s="531" t="s">
        <v>5727</v>
      </c>
      <c r="F1252" s="228" t="s">
        <v>5951</v>
      </c>
    </row>
    <row r="1253">
      <c r="A1253" s="551" t="s">
        <v>940</v>
      </c>
      <c r="B1253" s="531" t="s">
        <v>6110</v>
      </c>
      <c r="C1253" s="531" t="s">
        <v>5657</v>
      </c>
      <c r="D1253" s="531" t="s">
        <v>7515</v>
      </c>
      <c r="E1253" s="531" t="s">
        <v>5727</v>
      </c>
      <c r="F1253" s="228" t="s">
        <v>5951</v>
      </c>
    </row>
    <row r="1254">
      <c r="A1254" s="551" t="s">
        <v>943</v>
      </c>
      <c r="B1254" s="531" t="s">
        <v>6110</v>
      </c>
      <c r="C1254" s="531" t="s">
        <v>5664</v>
      </c>
      <c r="D1254" s="531" t="s">
        <v>7515</v>
      </c>
      <c r="E1254" s="531" t="s">
        <v>5727</v>
      </c>
      <c r="F1254" s="228" t="s">
        <v>5951</v>
      </c>
    </row>
    <row r="1255">
      <c r="A1255" s="551" t="s">
        <v>7654</v>
      </c>
      <c r="B1255" s="531" t="s">
        <v>6482</v>
      </c>
      <c r="C1255" s="531" t="s">
        <v>5664</v>
      </c>
      <c r="D1255" s="531" t="s">
        <v>7515</v>
      </c>
      <c r="E1255" s="531" t="s">
        <v>5727</v>
      </c>
      <c r="F1255" s="538" t="s">
        <v>945</v>
      </c>
      <c r="G1255" s="539">
        <v>2.0</v>
      </c>
      <c r="H1255" s="538" t="s">
        <v>5728</v>
      </c>
      <c r="I1255" s="538" t="s">
        <v>2715</v>
      </c>
      <c r="J1255" s="540">
        <v>43790.0</v>
      </c>
      <c r="K1255" s="538" t="s">
        <v>5754</v>
      </c>
      <c r="L1255" s="539">
        <v>11.0</v>
      </c>
      <c r="M1255" s="538" t="s">
        <v>5839</v>
      </c>
      <c r="N1255" s="538" t="s">
        <v>7655</v>
      </c>
      <c r="O1255" s="539">
        <v>152.0</v>
      </c>
      <c r="P1255" s="541" t="s">
        <v>7656</v>
      </c>
      <c r="Q1255" s="542"/>
      <c r="R1255" s="500"/>
      <c r="S1255" s="500"/>
      <c r="T1255" s="500"/>
      <c r="U1255" s="500"/>
      <c r="V1255" s="500"/>
      <c r="W1255" s="500"/>
      <c r="X1255" s="500"/>
      <c r="Y1255" s="500"/>
      <c r="Z1255" s="500"/>
      <c r="AA1255" s="500"/>
      <c r="AB1255" s="500"/>
      <c r="AC1255" s="500"/>
      <c r="AD1255" s="500"/>
      <c r="AE1255" s="497"/>
    </row>
    <row r="1256">
      <c r="A1256" s="551" t="s">
        <v>947</v>
      </c>
      <c r="B1256" s="531" t="s">
        <v>6110</v>
      </c>
      <c r="C1256" s="531" t="s">
        <v>7040</v>
      </c>
      <c r="D1256" s="531" t="s">
        <v>7515</v>
      </c>
      <c r="E1256" s="531" t="s">
        <v>5727</v>
      </c>
      <c r="F1256" s="228" t="s">
        <v>5951</v>
      </c>
    </row>
    <row r="1257">
      <c r="A1257" s="551" t="s">
        <v>948</v>
      </c>
      <c r="B1257" s="531" t="s">
        <v>2704</v>
      </c>
      <c r="C1257" s="531" t="s">
        <v>7040</v>
      </c>
      <c r="D1257" s="531" t="s">
        <v>7515</v>
      </c>
      <c r="E1257" s="531" t="s">
        <v>5727</v>
      </c>
      <c r="F1257" s="228" t="s">
        <v>5951</v>
      </c>
    </row>
    <row r="1258">
      <c r="A1258" s="551" t="s">
        <v>954</v>
      </c>
      <c r="B1258" s="531" t="s">
        <v>2707</v>
      </c>
      <c r="C1258" s="531" t="s">
        <v>5670</v>
      </c>
      <c r="D1258" s="531" t="s">
        <v>7515</v>
      </c>
      <c r="E1258" s="531" t="s">
        <v>5727</v>
      </c>
      <c r="F1258" s="228" t="s">
        <v>5951</v>
      </c>
    </row>
    <row r="1259">
      <c r="A1259" s="551" t="s">
        <v>959</v>
      </c>
      <c r="B1259" s="534" t="s">
        <v>5699</v>
      </c>
      <c r="C1259" s="531" t="s">
        <v>5682</v>
      </c>
      <c r="D1259" s="531" t="s">
        <v>7515</v>
      </c>
      <c r="E1259" s="531" t="s">
        <v>5727</v>
      </c>
      <c r="F1259" s="228" t="s">
        <v>5951</v>
      </c>
    </row>
    <row r="1260">
      <c r="A1260" s="551" t="s">
        <v>963</v>
      </c>
      <c r="B1260" s="531" t="s">
        <v>2709</v>
      </c>
      <c r="C1260" s="531" t="s">
        <v>5664</v>
      </c>
      <c r="D1260" s="531" t="s">
        <v>7520</v>
      </c>
      <c r="E1260" s="531" t="s">
        <v>5727</v>
      </c>
      <c r="F1260" s="228" t="s">
        <v>5951</v>
      </c>
    </row>
    <row r="1261">
      <c r="A1261" s="551" t="s">
        <v>966</v>
      </c>
      <c r="B1261" s="531" t="s">
        <v>2704</v>
      </c>
      <c r="C1261" s="531" t="s">
        <v>7040</v>
      </c>
      <c r="D1261" s="531" t="s">
        <v>7520</v>
      </c>
      <c r="E1261" s="531" t="s">
        <v>5727</v>
      </c>
      <c r="F1261" s="228" t="s">
        <v>5951</v>
      </c>
    </row>
    <row r="1262">
      <c r="A1262" s="551" t="s">
        <v>967</v>
      </c>
      <c r="B1262" s="531" t="s">
        <v>6482</v>
      </c>
      <c r="C1262" s="531" t="s">
        <v>5682</v>
      </c>
      <c r="D1262" s="531" t="s">
        <v>7520</v>
      </c>
      <c r="E1262" s="531" t="s">
        <v>5727</v>
      </c>
      <c r="F1262" s="228" t="s">
        <v>5951</v>
      </c>
    </row>
    <row r="1263">
      <c r="A1263" s="551" t="s">
        <v>7657</v>
      </c>
      <c r="B1263" s="531" t="s">
        <v>2709</v>
      </c>
      <c r="C1263" s="531" t="s">
        <v>5670</v>
      </c>
      <c r="D1263" s="531" t="s">
        <v>7520</v>
      </c>
      <c r="E1263" s="531" t="s">
        <v>5727</v>
      </c>
      <c r="F1263" s="538" t="s">
        <v>969</v>
      </c>
      <c r="G1263" s="539">
        <v>2.0</v>
      </c>
      <c r="H1263" s="538" t="s">
        <v>5728</v>
      </c>
      <c r="I1263" s="538" t="s">
        <v>2709</v>
      </c>
      <c r="J1263" s="540">
        <v>43813.0</v>
      </c>
      <c r="K1263" s="538" t="s">
        <v>5786</v>
      </c>
      <c r="L1263" s="539">
        <v>12.0</v>
      </c>
      <c r="M1263" s="538" t="s">
        <v>5722</v>
      </c>
      <c r="N1263" s="538" t="s">
        <v>7658</v>
      </c>
      <c r="O1263" s="539">
        <v>299.0</v>
      </c>
      <c r="P1263" s="541" t="s">
        <v>7659</v>
      </c>
      <c r="Q1263" s="542"/>
      <c r="R1263" s="500"/>
      <c r="S1263" s="500"/>
      <c r="T1263" s="500"/>
      <c r="U1263" s="500"/>
      <c r="V1263" s="500"/>
      <c r="W1263" s="500"/>
      <c r="X1263" s="500"/>
      <c r="Y1263" s="500"/>
      <c r="Z1263" s="500"/>
      <c r="AA1263" s="500"/>
      <c r="AB1263" s="500"/>
      <c r="AC1263" s="500"/>
      <c r="AD1263" s="500"/>
      <c r="AE1263" s="497"/>
    </row>
    <row r="1264">
      <c r="A1264" s="551" t="s">
        <v>972</v>
      </c>
      <c r="B1264" s="534" t="s">
        <v>5699</v>
      </c>
      <c r="C1264" s="531" t="s">
        <v>5671</v>
      </c>
      <c r="D1264" s="531" t="s">
        <v>7520</v>
      </c>
      <c r="E1264" s="531" t="s">
        <v>5727</v>
      </c>
      <c r="F1264" s="228" t="s">
        <v>5951</v>
      </c>
    </row>
    <row r="1265">
      <c r="A1265" s="528" t="s">
        <v>4684</v>
      </c>
      <c r="B1265" s="531" t="s">
        <v>6116</v>
      </c>
      <c r="C1265" s="531" t="s">
        <v>5671</v>
      </c>
      <c r="D1265" s="531" t="s">
        <v>7514</v>
      </c>
      <c r="E1265" s="531" t="s">
        <v>7519</v>
      </c>
      <c r="F1265" s="228" t="s">
        <v>5951</v>
      </c>
    </row>
    <row r="1266">
      <c r="A1266" s="528" t="s">
        <v>4688</v>
      </c>
      <c r="B1266" s="531" t="s">
        <v>6109</v>
      </c>
      <c r="C1266" s="531" t="s">
        <v>6489</v>
      </c>
      <c r="D1266" s="531" t="s">
        <v>7520</v>
      </c>
      <c r="E1266" s="531" t="s">
        <v>7519</v>
      </c>
      <c r="F1266" s="228" t="s">
        <v>5951</v>
      </c>
    </row>
    <row r="1267">
      <c r="A1267" s="528" t="s">
        <v>4703</v>
      </c>
      <c r="B1267" s="531" t="s">
        <v>6482</v>
      </c>
      <c r="C1267" s="531" t="s">
        <v>5670</v>
      </c>
      <c r="D1267" s="531" t="s">
        <v>7514</v>
      </c>
      <c r="E1267" s="531" t="s">
        <v>7519</v>
      </c>
      <c r="F1267" s="228" t="s">
        <v>5951</v>
      </c>
    </row>
    <row r="1268">
      <c r="A1268" s="528" t="s">
        <v>7660</v>
      </c>
      <c r="B1268" s="531" t="s">
        <v>2709</v>
      </c>
      <c r="C1268" s="531" t="s">
        <v>5682</v>
      </c>
      <c r="D1268" s="531" t="s">
        <v>7515</v>
      </c>
      <c r="E1268" s="531" t="s">
        <v>5727</v>
      </c>
      <c r="F1268" s="538" t="s">
        <v>4735</v>
      </c>
      <c r="G1268" s="539">
        <v>2.0</v>
      </c>
      <c r="H1268" s="538" t="s">
        <v>5728</v>
      </c>
      <c r="I1268" s="538" t="s">
        <v>2709</v>
      </c>
      <c r="J1268" s="540">
        <v>43787.0</v>
      </c>
      <c r="K1268" s="538" t="s">
        <v>5721</v>
      </c>
      <c r="L1268" s="539">
        <v>11.0</v>
      </c>
      <c r="M1268" s="538" t="s">
        <v>5759</v>
      </c>
      <c r="N1268" s="538" t="s">
        <v>7661</v>
      </c>
      <c r="O1268" s="539">
        <v>355.0</v>
      </c>
      <c r="P1268" s="541" t="s">
        <v>7662</v>
      </c>
      <c r="Q1268" s="542"/>
      <c r="R1268" s="500"/>
      <c r="S1268" s="500"/>
      <c r="T1268" s="500"/>
      <c r="U1268" s="500"/>
      <c r="V1268" s="500"/>
      <c r="W1268" s="500"/>
      <c r="X1268" s="500"/>
      <c r="Y1268" s="500"/>
      <c r="Z1268" s="500"/>
      <c r="AA1268" s="500"/>
      <c r="AB1268" s="500"/>
      <c r="AC1268" s="500"/>
      <c r="AD1268" s="500"/>
      <c r="AE1268" s="497"/>
    </row>
    <row r="1269">
      <c r="A1269" s="528" t="s">
        <v>4760</v>
      </c>
      <c r="B1269" s="531" t="s">
        <v>6482</v>
      </c>
      <c r="C1269" s="531" t="s">
        <v>7040</v>
      </c>
      <c r="D1269" s="531" t="s">
        <v>7514</v>
      </c>
      <c r="E1269" s="531" t="s">
        <v>6241</v>
      </c>
      <c r="F1269" s="228" t="s">
        <v>5951</v>
      </c>
    </row>
    <row r="1270">
      <c r="A1270" s="528" t="s">
        <v>7663</v>
      </c>
      <c r="B1270" s="531" t="s">
        <v>6110</v>
      </c>
      <c r="C1270" s="531" t="s">
        <v>7032</v>
      </c>
      <c r="D1270" s="531" t="s">
        <v>7514</v>
      </c>
      <c r="E1270" s="531" t="s">
        <v>6241</v>
      </c>
      <c r="F1270" s="538" t="s">
        <v>4761</v>
      </c>
      <c r="G1270" s="539">
        <v>2.0</v>
      </c>
      <c r="H1270" s="538" t="s">
        <v>6243</v>
      </c>
      <c r="I1270" s="538" t="s">
        <v>2698</v>
      </c>
      <c r="J1270" s="540">
        <v>43792.0</v>
      </c>
      <c r="K1270" s="538" t="s">
        <v>5786</v>
      </c>
      <c r="L1270" s="539">
        <v>11.0</v>
      </c>
      <c r="M1270" s="538" t="s">
        <v>5824</v>
      </c>
      <c r="N1270" s="538" t="s">
        <v>7664</v>
      </c>
      <c r="O1270" s="539">
        <v>208.0</v>
      </c>
      <c r="P1270" s="541" t="s">
        <v>7665</v>
      </c>
      <c r="Q1270" s="542"/>
      <c r="R1270" s="500"/>
      <c r="S1270" s="500"/>
      <c r="T1270" s="500"/>
      <c r="U1270" s="500"/>
      <c r="V1270" s="500"/>
      <c r="W1270" s="500"/>
      <c r="X1270" s="500"/>
      <c r="Y1270" s="500"/>
      <c r="Z1270" s="500"/>
      <c r="AA1270" s="500"/>
      <c r="AB1270" s="500"/>
      <c r="AC1270" s="500"/>
      <c r="AD1270" s="500"/>
      <c r="AE1270" s="497"/>
    </row>
    <row r="1271">
      <c r="A1271" s="528" t="s">
        <v>7666</v>
      </c>
      <c r="B1271" s="531" t="s">
        <v>6482</v>
      </c>
      <c r="C1271" s="531" t="s">
        <v>7040</v>
      </c>
      <c r="D1271" s="531" t="s">
        <v>7515</v>
      </c>
      <c r="E1271" s="531" t="s">
        <v>6241</v>
      </c>
      <c r="F1271" s="538" t="s">
        <v>4777</v>
      </c>
      <c r="G1271" s="539">
        <v>2.0</v>
      </c>
      <c r="H1271" s="538" t="s">
        <v>6243</v>
      </c>
      <c r="I1271" s="538" t="s">
        <v>2715</v>
      </c>
      <c r="J1271" s="540">
        <v>43791.0</v>
      </c>
      <c r="K1271" s="538" t="s">
        <v>5734</v>
      </c>
      <c r="L1271" s="539">
        <v>11.0</v>
      </c>
      <c r="M1271" s="538" t="s">
        <v>5839</v>
      </c>
      <c r="N1271" s="538" t="s">
        <v>7667</v>
      </c>
      <c r="O1271" s="539">
        <v>281.0</v>
      </c>
      <c r="P1271" s="541" t="s">
        <v>7668</v>
      </c>
      <c r="Q1271" s="542"/>
      <c r="R1271" s="500"/>
      <c r="S1271" s="500"/>
      <c r="T1271" s="500"/>
      <c r="U1271" s="500"/>
      <c r="V1271" s="500"/>
      <c r="W1271" s="500"/>
      <c r="X1271" s="500"/>
      <c r="Y1271" s="500"/>
      <c r="Z1271" s="500"/>
      <c r="AA1271" s="500"/>
      <c r="AB1271" s="500"/>
      <c r="AC1271" s="500"/>
      <c r="AD1271" s="500"/>
      <c r="AE1271" s="497"/>
    </row>
    <row r="1272">
      <c r="A1272" s="528" t="s">
        <v>4791</v>
      </c>
      <c r="B1272" s="531" t="s">
        <v>6532</v>
      </c>
      <c r="C1272" s="531" t="s">
        <v>5657</v>
      </c>
      <c r="D1272" s="531" t="s">
        <v>7520</v>
      </c>
      <c r="E1272" s="531" t="s">
        <v>6241</v>
      </c>
      <c r="F1272" s="228" t="s">
        <v>5951</v>
      </c>
    </row>
    <row r="1273">
      <c r="A1273" s="528" t="s">
        <v>4794</v>
      </c>
      <c r="B1273" s="534" t="s">
        <v>5699</v>
      </c>
      <c r="C1273" s="531" t="s">
        <v>5657</v>
      </c>
      <c r="D1273" s="531" t="s">
        <v>7520</v>
      </c>
      <c r="E1273" s="531" t="s">
        <v>6241</v>
      </c>
      <c r="F1273" s="228" t="s">
        <v>5951</v>
      </c>
    </row>
    <row r="1274">
      <c r="A1274" s="528" t="s">
        <v>712</v>
      </c>
      <c r="B1274" s="531" t="s">
        <v>6532</v>
      </c>
      <c r="C1274" s="531" t="s">
        <v>7040</v>
      </c>
      <c r="D1274" s="531" t="s">
        <v>7520</v>
      </c>
      <c r="E1274" s="531" t="s">
        <v>6241</v>
      </c>
      <c r="F1274" s="538" t="s">
        <v>4795</v>
      </c>
      <c r="G1274" s="539">
        <v>2.0</v>
      </c>
      <c r="H1274" s="538" t="s">
        <v>6243</v>
      </c>
      <c r="I1274" s="538" t="s">
        <v>2740</v>
      </c>
      <c r="J1274" s="540">
        <v>43819.0</v>
      </c>
      <c r="K1274" s="538" t="s">
        <v>5734</v>
      </c>
      <c r="L1274" s="539">
        <v>12.0</v>
      </c>
      <c r="M1274" s="538" t="s">
        <v>6772</v>
      </c>
      <c r="N1274" s="538" t="s">
        <v>7669</v>
      </c>
      <c r="O1274" s="539">
        <v>1162.0</v>
      </c>
      <c r="P1274" s="541" t="s">
        <v>7670</v>
      </c>
      <c r="Q1274" s="545"/>
      <c r="R1274" s="500"/>
      <c r="S1274" s="500"/>
      <c r="T1274" s="500"/>
      <c r="U1274" s="500"/>
      <c r="V1274" s="500"/>
      <c r="W1274" s="500"/>
      <c r="X1274" s="500"/>
      <c r="Y1274" s="500"/>
      <c r="Z1274" s="500"/>
      <c r="AA1274" s="500"/>
      <c r="AB1274" s="500"/>
      <c r="AC1274" s="500"/>
      <c r="AD1274" s="500"/>
      <c r="AE1274" s="497"/>
    </row>
    <row r="1275">
      <c r="A1275" s="528" t="s">
        <v>7671</v>
      </c>
      <c r="B1275" s="531" t="s">
        <v>6482</v>
      </c>
      <c r="C1275" s="531" t="s">
        <v>5671</v>
      </c>
      <c r="D1275" s="531" t="s">
        <v>7514</v>
      </c>
      <c r="E1275" s="531" t="s">
        <v>6647</v>
      </c>
      <c r="F1275" s="538" t="s">
        <v>2814</v>
      </c>
      <c r="G1275" s="539">
        <v>2.0</v>
      </c>
      <c r="H1275" s="538" t="s">
        <v>6647</v>
      </c>
      <c r="I1275" s="538" t="s">
        <v>2715</v>
      </c>
      <c r="J1275" s="540">
        <v>43744.0</v>
      </c>
      <c r="K1275" s="538" t="s">
        <v>5729</v>
      </c>
      <c r="L1275" s="539">
        <v>10.0</v>
      </c>
      <c r="M1275" s="538" t="s">
        <v>7360</v>
      </c>
      <c r="N1275" s="538" t="s">
        <v>7672</v>
      </c>
      <c r="O1275" s="539">
        <v>212.0</v>
      </c>
      <c r="P1275" s="541" t="s">
        <v>7673</v>
      </c>
      <c r="Q1275" s="542"/>
      <c r="R1275" s="500"/>
      <c r="S1275" s="500"/>
      <c r="T1275" s="500"/>
      <c r="U1275" s="500"/>
      <c r="V1275" s="500"/>
      <c r="W1275" s="500"/>
      <c r="X1275" s="500"/>
      <c r="Y1275" s="500"/>
      <c r="Z1275" s="500"/>
      <c r="AA1275" s="500"/>
      <c r="AB1275" s="500"/>
      <c r="AC1275" s="500"/>
      <c r="AD1275" s="500"/>
      <c r="AE1275" s="497"/>
    </row>
    <row r="1276">
      <c r="A1276" s="528" t="s">
        <v>7674</v>
      </c>
      <c r="B1276" s="531" t="s">
        <v>6110</v>
      </c>
      <c r="C1276" s="531" t="s">
        <v>5682</v>
      </c>
      <c r="D1276" s="531" t="s">
        <v>7514</v>
      </c>
      <c r="E1276" s="531" t="s">
        <v>6647</v>
      </c>
      <c r="F1276" s="538" t="s">
        <v>2818</v>
      </c>
      <c r="G1276" s="539">
        <v>2.0</v>
      </c>
      <c r="H1276" s="538" t="s">
        <v>6647</v>
      </c>
      <c r="I1276" s="538" t="s">
        <v>2698</v>
      </c>
      <c r="J1276" s="540">
        <v>43745.0</v>
      </c>
      <c r="K1276" s="538" t="s">
        <v>5721</v>
      </c>
      <c r="L1276" s="539">
        <v>10.0</v>
      </c>
      <c r="M1276" s="538" t="s">
        <v>5763</v>
      </c>
      <c r="N1276" s="538" t="s">
        <v>7675</v>
      </c>
      <c r="O1276" s="539">
        <v>190.0</v>
      </c>
      <c r="P1276" s="541" t="s">
        <v>7676</v>
      </c>
      <c r="Q1276" s="542"/>
      <c r="R1276" s="500"/>
      <c r="S1276" s="500"/>
      <c r="T1276" s="500"/>
      <c r="U1276" s="500"/>
      <c r="V1276" s="500"/>
      <c r="W1276" s="500"/>
      <c r="X1276" s="500"/>
      <c r="Y1276" s="500"/>
      <c r="Z1276" s="500"/>
      <c r="AA1276" s="500"/>
      <c r="AB1276" s="500"/>
      <c r="AC1276" s="500"/>
      <c r="AD1276" s="500"/>
      <c r="AE1276" s="497"/>
    </row>
    <row r="1277">
      <c r="A1277" s="528" t="s">
        <v>7677</v>
      </c>
      <c r="B1277" s="531" t="s">
        <v>6109</v>
      </c>
      <c r="C1277" s="531" t="s">
        <v>5681</v>
      </c>
      <c r="D1277" s="531" t="s">
        <v>7515</v>
      </c>
      <c r="E1277" s="531" t="s">
        <v>6647</v>
      </c>
      <c r="F1277" s="538" t="s">
        <v>4821</v>
      </c>
      <c r="G1277" s="539">
        <v>2.0</v>
      </c>
      <c r="H1277" s="538" t="s">
        <v>6647</v>
      </c>
      <c r="I1277" s="538" t="s">
        <v>2695</v>
      </c>
      <c r="J1277" s="540">
        <v>43795.0</v>
      </c>
      <c r="K1277" s="538" t="s">
        <v>5750</v>
      </c>
      <c r="L1277" s="539">
        <v>11.0</v>
      </c>
      <c r="M1277" s="538" t="s">
        <v>5879</v>
      </c>
      <c r="N1277" s="538" t="s">
        <v>7678</v>
      </c>
      <c r="O1277" s="539">
        <v>258.0</v>
      </c>
      <c r="P1277" s="541" t="s">
        <v>7679</v>
      </c>
      <c r="Q1277" s="545"/>
      <c r="R1277" s="500"/>
      <c r="S1277" s="500"/>
      <c r="T1277" s="500"/>
      <c r="U1277" s="500"/>
      <c r="V1277" s="500"/>
      <c r="W1277" s="500"/>
      <c r="X1277" s="500"/>
      <c r="Y1277" s="500"/>
      <c r="Z1277" s="500"/>
      <c r="AA1277" s="500"/>
      <c r="AB1277" s="500"/>
      <c r="AC1277" s="500"/>
      <c r="AD1277" s="500"/>
      <c r="AE1277" s="497"/>
    </row>
    <row r="1278">
      <c r="A1278" s="528" t="s">
        <v>7680</v>
      </c>
      <c r="B1278" s="531" t="s">
        <v>6482</v>
      </c>
      <c r="C1278" s="531" t="s">
        <v>7040</v>
      </c>
      <c r="D1278" s="531" t="s">
        <v>7515</v>
      </c>
      <c r="E1278" s="531" t="s">
        <v>6647</v>
      </c>
      <c r="F1278" s="538" t="s">
        <v>4831</v>
      </c>
      <c r="G1278" s="539">
        <v>2.0</v>
      </c>
      <c r="H1278" s="538" t="s">
        <v>6647</v>
      </c>
      <c r="I1278" s="538" t="s">
        <v>2715</v>
      </c>
      <c r="J1278" s="540">
        <v>43742.0</v>
      </c>
      <c r="K1278" s="538" t="s">
        <v>5734</v>
      </c>
      <c r="L1278" s="539">
        <v>10.0</v>
      </c>
      <c r="M1278" s="538" t="s">
        <v>5798</v>
      </c>
      <c r="N1278" s="538" t="s">
        <v>7681</v>
      </c>
      <c r="O1278" s="539">
        <v>249.0</v>
      </c>
      <c r="P1278" s="541" t="s">
        <v>7682</v>
      </c>
      <c r="Q1278" s="542"/>
      <c r="R1278" s="500"/>
      <c r="S1278" s="500"/>
      <c r="T1278" s="500"/>
      <c r="U1278" s="500"/>
      <c r="V1278" s="500"/>
      <c r="W1278" s="500"/>
      <c r="X1278" s="500"/>
      <c r="Y1278" s="500"/>
      <c r="Z1278" s="500"/>
      <c r="AA1278" s="500"/>
      <c r="AB1278" s="500"/>
      <c r="AC1278" s="500"/>
      <c r="AD1278" s="500"/>
      <c r="AE1278" s="497"/>
    </row>
    <row r="1279">
      <c r="A1279" s="528" t="s">
        <v>7683</v>
      </c>
      <c r="B1279" s="531" t="s">
        <v>6109</v>
      </c>
      <c r="C1279" s="531" t="s">
        <v>5670</v>
      </c>
      <c r="D1279" s="531" t="s">
        <v>7515</v>
      </c>
      <c r="E1279" s="531" t="s">
        <v>6647</v>
      </c>
      <c r="F1279" s="538" t="s">
        <v>4833</v>
      </c>
      <c r="G1279" s="539">
        <v>2.0</v>
      </c>
      <c r="H1279" s="538" t="s">
        <v>6647</v>
      </c>
      <c r="I1279" s="538" t="s">
        <v>2695</v>
      </c>
      <c r="J1279" s="540">
        <v>43792.0</v>
      </c>
      <c r="K1279" s="538" t="s">
        <v>5786</v>
      </c>
      <c r="L1279" s="539">
        <v>11.0</v>
      </c>
      <c r="M1279" s="538" t="s">
        <v>5879</v>
      </c>
      <c r="N1279" s="538" t="s">
        <v>7684</v>
      </c>
      <c r="O1279" s="539">
        <v>319.0</v>
      </c>
      <c r="P1279" s="541" t="s">
        <v>7685</v>
      </c>
      <c r="Q1279" s="545"/>
      <c r="R1279" s="500"/>
      <c r="S1279" s="500"/>
      <c r="T1279" s="500"/>
      <c r="U1279" s="500"/>
      <c r="V1279" s="500"/>
      <c r="W1279" s="500"/>
      <c r="X1279" s="500"/>
      <c r="Y1279" s="500"/>
      <c r="Z1279" s="500"/>
      <c r="AA1279" s="500"/>
      <c r="AB1279" s="500"/>
      <c r="AC1279" s="500"/>
      <c r="AD1279" s="500"/>
      <c r="AE1279" s="497"/>
    </row>
    <row r="1280">
      <c r="A1280" s="528" t="s">
        <v>5612</v>
      </c>
      <c r="B1280" s="528" t="s">
        <v>2698</v>
      </c>
      <c r="C1280" s="531" t="s">
        <v>5681</v>
      </c>
      <c r="D1280" s="531" t="s">
        <v>7520</v>
      </c>
      <c r="E1280" s="531" t="s">
        <v>6647</v>
      </c>
      <c r="F1280" s="538" t="s">
        <v>4841</v>
      </c>
      <c r="G1280" s="539">
        <v>2.0</v>
      </c>
      <c r="H1280" s="538" t="s">
        <v>6647</v>
      </c>
      <c r="I1280" s="538" t="s">
        <v>2698</v>
      </c>
      <c r="J1280" s="540">
        <v>43809.0</v>
      </c>
      <c r="K1280" s="538" t="s">
        <v>5750</v>
      </c>
      <c r="L1280" s="539">
        <v>12.0</v>
      </c>
      <c r="M1280" s="538" t="s">
        <v>5763</v>
      </c>
      <c r="N1280" s="538" t="s">
        <v>7686</v>
      </c>
      <c r="O1280" s="539">
        <v>488.0</v>
      </c>
      <c r="P1280" s="541" t="s">
        <v>7687</v>
      </c>
      <c r="Q1280" s="542"/>
      <c r="R1280" s="500"/>
      <c r="S1280" s="500"/>
      <c r="T1280" s="500"/>
      <c r="U1280" s="500"/>
      <c r="V1280" s="500"/>
      <c r="W1280" s="500"/>
      <c r="X1280" s="500"/>
      <c r="Y1280" s="500"/>
      <c r="Z1280" s="500"/>
      <c r="AA1280" s="500"/>
      <c r="AB1280" s="500"/>
      <c r="AC1280" s="500"/>
      <c r="AD1280" s="500"/>
      <c r="AE1280" s="497"/>
    </row>
    <row r="1281">
      <c r="A1281" s="528" t="s">
        <v>7688</v>
      </c>
      <c r="B1281" s="531" t="s">
        <v>2709</v>
      </c>
      <c r="C1281" s="531" t="s">
        <v>6489</v>
      </c>
      <c r="D1281" s="531" t="s">
        <v>7520</v>
      </c>
      <c r="E1281" s="531" t="s">
        <v>6647</v>
      </c>
      <c r="F1281" s="538" t="s">
        <v>4844</v>
      </c>
      <c r="G1281" s="539">
        <v>2.0</v>
      </c>
      <c r="H1281" s="538" t="s">
        <v>6647</v>
      </c>
      <c r="I1281" s="538" t="s">
        <v>2709</v>
      </c>
      <c r="J1281" s="540">
        <v>43818.0</v>
      </c>
      <c r="K1281" s="538" t="s">
        <v>5754</v>
      </c>
      <c r="L1281" s="539">
        <v>12.0</v>
      </c>
      <c r="M1281" s="538" t="s">
        <v>5909</v>
      </c>
      <c r="N1281" s="538" t="s">
        <v>7689</v>
      </c>
      <c r="O1281" s="539">
        <v>261.0</v>
      </c>
      <c r="P1281" s="541" t="s">
        <v>7690</v>
      </c>
      <c r="Q1281" s="542"/>
      <c r="R1281" s="500"/>
      <c r="S1281" s="500"/>
      <c r="T1281" s="500"/>
      <c r="U1281" s="500"/>
      <c r="V1281" s="500"/>
      <c r="W1281" s="500"/>
      <c r="X1281" s="500"/>
      <c r="Y1281" s="500"/>
      <c r="Z1281" s="500"/>
      <c r="AA1281" s="500"/>
      <c r="AB1281" s="500"/>
      <c r="AC1281" s="500"/>
      <c r="AD1281" s="500"/>
      <c r="AE1281" s="497"/>
    </row>
    <row r="1282">
      <c r="A1282" s="528" t="s">
        <v>7691</v>
      </c>
      <c r="B1282" s="531" t="s">
        <v>6101</v>
      </c>
      <c r="C1282" s="531" t="s">
        <v>7040</v>
      </c>
      <c r="D1282" s="531" t="s">
        <v>7520</v>
      </c>
      <c r="E1282" s="531" t="s">
        <v>6647</v>
      </c>
      <c r="F1282" s="538" t="s">
        <v>4847</v>
      </c>
      <c r="G1282" s="539">
        <v>2.0</v>
      </c>
      <c r="H1282" s="538" t="s">
        <v>6647</v>
      </c>
      <c r="I1282" s="538" t="s">
        <v>2715</v>
      </c>
      <c r="J1282" s="540">
        <v>43819.0</v>
      </c>
      <c r="K1282" s="538" t="s">
        <v>5734</v>
      </c>
      <c r="L1282" s="539">
        <v>12.0</v>
      </c>
      <c r="M1282" s="538" t="s">
        <v>7692</v>
      </c>
      <c r="N1282" s="538" t="s">
        <v>7693</v>
      </c>
      <c r="O1282" s="539">
        <v>174.0</v>
      </c>
      <c r="P1282" s="541" t="s">
        <v>7694</v>
      </c>
      <c r="Q1282" s="542"/>
      <c r="R1282" s="500"/>
      <c r="S1282" s="500"/>
      <c r="T1282" s="500"/>
      <c r="U1282" s="500"/>
      <c r="V1282" s="500"/>
      <c r="W1282" s="500"/>
      <c r="X1282" s="500"/>
      <c r="Y1282" s="500"/>
      <c r="Z1282" s="500"/>
      <c r="AA1282" s="500"/>
      <c r="AB1282" s="500"/>
      <c r="AC1282" s="500"/>
      <c r="AD1282" s="500"/>
      <c r="AE1282" s="497"/>
    </row>
    <row r="1283">
      <c r="A1283" s="528" t="s">
        <v>7695</v>
      </c>
      <c r="B1283" s="531" t="s">
        <v>6109</v>
      </c>
      <c r="C1283" s="531" t="s">
        <v>5657</v>
      </c>
      <c r="D1283" s="531" t="s">
        <v>7520</v>
      </c>
      <c r="E1283" s="531" t="s">
        <v>6647</v>
      </c>
      <c r="F1283" s="538" t="s">
        <v>4853</v>
      </c>
      <c r="G1283" s="539">
        <v>2.0</v>
      </c>
      <c r="H1283" s="538" t="s">
        <v>6647</v>
      </c>
      <c r="I1283" s="538" t="s">
        <v>2695</v>
      </c>
      <c r="J1283" s="540">
        <v>43817.0</v>
      </c>
      <c r="K1283" s="538" t="s">
        <v>5711</v>
      </c>
      <c r="L1283" s="539">
        <v>12.0</v>
      </c>
      <c r="M1283" s="538" t="s">
        <v>6270</v>
      </c>
      <c r="N1283" s="538" t="s">
        <v>7696</v>
      </c>
      <c r="O1283" s="539">
        <v>280.0</v>
      </c>
      <c r="P1283" s="541" t="s">
        <v>7697</v>
      </c>
      <c r="Q1283" s="545"/>
      <c r="R1283" s="500"/>
      <c r="S1283" s="500"/>
      <c r="T1283" s="500"/>
      <c r="U1283" s="500"/>
      <c r="V1283" s="500"/>
      <c r="W1283" s="500"/>
      <c r="X1283" s="500"/>
      <c r="Y1283" s="500"/>
      <c r="Z1283" s="500"/>
      <c r="AA1283" s="500"/>
      <c r="AB1283" s="500"/>
      <c r="AC1283" s="500"/>
      <c r="AD1283" s="500"/>
      <c r="AE1283" s="497"/>
    </row>
    <row r="1284">
      <c r="A1284" s="528" t="s">
        <v>7698</v>
      </c>
      <c r="B1284" s="531" t="s">
        <v>2724</v>
      </c>
      <c r="C1284" s="531" t="s">
        <v>5657</v>
      </c>
      <c r="D1284" s="531" t="s">
        <v>7520</v>
      </c>
      <c r="E1284" s="531" t="s">
        <v>6647</v>
      </c>
      <c r="F1284" s="538" t="s">
        <v>4862</v>
      </c>
      <c r="G1284" s="539">
        <v>2.0</v>
      </c>
      <c r="H1284" s="538" t="s">
        <v>6647</v>
      </c>
      <c r="I1284" s="538" t="s">
        <v>2724</v>
      </c>
      <c r="J1284" s="540">
        <v>43817.0</v>
      </c>
      <c r="K1284" s="538" t="s">
        <v>5711</v>
      </c>
      <c r="L1284" s="539">
        <v>12.0</v>
      </c>
      <c r="M1284" s="538" t="s">
        <v>5893</v>
      </c>
      <c r="N1284" s="538" t="s">
        <v>7699</v>
      </c>
      <c r="O1284" s="539">
        <v>198.0</v>
      </c>
      <c r="P1284" s="541" t="s">
        <v>7700</v>
      </c>
      <c r="Q1284" s="542"/>
      <c r="R1284" s="500"/>
      <c r="S1284" s="500"/>
      <c r="T1284" s="500"/>
      <c r="U1284" s="500"/>
      <c r="V1284" s="500"/>
      <c r="W1284" s="500"/>
      <c r="X1284" s="500"/>
      <c r="Y1284" s="500"/>
      <c r="Z1284" s="500"/>
      <c r="AA1284" s="500"/>
      <c r="AB1284" s="500"/>
      <c r="AC1284" s="500"/>
      <c r="AD1284" s="500"/>
      <c r="AE1284" s="497"/>
    </row>
    <row r="1285">
      <c r="A1285" s="528" t="s">
        <v>4864</v>
      </c>
      <c r="B1285" s="531" t="s">
        <v>2704</v>
      </c>
      <c r="C1285" s="531" t="s">
        <v>5670</v>
      </c>
      <c r="D1285" s="531" t="s">
        <v>7520</v>
      </c>
      <c r="E1285" s="531" t="s">
        <v>6647</v>
      </c>
      <c r="F1285" s="228" t="s">
        <v>5951</v>
      </c>
    </row>
    <row r="1286">
      <c r="A1286" s="528" t="s">
        <v>7701</v>
      </c>
      <c r="B1286" s="531" t="s">
        <v>6101</v>
      </c>
      <c r="C1286" s="531" t="s">
        <v>5671</v>
      </c>
      <c r="D1286" s="531" t="s">
        <v>7520</v>
      </c>
      <c r="E1286" s="531" t="s">
        <v>6647</v>
      </c>
      <c r="F1286" s="538" t="s">
        <v>4865</v>
      </c>
      <c r="G1286" s="539">
        <v>2.0</v>
      </c>
      <c r="H1286" s="538" t="s">
        <v>6647</v>
      </c>
      <c r="I1286" s="538" t="s">
        <v>2715</v>
      </c>
      <c r="J1286" s="540">
        <v>43828.0</v>
      </c>
      <c r="K1286" s="538" t="s">
        <v>5729</v>
      </c>
      <c r="L1286" s="539">
        <v>12.0</v>
      </c>
      <c r="M1286" s="538" t="s">
        <v>5794</v>
      </c>
      <c r="N1286" s="538" t="s">
        <v>7702</v>
      </c>
      <c r="O1286" s="539">
        <v>248.0</v>
      </c>
      <c r="P1286" s="541" t="s">
        <v>7703</v>
      </c>
      <c r="Q1286" s="542"/>
      <c r="R1286" s="500"/>
      <c r="S1286" s="500"/>
      <c r="T1286" s="500"/>
      <c r="U1286" s="500"/>
      <c r="V1286" s="500"/>
      <c r="W1286" s="500"/>
      <c r="X1286" s="500"/>
      <c r="Y1286" s="500"/>
      <c r="Z1286" s="500"/>
      <c r="AA1286" s="500"/>
      <c r="AB1286" s="500"/>
      <c r="AC1286" s="500"/>
      <c r="AD1286" s="500"/>
      <c r="AE1286" s="497"/>
    </row>
    <row r="1287">
      <c r="A1287" s="528" t="s">
        <v>4868</v>
      </c>
      <c r="B1287" s="531" t="s">
        <v>2724</v>
      </c>
      <c r="C1287" s="531" t="s">
        <v>5681</v>
      </c>
      <c r="D1287" s="531" t="s">
        <v>7520</v>
      </c>
      <c r="E1287" s="531" t="s">
        <v>6647</v>
      </c>
      <c r="F1287" s="228" t="s">
        <v>5951</v>
      </c>
    </row>
    <row r="1288">
      <c r="A1288" s="495" t="s">
        <v>1897</v>
      </c>
      <c r="B1288" s="531" t="s">
        <v>6561</v>
      </c>
      <c r="C1288" s="531" t="s">
        <v>5657</v>
      </c>
      <c r="D1288" s="531" t="s">
        <v>7514</v>
      </c>
      <c r="E1288" s="531" t="s">
        <v>5660</v>
      </c>
      <c r="F1288" s="228" t="s">
        <v>5951</v>
      </c>
    </row>
    <row r="1289">
      <c r="A1289" s="551" t="s">
        <v>976</v>
      </c>
      <c r="B1289" s="531" t="s">
        <v>2709</v>
      </c>
      <c r="C1289" s="531" t="s">
        <v>5681</v>
      </c>
      <c r="D1289" s="531" t="s">
        <v>7514</v>
      </c>
      <c r="E1289" s="531" t="s">
        <v>6241</v>
      </c>
      <c r="F1289" s="228" t="s">
        <v>5951</v>
      </c>
    </row>
    <row r="1290">
      <c r="A1290" s="551" t="s">
        <v>7704</v>
      </c>
      <c r="B1290" s="531" t="s">
        <v>6532</v>
      </c>
      <c r="C1290" s="531" t="s">
        <v>5657</v>
      </c>
      <c r="D1290" s="531" t="s">
        <v>7515</v>
      </c>
      <c r="E1290" s="531" t="s">
        <v>6241</v>
      </c>
      <c r="F1290" s="538" t="s">
        <v>981</v>
      </c>
      <c r="G1290" s="539">
        <v>2.0</v>
      </c>
      <c r="H1290" s="538" t="s">
        <v>6243</v>
      </c>
      <c r="I1290" s="538" t="s">
        <v>2740</v>
      </c>
      <c r="J1290" s="540">
        <v>43789.0</v>
      </c>
      <c r="K1290" s="538" t="s">
        <v>5711</v>
      </c>
      <c r="L1290" s="539">
        <v>11.0</v>
      </c>
      <c r="M1290" s="538" t="s">
        <v>5879</v>
      </c>
      <c r="N1290" s="538" t="s">
        <v>7705</v>
      </c>
      <c r="O1290" s="539">
        <v>161.0</v>
      </c>
      <c r="P1290" s="541" t="s">
        <v>7706</v>
      </c>
      <c r="Q1290" s="545"/>
      <c r="R1290" s="500"/>
      <c r="S1290" s="500"/>
      <c r="T1290" s="500"/>
      <c r="U1290" s="500"/>
      <c r="V1290" s="500"/>
      <c r="W1290" s="500"/>
      <c r="X1290" s="500"/>
      <c r="Y1290" s="500"/>
      <c r="Z1290" s="500"/>
      <c r="AA1290" s="500"/>
      <c r="AB1290" s="500"/>
      <c r="AC1290" s="500"/>
      <c r="AD1290" s="500"/>
      <c r="AE1290" s="497"/>
    </row>
    <row r="1291">
      <c r="A1291" s="551" t="s">
        <v>7707</v>
      </c>
      <c r="B1291" s="531" t="s">
        <v>2707</v>
      </c>
      <c r="C1291" s="531" t="s">
        <v>5657</v>
      </c>
      <c r="D1291" s="531" t="s">
        <v>7515</v>
      </c>
      <c r="E1291" s="531" t="s">
        <v>6241</v>
      </c>
      <c r="F1291" s="538" t="s">
        <v>983</v>
      </c>
      <c r="G1291" s="539">
        <v>2.0</v>
      </c>
      <c r="H1291" s="538" t="s">
        <v>6243</v>
      </c>
      <c r="I1291" s="538" t="s">
        <v>2707</v>
      </c>
      <c r="J1291" s="540">
        <v>43789.0</v>
      </c>
      <c r="K1291" s="538" t="s">
        <v>5711</v>
      </c>
      <c r="L1291" s="539">
        <v>11.0</v>
      </c>
      <c r="M1291" s="538" t="s">
        <v>7708</v>
      </c>
      <c r="N1291" s="538" t="s">
        <v>7709</v>
      </c>
      <c r="O1291" s="539">
        <v>309.0</v>
      </c>
      <c r="P1291" s="541" t="s">
        <v>7710</v>
      </c>
      <c r="Q1291" s="542"/>
      <c r="R1291" s="500"/>
      <c r="S1291" s="500"/>
      <c r="T1291" s="500"/>
      <c r="U1291" s="500"/>
      <c r="V1291" s="500"/>
      <c r="W1291" s="500"/>
      <c r="X1291" s="500"/>
      <c r="Y1291" s="500"/>
      <c r="Z1291" s="500"/>
      <c r="AA1291" s="500"/>
      <c r="AB1291" s="500"/>
      <c r="AC1291" s="500"/>
      <c r="AD1291" s="500"/>
      <c r="AE1291" s="497"/>
    </row>
    <row r="1292">
      <c r="A1292" s="551" t="s">
        <v>988</v>
      </c>
      <c r="B1292" s="531" t="s">
        <v>6532</v>
      </c>
      <c r="C1292" s="531" t="s">
        <v>7040</v>
      </c>
      <c r="D1292" s="531" t="s">
        <v>7515</v>
      </c>
      <c r="E1292" s="531" t="s">
        <v>6241</v>
      </c>
      <c r="F1292" s="228" t="s">
        <v>5951</v>
      </c>
    </row>
    <row r="1293">
      <c r="A1293" s="551" t="s">
        <v>7711</v>
      </c>
      <c r="B1293" s="531" t="s">
        <v>6109</v>
      </c>
      <c r="C1293" s="531" t="s">
        <v>5670</v>
      </c>
      <c r="D1293" s="531" t="s">
        <v>7515</v>
      </c>
      <c r="E1293" s="531" t="s">
        <v>6241</v>
      </c>
      <c r="F1293" s="538" t="s">
        <v>989</v>
      </c>
      <c r="G1293" s="539">
        <v>2.0</v>
      </c>
      <c r="H1293" s="538" t="s">
        <v>6243</v>
      </c>
      <c r="I1293" s="538" t="s">
        <v>2695</v>
      </c>
      <c r="J1293" s="540">
        <v>43792.0</v>
      </c>
      <c r="K1293" s="538" t="s">
        <v>5786</v>
      </c>
      <c r="L1293" s="539">
        <v>11.0</v>
      </c>
      <c r="M1293" s="538" t="s">
        <v>5722</v>
      </c>
      <c r="N1293" s="538" t="s">
        <v>7712</v>
      </c>
      <c r="O1293" s="539">
        <v>303.0</v>
      </c>
      <c r="P1293" s="541" t="s">
        <v>7713</v>
      </c>
      <c r="Q1293" s="545"/>
      <c r="R1293" s="500"/>
      <c r="S1293" s="500"/>
      <c r="T1293" s="500"/>
      <c r="U1293" s="500"/>
      <c r="V1293" s="500"/>
      <c r="W1293" s="500"/>
      <c r="X1293" s="500"/>
      <c r="Y1293" s="500"/>
      <c r="Z1293" s="500"/>
      <c r="AA1293" s="500"/>
      <c r="AB1293" s="500"/>
      <c r="AC1293" s="500"/>
      <c r="AD1293" s="500"/>
      <c r="AE1293" s="497"/>
    </row>
    <row r="1294">
      <c r="A1294" s="551" t="s">
        <v>7714</v>
      </c>
      <c r="B1294" s="531" t="s">
        <v>6109</v>
      </c>
      <c r="C1294" s="531" t="s">
        <v>5671</v>
      </c>
      <c r="D1294" s="531" t="s">
        <v>7515</v>
      </c>
      <c r="E1294" s="531" t="s">
        <v>6241</v>
      </c>
      <c r="F1294" s="538" t="s">
        <v>994</v>
      </c>
      <c r="G1294" s="539">
        <v>2.0</v>
      </c>
      <c r="H1294" s="538" t="s">
        <v>6243</v>
      </c>
      <c r="I1294" s="538" t="s">
        <v>2695</v>
      </c>
      <c r="J1294" s="540">
        <v>43793.0</v>
      </c>
      <c r="K1294" s="538" t="s">
        <v>5729</v>
      </c>
      <c r="L1294" s="539">
        <v>11.0</v>
      </c>
      <c r="M1294" s="538" t="s">
        <v>5722</v>
      </c>
      <c r="N1294" s="538" t="s">
        <v>7715</v>
      </c>
      <c r="O1294" s="539">
        <v>377.0</v>
      </c>
      <c r="P1294" s="541" t="s">
        <v>7716</v>
      </c>
      <c r="Q1294" s="545"/>
      <c r="R1294" s="500"/>
      <c r="S1294" s="500"/>
      <c r="T1294" s="500"/>
      <c r="U1294" s="500"/>
      <c r="V1294" s="500"/>
      <c r="W1294" s="500"/>
      <c r="X1294" s="500"/>
      <c r="Y1294" s="500"/>
      <c r="Z1294" s="500"/>
      <c r="AA1294" s="500"/>
      <c r="AB1294" s="500"/>
      <c r="AC1294" s="500"/>
      <c r="AD1294" s="500"/>
      <c r="AE1294" s="497"/>
    </row>
    <row r="1295">
      <c r="A1295" s="551" t="s">
        <v>7717</v>
      </c>
      <c r="B1295" s="531" t="s">
        <v>6561</v>
      </c>
      <c r="C1295" s="531" t="s">
        <v>6794</v>
      </c>
      <c r="D1295" s="531" t="s">
        <v>7515</v>
      </c>
      <c r="E1295" s="531" t="s">
        <v>6241</v>
      </c>
      <c r="F1295" s="538" t="s">
        <v>997</v>
      </c>
      <c r="G1295" s="539">
        <v>2.0</v>
      </c>
      <c r="H1295" s="538" t="s">
        <v>6243</v>
      </c>
      <c r="I1295" s="538" t="s">
        <v>2724</v>
      </c>
      <c r="J1295" s="540">
        <v>43794.0</v>
      </c>
      <c r="K1295" s="538" t="s">
        <v>5721</v>
      </c>
      <c r="L1295" s="539">
        <v>11.0</v>
      </c>
      <c r="M1295" s="538" t="s">
        <v>5722</v>
      </c>
      <c r="N1295" s="538" t="s">
        <v>7718</v>
      </c>
      <c r="O1295" s="539">
        <v>284.0</v>
      </c>
      <c r="P1295" s="541" t="s">
        <v>7719</v>
      </c>
      <c r="Q1295" s="542"/>
      <c r="R1295" s="500"/>
      <c r="S1295" s="500"/>
      <c r="T1295" s="500"/>
      <c r="U1295" s="500"/>
      <c r="V1295" s="500"/>
      <c r="W1295" s="500"/>
      <c r="X1295" s="500"/>
      <c r="Y1295" s="500"/>
      <c r="Z1295" s="500"/>
      <c r="AA1295" s="500"/>
      <c r="AB1295" s="500"/>
      <c r="AC1295" s="500"/>
      <c r="AD1295" s="500"/>
      <c r="AE1295" s="497"/>
    </row>
    <row r="1296">
      <c r="A1296" s="551" t="s">
        <v>999</v>
      </c>
      <c r="B1296" s="531" t="s">
        <v>2709</v>
      </c>
      <c r="C1296" s="531" t="s">
        <v>6794</v>
      </c>
      <c r="D1296" s="531" t="s">
        <v>7515</v>
      </c>
      <c r="E1296" s="531" t="s">
        <v>6241</v>
      </c>
      <c r="F1296" s="228" t="s">
        <v>5951</v>
      </c>
    </row>
    <row r="1297">
      <c r="A1297" s="551" t="s">
        <v>1009</v>
      </c>
      <c r="B1297" s="531" t="s">
        <v>6101</v>
      </c>
      <c r="C1297" s="531" t="s">
        <v>5671</v>
      </c>
      <c r="D1297" s="531" t="s">
        <v>7520</v>
      </c>
      <c r="E1297" s="531" t="s">
        <v>6241</v>
      </c>
      <c r="F1297" s="228" t="s">
        <v>5951</v>
      </c>
    </row>
    <row r="1298">
      <c r="A1298" s="551" t="s">
        <v>7720</v>
      </c>
      <c r="B1298" s="531" t="s">
        <v>6532</v>
      </c>
      <c r="C1298" s="531" t="s">
        <v>6489</v>
      </c>
      <c r="D1298" s="531" t="s">
        <v>7520</v>
      </c>
      <c r="E1298" s="531" t="s">
        <v>6241</v>
      </c>
      <c r="F1298" s="538" t="s">
        <v>1016</v>
      </c>
      <c r="G1298" s="539">
        <v>2.0</v>
      </c>
      <c r="H1298" s="538" t="s">
        <v>6243</v>
      </c>
      <c r="I1298" s="538" t="s">
        <v>2740</v>
      </c>
      <c r="J1298" s="540">
        <v>43818.0</v>
      </c>
      <c r="K1298" s="538" t="s">
        <v>5754</v>
      </c>
      <c r="L1298" s="539">
        <v>12.0</v>
      </c>
      <c r="M1298" s="538" t="s">
        <v>7721</v>
      </c>
      <c r="N1298" s="553" t="s">
        <v>7722</v>
      </c>
      <c r="O1298" s="539">
        <v>1695.0</v>
      </c>
      <c r="P1298" s="541" t="s">
        <v>7723</v>
      </c>
      <c r="Q1298" s="545"/>
      <c r="R1298" s="500"/>
      <c r="S1298" s="500"/>
      <c r="T1298" s="500"/>
      <c r="U1298" s="500"/>
      <c r="V1298" s="500"/>
      <c r="W1298" s="500"/>
      <c r="X1298" s="500"/>
      <c r="Y1298" s="500"/>
      <c r="Z1298" s="500"/>
      <c r="AA1298" s="500"/>
      <c r="AB1298" s="500"/>
      <c r="AC1298" s="500"/>
      <c r="AD1298" s="500"/>
      <c r="AE1298" s="497"/>
    </row>
    <row r="1299">
      <c r="A1299" s="551" t="s">
        <v>1021</v>
      </c>
      <c r="B1299" s="531" t="s">
        <v>6109</v>
      </c>
      <c r="C1299" s="531" t="s">
        <v>5664</v>
      </c>
      <c r="D1299" s="531" t="s">
        <v>7514</v>
      </c>
      <c r="E1299" s="531" t="s">
        <v>6647</v>
      </c>
      <c r="F1299" s="228" t="s">
        <v>5951</v>
      </c>
    </row>
    <row r="1300">
      <c r="A1300" s="551" t="s">
        <v>1022</v>
      </c>
      <c r="B1300" s="531" t="s">
        <v>6116</v>
      </c>
      <c r="C1300" s="531" t="s">
        <v>5664</v>
      </c>
      <c r="D1300" s="531" t="s">
        <v>7514</v>
      </c>
      <c r="E1300" s="531" t="s">
        <v>6647</v>
      </c>
      <c r="F1300" s="228" t="s">
        <v>5951</v>
      </c>
    </row>
    <row r="1301">
      <c r="A1301" s="551" t="s">
        <v>7724</v>
      </c>
      <c r="B1301" s="531" t="s">
        <v>6101</v>
      </c>
      <c r="C1301" s="531" t="s">
        <v>5670</v>
      </c>
      <c r="D1301" s="531" t="s">
        <v>7514</v>
      </c>
      <c r="E1301" s="531" t="s">
        <v>6647</v>
      </c>
      <c r="F1301" s="538" t="s">
        <v>1032</v>
      </c>
      <c r="G1301" s="539">
        <v>2.0</v>
      </c>
      <c r="H1301" s="538" t="s">
        <v>6647</v>
      </c>
      <c r="I1301" s="538" t="s">
        <v>2715</v>
      </c>
      <c r="J1301" s="540">
        <v>43743.0</v>
      </c>
      <c r="K1301" s="538" t="s">
        <v>5786</v>
      </c>
      <c r="L1301" s="539">
        <v>10.0</v>
      </c>
      <c r="M1301" s="538" t="s">
        <v>7360</v>
      </c>
      <c r="N1301" s="538" t="s">
        <v>7725</v>
      </c>
      <c r="O1301" s="539">
        <v>179.0</v>
      </c>
      <c r="P1301" s="541" t="s">
        <v>7726</v>
      </c>
      <c r="Q1301" s="542"/>
      <c r="R1301" s="500"/>
      <c r="S1301" s="500"/>
      <c r="T1301" s="500"/>
      <c r="U1301" s="500"/>
      <c r="V1301" s="500"/>
      <c r="W1301" s="500"/>
      <c r="X1301" s="500"/>
      <c r="Y1301" s="500"/>
      <c r="Z1301" s="500"/>
      <c r="AA1301" s="500"/>
      <c r="AB1301" s="500"/>
      <c r="AC1301" s="500"/>
      <c r="AD1301" s="500"/>
      <c r="AE1301" s="497"/>
    </row>
    <row r="1302">
      <c r="A1302" s="551" t="s">
        <v>7727</v>
      </c>
      <c r="B1302" s="531" t="s">
        <v>2698</v>
      </c>
      <c r="C1302" s="531" t="s">
        <v>5657</v>
      </c>
      <c r="D1302" s="531" t="s">
        <v>7514</v>
      </c>
      <c r="E1302" s="531" t="s">
        <v>6647</v>
      </c>
      <c r="F1302" s="538" t="s">
        <v>1040</v>
      </c>
      <c r="G1302" s="539">
        <v>2.0</v>
      </c>
      <c r="H1302" s="538" t="s">
        <v>6647</v>
      </c>
      <c r="I1302" s="538" t="s">
        <v>2698</v>
      </c>
      <c r="J1302" s="540">
        <v>43740.0</v>
      </c>
      <c r="K1302" s="538" t="s">
        <v>5711</v>
      </c>
      <c r="L1302" s="539">
        <v>10.0</v>
      </c>
      <c r="M1302" s="538" t="s">
        <v>5824</v>
      </c>
      <c r="N1302" s="538" t="s">
        <v>7728</v>
      </c>
      <c r="O1302" s="539">
        <v>220.0</v>
      </c>
      <c r="P1302" s="541" t="s">
        <v>7729</v>
      </c>
      <c r="Q1302" s="542"/>
      <c r="R1302" s="500"/>
      <c r="S1302" s="500"/>
      <c r="T1302" s="500"/>
      <c r="U1302" s="500"/>
      <c r="V1302" s="500"/>
      <c r="W1302" s="500"/>
      <c r="X1302" s="500"/>
      <c r="Y1302" s="500"/>
      <c r="Z1302" s="500"/>
      <c r="AA1302" s="500"/>
      <c r="AB1302" s="500"/>
      <c r="AC1302" s="500"/>
      <c r="AD1302" s="500"/>
      <c r="AE1302" s="497"/>
    </row>
    <row r="1303">
      <c r="A1303" s="551" t="s">
        <v>1042</v>
      </c>
      <c r="B1303" s="531" t="s">
        <v>2704</v>
      </c>
      <c r="C1303" s="531" t="s">
        <v>5657</v>
      </c>
      <c r="D1303" s="531" t="s">
        <v>7514</v>
      </c>
      <c r="E1303" s="531" t="s">
        <v>6647</v>
      </c>
      <c r="F1303" s="228" t="s">
        <v>5951</v>
      </c>
    </row>
    <row r="1304">
      <c r="A1304" s="551" t="s">
        <v>1043</v>
      </c>
      <c r="B1304" s="531" t="s">
        <v>6561</v>
      </c>
      <c r="C1304" s="531" t="s">
        <v>5664</v>
      </c>
      <c r="D1304" s="531" t="s">
        <v>7730</v>
      </c>
      <c r="E1304" s="531" t="s">
        <v>6647</v>
      </c>
      <c r="F1304" s="228" t="s">
        <v>5951</v>
      </c>
    </row>
    <row r="1305">
      <c r="A1305" s="551" t="s">
        <v>1044</v>
      </c>
      <c r="B1305" s="531" t="s">
        <v>2709</v>
      </c>
      <c r="C1305" s="531" t="s">
        <v>5664</v>
      </c>
      <c r="D1305" s="531" t="s">
        <v>7730</v>
      </c>
      <c r="E1305" s="531" t="s">
        <v>6647</v>
      </c>
      <c r="F1305" s="228" t="s">
        <v>5951</v>
      </c>
    </row>
    <row r="1306">
      <c r="A1306" s="551" t="s">
        <v>7731</v>
      </c>
      <c r="B1306" s="534" t="s">
        <v>5699</v>
      </c>
      <c r="C1306" s="531" t="s">
        <v>6794</v>
      </c>
      <c r="D1306" s="531" t="s">
        <v>7515</v>
      </c>
      <c r="E1306" s="531" t="s">
        <v>6647</v>
      </c>
      <c r="F1306" s="538" t="s">
        <v>1045</v>
      </c>
      <c r="G1306" s="539">
        <v>2.0</v>
      </c>
      <c r="H1306" s="538" t="s">
        <v>6647</v>
      </c>
      <c r="I1306" s="538" t="s">
        <v>2702</v>
      </c>
      <c r="J1306" s="540">
        <v>43794.0</v>
      </c>
      <c r="K1306" s="538" t="s">
        <v>5721</v>
      </c>
      <c r="L1306" s="539">
        <v>11.0</v>
      </c>
      <c r="M1306" s="538" t="s">
        <v>7531</v>
      </c>
      <c r="N1306" s="538" t="s">
        <v>7732</v>
      </c>
      <c r="O1306" s="539">
        <v>167.0</v>
      </c>
      <c r="P1306" s="541" t="s">
        <v>7733</v>
      </c>
      <c r="Q1306" s="542"/>
      <c r="R1306" s="500"/>
      <c r="S1306" s="500"/>
      <c r="T1306" s="500"/>
      <c r="U1306" s="500"/>
      <c r="V1306" s="500"/>
      <c r="W1306" s="500"/>
      <c r="X1306" s="500"/>
      <c r="Y1306" s="500"/>
      <c r="Z1306" s="500"/>
      <c r="AA1306" s="500"/>
      <c r="AB1306" s="500"/>
      <c r="AC1306" s="500"/>
      <c r="AD1306" s="500"/>
      <c r="AE1306" s="497"/>
    </row>
    <row r="1307">
      <c r="A1307" s="551" t="s">
        <v>7734</v>
      </c>
      <c r="B1307" s="531" t="s">
        <v>2707</v>
      </c>
      <c r="C1307" s="531" t="s">
        <v>5657</v>
      </c>
      <c r="D1307" s="531" t="s">
        <v>7515</v>
      </c>
      <c r="E1307" s="531" t="s">
        <v>6647</v>
      </c>
      <c r="F1307" s="538" t="s">
        <v>1053</v>
      </c>
      <c r="G1307" s="539">
        <v>2.0</v>
      </c>
      <c r="H1307" s="538" t="s">
        <v>6647</v>
      </c>
      <c r="I1307" s="538" t="s">
        <v>2707</v>
      </c>
      <c r="J1307" s="540">
        <v>43789.0</v>
      </c>
      <c r="K1307" s="538" t="s">
        <v>5711</v>
      </c>
      <c r="L1307" s="539">
        <v>11.0</v>
      </c>
      <c r="M1307" s="538" t="s">
        <v>7735</v>
      </c>
      <c r="N1307" s="538" t="s">
        <v>7736</v>
      </c>
      <c r="O1307" s="539">
        <v>43.0</v>
      </c>
      <c r="P1307" s="541" t="s">
        <v>7737</v>
      </c>
      <c r="Q1307" s="542"/>
      <c r="R1307" s="500"/>
      <c r="S1307" s="500"/>
      <c r="T1307" s="500"/>
      <c r="U1307" s="500"/>
      <c r="V1307" s="500"/>
      <c r="W1307" s="500"/>
      <c r="X1307" s="500"/>
      <c r="Y1307" s="500"/>
      <c r="Z1307" s="500"/>
      <c r="AA1307" s="500"/>
      <c r="AB1307" s="500"/>
      <c r="AC1307" s="500"/>
      <c r="AD1307" s="500"/>
      <c r="AE1307" s="497"/>
    </row>
    <row r="1308">
      <c r="A1308" s="551" t="s">
        <v>7738</v>
      </c>
      <c r="B1308" s="531" t="s">
        <v>6532</v>
      </c>
      <c r="C1308" s="531" t="s">
        <v>7040</v>
      </c>
      <c r="D1308" s="531" t="s">
        <v>7515</v>
      </c>
      <c r="E1308" s="531" t="s">
        <v>6647</v>
      </c>
      <c r="F1308" s="538" t="s">
        <v>1059</v>
      </c>
      <c r="G1308" s="539">
        <v>2.0</v>
      </c>
      <c r="H1308" s="538" t="s">
        <v>6647</v>
      </c>
      <c r="I1308" s="538" t="s">
        <v>2740</v>
      </c>
      <c r="J1308" s="540">
        <v>43791.0</v>
      </c>
      <c r="K1308" s="538" t="s">
        <v>5734</v>
      </c>
      <c r="L1308" s="539">
        <v>11.0</v>
      </c>
      <c r="M1308" s="538" t="s">
        <v>7473</v>
      </c>
      <c r="N1308" s="538" t="s">
        <v>7739</v>
      </c>
      <c r="O1308" s="539">
        <v>288.0</v>
      </c>
      <c r="P1308" s="541" t="s">
        <v>7740</v>
      </c>
      <c r="Q1308" s="545"/>
      <c r="R1308" s="500"/>
      <c r="S1308" s="500"/>
      <c r="T1308" s="500"/>
      <c r="U1308" s="500"/>
      <c r="V1308" s="500"/>
      <c r="W1308" s="500"/>
      <c r="X1308" s="500"/>
      <c r="Y1308" s="500"/>
      <c r="Z1308" s="500"/>
      <c r="AA1308" s="500"/>
      <c r="AB1308" s="500"/>
      <c r="AC1308" s="500"/>
      <c r="AD1308" s="500"/>
      <c r="AE1308" s="497"/>
    </row>
    <row r="1309">
      <c r="A1309" s="551" t="s">
        <v>1061</v>
      </c>
      <c r="B1309" s="534" t="s">
        <v>5699</v>
      </c>
      <c r="C1309" s="531" t="s">
        <v>7040</v>
      </c>
      <c r="D1309" s="531" t="s">
        <v>7515</v>
      </c>
      <c r="E1309" s="531" t="s">
        <v>6647</v>
      </c>
      <c r="F1309" s="228" t="s">
        <v>5951</v>
      </c>
    </row>
    <row r="1310">
      <c r="A1310" s="551" t="s">
        <v>7741</v>
      </c>
      <c r="B1310" s="531" t="s">
        <v>6561</v>
      </c>
      <c r="C1310" s="531" t="s">
        <v>5671</v>
      </c>
      <c r="D1310" s="531" t="s">
        <v>7515</v>
      </c>
      <c r="E1310" s="531" t="s">
        <v>6647</v>
      </c>
      <c r="F1310" s="538" t="s">
        <v>1062</v>
      </c>
      <c r="G1310" s="539">
        <v>2.0</v>
      </c>
      <c r="H1310" s="538" t="s">
        <v>6647</v>
      </c>
      <c r="I1310" s="538" t="s">
        <v>2724</v>
      </c>
      <c r="J1310" s="540">
        <v>43793.0</v>
      </c>
      <c r="K1310" s="538" t="s">
        <v>5729</v>
      </c>
      <c r="L1310" s="539">
        <v>11.0</v>
      </c>
      <c r="M1310" s="538" t="s">
        <v>5828</v>
      </c>
      <c r="N1310" s="538" t="s">
        <v>7742</v>
      </c>
      <c r="O1310" s="539">
        <v>160.0</v>
      </c>
      <c r="P1310" s="541" t="s">
        <v>7743</v>
      </c>
      <c r="Q1310" s="545"/>
      <c r="R1310" s="500"/>
      <c r="S1310" s="500"/>
      <c r="T1310" s="500"/>
      <c r="U1310" s="500"/>
      <c r="V1310" s="500"/>
      <c r="W1310" s="500"/>
      <c r="X1310" s="500"/>
      <c r="Y1310" s="500"/>
      <c r="Z1310" s="500"/>
      <c r="AA1310" s="500"/>
      <c r="AB1310" s="500"/>
      <c r="AC1310" s="500"/>
      <c r="AD1310" s="500"/>
      <c r="AE1310" s="497"/>
    </row>
    <row r="1311">
      <c r="A1311" s="551" t="s">
        <v>1069</v>
      </c>
      <c r="B1311" s="531" t="s">
        <v>2704</v>
      </c>
      <c r="C1311" s="531" t="s">
        <v>5657</v>
      </c>
      <c r="D1311" s="531" t="s">
        <v>7552</v>
      </c>
      <c r="E1311" s="531" t="s">
        <v>6647</v>
      </c>
      <c r="F1311" s="228" t="s">
        <v>5951</v>
      </c>
    </row>
    <row r="1312">
      <c r="A1312" s="551" t="s">
        <v>7744</v>
      </c>
      <c r="B1312" s="534" t="s">
        <v>5699</v>
      </c>
      <c r="C1312" s="531" t="s">
        <v>6489</v>
      </c>
      <c r="D1312" s="531" t="s">
        <v>7552</v>
      </c>
      <c r="E1312" s="531" t="s">
        <v>6647</v>
      </c>
      <c r="F1312" s="538" t="s">
        <v>1070</v>
      </c>
      <c r="G1312" s="539">
        <v>2.0</v>
      </c>
      <c r="H1312" s="538" t="s">
        <v>6647</v>
      </c>
      <c r="I1312" s="538" t="s">
        <v>2702</v>
      </c>
      <c r="J1312" s="540">
        <v>43811.0</v>
      </c>
      <c r="K1312" s="538" t="s">
        <v>5754</v>
      </c>
      <c r="L1312" s="539">
        <v>12.0</v>
      </c>
      <c r="M1312" s="538" t="s">
        <v>7531</v>
      </c>
      <c r="N1312" s="538" t="s">
        <v>7745</v>
      </c>
      <c r="O1312" s="539">
        <v>294.0</v>
      </c>
      <c r="P1312" s="541" t="s">
        <v>7746</v>
      </c>
      <c r="Q1312" s="542"/>
      <c r="R1312" s="500"/>
      <c r="S1312" s="500"/>
      <c r="T1312" s="500"/>
      <c r="U1312" s="500"/>
      <c r="V1312" s="500"/>
      <c r="W1312" s="500"/>
      <c r="X1312" s="500"/>
      <c r="Y1312" s="500"/>
      <c r="Z1312" s="500"/>
      <c r="AA1312" s="500"/>
      <c r="AB1312" s="500"/>
      <c r="AC1312" s="500"/>
      <c r="AD1312" s="500"/>
      <c r="AE1312" s="497"/>
    </row>
    <row r="1313">
      <c r="A1313" s="551" t="s">
        <v>1072</v>
      </c>
      <c r="B1313" s="531" t="s">
        <v>6532</v>
      </c>
      <c r="C1313" s="531" t="s">
        <v>7040</v>
      </c>
      <c r="D1313" s="531" t="s">
        <v>7552</v>
      </c>
      <c r="E1313" s="531" t="s">
        <v>6647</v>
      </c>
      <c r="F1313" s="228" t="s">
        <v>5951</v>
      </c>
    </row>
    <row r="1314">
      <c r="A1314" s="551" t="s">
        <v>7747</v>
      </c>
      <c r="B1314" s="531" t="s">
        <v>2709</v>
      </c>
      <c r="C1314" s="531" t="s">
        <v>6794</v>
      </c>
      <c r="D1314" s="531" t="s">
        <v>7552</v>
      </c>
      <c r="E1314" s="531" t="s">
        <v>6647</v>
      </c>
      <c r="F1314" s="538" t="s">
        <v>1073</v>
      </c>
      <c r="G1314" s="539">
        <v>2.0</v>
      </c>
      <c r="H1314" s="538" t="s">
        <v>6647</v>
      </c>
      <c r="I1314" s="538" t="s">
        <v>2709</v>
      </c>
      <c r="J1314" s="540">
        <v>43822.0</v>
      </c>
      <c r="K1314" s="538" t="s">
        <v>5721</v>
      </c>
      <c r="L1314" s="539">
        <v>12.0</v>
      </c>
      <c r="M1314" s="538" t="s">
        <v>7748</v>
      </c>
      <c r="N1314" s="538" t="s">
        <v>7749</v>
      </c>
      <c r="O1314" s="539">
        <v>311.0</v>
      </c>
      <c r="P1314" s="541" t="s">
        <v>7750</v>
      </c>
      <c r="Q1314" s="542"/>
      <c r="R1314" s="500"/>
      <c r="S1314" s="500"/>
      <c r="T1314" s="500"/>
      <c r="U1314" s="500"/>
      <c r="V1314" s="500"/>
      <c r="W1314" s="500"/>
      <c r="X1314" s="500"/>
      <c r="Y1314" s="500"/>
      <c r="Z1314" s="500"/>
      <c r="AA1314" s="500"/>
      <c r="AB1314" s="500"/>
      <c r="AC1314" s="500"/>
      <c r="AD1314" s="500"/>
      <c r="AE1314" s="497"/>
    </row>
    <row r="1315">
      <c r="A1315" s="551" t="s">
        <v>7751</v>
      </c>
      <c r="B1315" s="531" t="s">
        <v>2698</v>
      </c>
      <c r="C1315" s="531" t="s">
        <v>5670</v>
      </c>
      <c r="D1315" s="531" t="s">
        <v>7520</v>
      </c>
      <c r="E1315" s="531" t="s">
        <v>6647</v>
      </c>
      <c r="F1315" s="538" t="s">
        <v>1082</v>
      </c>
      <c r="G1315" s="539">
        <v>2.0</v>
      </c>
      <c r="H1315" s="538" t="s">
        <v>6647</v>
      </c>
      <c r="I1315" s="538" t="s">
        <v>2698</v>
      </c>
      <c r="J1315" s="540">
        <v>43806.0</v>
      </c>
      <c r="K1315" s="538" t="s">
        <v>5786</v>
      </c>
      <c r="L1315" s="539">
        <v>12.0</v>
      </c>
      <c r="M1315" s="538" t="s">
        <v>5854</v>
      </c>
      <c r="N1315" s="538" t="s">
        <v>7752</v>
      </c>
      <c r="O1315" s="539">
        <v>331.0</v>
      </c>
      <c r="P1315" s="541" t="s">
        <v>7753</v>
      </c>
      <c r="Q1315" s="545"/>
      <c r="R1315" s="500"/>
      <c r="S1315" s="500"/>
      <c r="T1315" s="500"/>
      <c r="U1315" s="500"/>
      <c r="V1315" s="500"/>
      <c r="W1315" s="500"/>
      <c r="X1315" s="500"/>
      <c r="Y1315" s="500"/>
      <c r="Z1315" s="500"/>
      <c r="AA1315" s="500"/>
      <c r="AB1315" s="500"/>
      <c r="AC1315" s="500"/>
      <c r="AD1315" s="500"/>
      <c r="AE1315" s="497"/>
    </row>
    <row r="1316">
      <c r="A1316" s="554" t="s">
        <v>3837</v>
      </c>
      <c r="B1316" s="531" t="s">
        <v>6561</v>
      </c>
      <c r="C1316" s="531" t="s">
        <v>5670</v>
      </c>
      <c r="D1316" s="531" t="s">
        <v>7730</v>
      </c>
      <c r="E1316" s="531" t="s">
        <v>5660</v>
      </c>
      <c r="F1316" s="228" t="s">
        <v>5951</v>
      </c>
    </row>
    <row r="1317">
      <c r="A1317" s="555" t="s">
        <v>3846</v>
      </c>
      <c r="B1317" s="531" t="s">
        <v>2707</v>
      </c>
      <c r="C1317" s="531" t="s">
        <v>5671</v>
      </c>
      <c r="D1317" s="531" t="s">
        <v>7515</v>
      </c>
      <c r="E1317" s="531" t="s">
        <v>5660</v>
      </c>
      <c r="F1317" s="228" t="s">
        <v>5951</v>
      </c>
    </row>
    <row r="1318">
      <c r="A1318" s="555" t="s">
        <v>3854</v>
      </c>
      <c r="B1318" s="531" t="s">
        <v>6561</v>
      </c>
      <c r="C1318" s="531" t="s">
        <v>5664</v>
      </c>
      <c r="D1318" s="531" t="s">
        <v>7520</v>
      </c>
      <c r="E1318" s="531" t="s">
        <v>5660</v>
      </c>
      <c r="F1318" s="228" t="s">
        <v>5951</v>
      </c>
    </row>
    <row r="1319">
      <c r="A1319" s="555" t="s">
        <v>3861</v>
      </c>
      <c r="B1319" s="531" t="s">
        <v>6101</v>
      </c>
      <c r="C1319" s="531" t="s">
        <v>6489</v>
      </c>
      <c r="D1319" s="531" t="s">
        <v>7520</v>
      </c>
      <c r="E1319" s="531" t="s">
        <v>5660</v>
      </c>
      <c r="F1319" s="228" t="s">
        <v>5951</v>
      </c>
    </row>
    <row r="1320">
      <c r="A1320" s="555" t="s">
        <v>3867</v>
      </c>
      <c r="B1320" s="531" t="s">
        <v>6109</v>
      </c>
      <c r="C1320" s="531" t="s">
        <v>5670</v>
      </c>
      <c r="D1320" s="531" t="s">
        <v>7730</v>
      </c>
      <c r="E1320" s="531" t="s">
        <v>5727</v>
      </c>
      <c r="F1320" s="228" t="s">
        <v>5951</v>
      </c>
    </row>
    <row r="1321">
      <c r="A1321" s="555" t="s">
        <v>3872</v>
      </c>
      <c r="B1321" s="531" t="s">
        <v>6112</v>
      </c>
      <c r="C1321" s="531" t="s">
        <v>5670</v>
      </c>
      <c r="D1321" s="531" t="s">
        <v>7730</v>
      </c>
      <c r="E1321" s="531" t="s">
        <v>5727</v>
      </c>
      <c r="F1321" s="228" t="s">
        <v>5951</v>
      </c>
    </row>
    <row r="1322">
      <c r="A1322" s="555" t="s">
        <v>7754</v>
      </c>
      <c r="B1322" s="534" t="s">
        <v>5699</v>
      </c>
      <c r="C1322" s="531" t="s">
        <v>5670</v>
      </c>
      <c r="D1322" s="531" t="s">
        <v>7730</v>
      </c>
      <c r="E1322" s="531" t="s">
        <v>5727</v>
      </c>
      <c r="F1322" s="538" t="s">
        <v>3873</v>
      </c>
      <c r="G1322" s="539">
        <v>2.0</v>
      </c>
      <c r="H1322" s="538" t="s">
        <v>5728</v>
      </c>
      <c r="I1322" s="538" t="s">
        <v>2702</v>
      </c>
      <c r="J1322" s="540">
        <v>43743.0</v>
      </c>
      <c r="K1322" s="538" t="s">
        <v>5786</v>
      </c>
      <c r="L1322" s="539">
        <v>10.0</v>
      </c>
      <c r="M1322" s="538" t="s">
        <v>5835</v>
      </c>
      <c r="N1322" s="538" t="s">
        <v>7755</v>
      </c>
      <c r="O1322" s="539">
        <v>344.0</v>
      </c>
      <c r="P1322" s="541" t="s">
        <v>7756</v>
      </c>
      <c r="Q1322" s="542"/>
      <c r="R1322" s="500"/>
      <c r="S1322" s="500"/>
      <c r="T1322" s="500"/>
      <c r="U1322" s="500"/>
      <c r="V1322" s="500"/>
      <c r="W1322" s="500"/>
      <c r="X1322" s="500"/>
      <c r="Y1322" s="500"/>
      <c r="Z1322" s="500"/>
      <c r="AA1322" s="500"/>
      <c r="AB1322" s="500"/>
      <c r="AC1322" s="500"/>
      <c r="AD1322" s="500"/>
      <c r="AE1322" s="497"/>
    </row>
    <row r="1323">
      <c r="A1323" s="555" t="s">
        <v>3878</v>
      </c>
      <c r="B1323" s="531" t="s">
        <v>6116</v>
      </c>
      <c r="C1323" s="531" t="s">
        <v>6794</v>
      </c>
      <c r="D1323" s="531" t="s">
        <v>7730</v>
      </c>
      <c r="E1323" s="531" t="s">
        <v>5727</v>
      </c>
      <c r="F1323" s="228" t="s">
        <v>5951</v>
      </c>
    </row>
    <row r="1324">
      <c r="A1324" s="555" t="s">
        <v>7757</v>
      </c>
      <c r="B1324" s="531" t="s">
        <v>6532</v>
      </c>
      <c r="C1324" s="531" t="s">
        <v>6489</v>
      </c>
      <c r="D1324" s="531" t="s">
        <v>7730</v>
      </c>
      <c r="E1324" s="531" t="s">
        <v>5727</v>
      </c>
      <c r="F1324" s="538" t="s">
        <v>3884</v>
      </c>
      <c r="G1324" s="539">
        <v>2.0</v>
      </c>
      <c r="H1324" s="538" t="s">
        <v>5728</v>
      </c>
      <c r="I1324" s="538" t="s">
        <v>2740</v>
      </c>
      <c r="J1324" s="540">
        <v>43748.0</v>
      </c>
      <c r="K1324" s="538" t="s">
        <v>5754</v>
      </c>
      <c r="L1324" s="539">
        <v>10.0</v>
      </c>
      <c r="M1324" s="538" t="s">
        <v>5712</v>
      </c>
      <c r="N1324" s="538" t="s">
        <v>7758</v>
      </c>
      <c r="O1324" s="539">
        <v>375.0</v>
      </c>
      <c r="P1324" s="541" t="s">
        <v>7759</v>
      </c>
      <c r="Q1324" s="545"/>
      <c r="R1324" s="500"/>
      <c r="S1324" s="500"/>
      <c r="T1324" s="500"/>
      <c r="U1324" s="500"/>
      <c r="V1324" s="500"/>
      <c r="W1324" s="500"/>
      <c r="X1324" s="500"/>
      <c r="Y1324" s="500"/>
      <c r="Z1324" s="500"/>
      <c r="AA1324" s="500"/>
      <c r="AB1324" s="500"/>
      <c r="AC1324" s="500"/>
      <c r="AD1324" s="500"/>
      <c r="AE1324" s="497"/>
    </row>
    <row r="1325">
      <c r="A1325" s="555" t="s">
        <v>3899</v>
      </c>
      <c r="B1325" s="531" t="s">
        <v>6532</v>
      </c>
      <c r="C1325" s="531" t="s">
        <v>5671</v>
      </c>
      <c r="D1325" s="531" t="s">
        <v>7515</v>
      </c>
      <c r="E1325" s="531" t="s">
        <v>5727</v>
      </c>
      <c r="F1325" s="228" t="s">
        <v>5951</v>
      </c>
    </row>
    <row r="1326">
      <c r="A1326" s="554" t="s">
        <v>3837</v>
      </c>
      <c r="B1326" s="531" t="s">
        <v>6101</v>
      </c>
      <c r="C1326" s="531" t="s">
        <v>5671</v>
      </c>
      <c r="D1326" s="531" t="s">
        <v>7515</v>
      </c>
      <c r="E1326" s="531" t="s">
        <v>5727</v>
      </c>
      <c r="F1326" s="228" t="s">
        <v>5951</v>
      </c>
    </row>
    <row r="1327">
      <c r="A1327" s="555" t="s">
        <v>7760</v>
      </c>
      <c r="B1327" s="534" t="s">
        <v>5699</v>
      </c>
      <c r="C1327" s="531" t="s">
        <v>7040</v>
      </c>
      <c r="D1327" s="531" t="s">
        <v>7552</v>
      </c>
      <c r="E1327" s="531" t="s">
        <v>5727</v>
      </c>
      <c r="F1327" s="538" t="s">
        <v>3901</v>
      </c>
      <c r="G1327" s="539">
        <v>2.0</v>
      </c>
      <c r="H1327" s="538" t="s">
        <v>5728</v>
      </c>
      <c r="I1327" s="538" t="s">
        <v>2702</v>
      </c>
      <c r="J1327" s="540">
        <v>43819.0</v>
      </c>
      <c r="K1327" s="538" t="s">
        <v>5734</v>
      </c>
      <c r="L1327" s="539">
        <v>12.0</v>
      </c>
      <c r="M1327" s="538" t="s">
        <v>7531</v>
      </c>
      <c r="N1327" s="538" t="s">
        <v>7761</v>
      </c>
      <c r="O1327" s="539">
        <v>239.0</v>
      </c>
      <c r="P1327" s="541" t="s">
        <v>7762</v>
      </c>
      <c r="Q1327" s="542"/>
      <c r="R1327" s="500"/>
      <c r="S1327" s="500"/>
      <c r="T1327" s="500"/>
      <c r="U1327" s="500"/>
      <c r="V1327" s="500"/>
      <c r="W1327" s="500"/>
      <c r="X1327" s="500"/>
      <c r="Y1327" s="500"/>
      <c r="Z1327" s="500"/>
      <c r="AA1327" s="500"/>
      <c r="AB1327" s="500"/>
      <c r="AC1327" s="500"/>
      <c r="AD1327" s="500"/>
      <c r="AE1327" s="497"/>
    </row>
    <row r="1328">
      <c r="A1328" s="555" t="s">
        <v>3903</v>
      </c>
      <c r="B1328" s="531" t="s">
        <v>6105</v>
      </c>
      <c r="C1328" s="531" t="s">
        <v>6794</v>
      </c>
      <c r="D1328" s="531" t="s">
        <v>7552</v>
      </c>
      <c r="E1328" s="531" t="s">
        <v>5727</v>
      </c>
      <c r="F1328" s="228" t="s">
        <v>5951</v>
      </c>
    </row>
    <row r="1329">
      <c r="A1329" s="555" t="s">
        <v>3908</v>
      </c>
      <c r="B1329" s="531" t="s">
        <v>2707</v>
      </c>
      <c r="C1329" s="531" t="s">
        <v>5681</v>
      </c>
      <c r="D1329" s="531" t="s">
        <v>7552</v>
      </c>
      <c r="E1329" s="531" t="s">
        <v>5727</v>
      </c>
      <c r="F1329" s="228" t="s">
        <v>5951</v>
      </c>
    </row>
    <row r="1330">
      <c r="A1330" s="555" t="s">
        <v>7763</v>
      </c>
      <c r="B1330" s="531" t="s">
        <v>6561</v>
      </c>
      <c r="C1330" s="531" t="s">
        <v>5657</v>
      </c>
      <c r="D1330" s="531" t="s">
        <v>7552</v>
      </c>
      <c r="E1330" s="531" t="s">
        <v>5727</v>
      </c>
      <c r="F1330" s="538" t="s">
        <v>3911</v>
      </c>
      <c r="G1330" s="539">
        <v>2.0</v>
      </c>
      <c r="H1330" s="538" t="s">
        <v>5728</v>
      </c>
      <c r="I1330" s="538" t="s">
        <v>2724</v>
      </c>
      <c r="J1330" s="540">
        <v>43817.0</v>
      </c>
      <c r="K1330" s="538" t="s">
        <v>5711</v>
      </c>
      <c r="L1330" s="539">
        <v>12.0</v>
      </c>
      <c r="M1330" s="538" t="s">
        <v>5893</v>
      </c>
      <c r="N1330" s="538" t="s">
        <v>7764</v>
      </c>
      <c r="O1330" s="539">
        <v>242.0</v>
      </c>
      <c r="P1330" s="541" t="s">
        <v>7765</v>
      </c>
      <c r="Q1330" s="542"/>
      <c r="R1330" s="500"/>
      <c r="S1330" s="500"/>
      <c r="T1330" s="500"/>
      <c r="U1330" s="500"/>
      <c r="V1330" s="500"/>
      <c r="W1330" s="500"/>
      <c r="X1330" s="500"/>
      <c r="Y1330" s="500"/>
      <c r="Z1330" s="500"/>
      <c r="AA1330" s="500"/>
      <c r="AB1330" s="500"/>
      <c r="AC1330" s="500"/>
      <c r="AD1330" s="500"/>
      <c r="AE1330" s="497"/>
    </row>
    <row r="1331">
      <c r="A1331" s="555" t="s">
        <v>3915</v>
      </c>
      <c r="B1331" s="531" t="s">
        <v>6116</v>
      </c>
      <c r="C1331" s="531" t="s">
        <v>5657</v>
      </c>
      <c r="D1331" s="531" t="s">
        <v>7552</v>
      </c>
      <c r="E1331" s="531" t="s">
        <v>5727</v>
      </c>
      <c r="F1331" s="228" t="s">
        <v>5951</v>
      </c>
    </row>
    <row r="1332">
      <c r="A1332" s="555" t="s">
        <v>3916</v>
      </c>
      <c r="B1332" s="531" t="s">
        <v>6105</v>
      </c>
      <c r="C1332" s="531" t="s">
        <v>7032</v>
      </c>
      <c r="D1332" s="531" t="s">
        <v>7552</v>
      </c>
      <c r="E1332" s="531" t="s">
        <v>5727</v>
      </c>
      <c r="F1332" s="228" t="s">
        <v>5951</v>
      </c>
    </row>
    <row r="1333">
      <c r="A1333" s="555" t="s">
        <v>3917</v>
      </c>
      <c r="B1333" s="531" t="s">
        <v>2707</v>
      </c>
      <c r="C1333" s="531" t="s">
        <v>7032</v>
      </c>
      <c r="D1333" s="531" t="s">
        <v>7552</v>
      </c>
      <c r="E1333" s="531" t="s">
        <v>5727</v>
      </c>
      <c r="F1333" s="228" t="s">
        <v>5951</v>
      </c>
    </row>
    <row r="1334">
      <c r="A1334" s="555" t="s">
        <v>7766</v>
      </c>
      <c r="B1334" s="531" t="s">
        <v>6101</v>
      </c>
      <c r="C1334" s="531" t="s">
        <v>5671</v>
      </c>
      <c r="D1334" s="531" t="s">
        <v>7552</v>
      </c>
      <c r="E1334" s="531" t="s">
        <v>5727</v>
      </c>
      <c r="F1334" s="538" t="s">
        <v>3921</v>
      </c>
      <c r="G1334" s="539">
        <v>2.0</v>
      </c>
      <c r="H1334" s="538" t="s">
        <v>5728</v>
      </c>
      <c r="I1334" s="538" t="s">
        <v>2715</v>
      </c>
      <c r="J1334" s="540">
        <v>43828.0</v>
      </c>
      <c r="K1334" s="538" t="s">
        <v>5729</v>
      </c>
      <c r="L1334" s="539">
        <v>12.0</v>
      </c>
      <c r="M1334" s="538" t="s">
        <v>5794</v>
      </c>
      <c r="N1334" s="538" t="s">
        <v>7767</v>
      </c>
      <c r="O1334" s="539">
        <v>190.0</v>
      </c>
      <c r="P1334" s="541" t="s">
        <v>7768</v>
      </c>
      <c r="Q1334" s="542"/>
      <c r="R1334" s="500"/>
      <c r="S1334" s="500"/>
      <c r="T1334" s="500"/>
      <c r="U1334" s="500"/>
      <c r="V1334" s="500"/>
      <c r="W1334" s="500"/>
      <c r="X1334" s="500"/>
      <c r="Y1334" s="500"/>
      <c r="Z1334" s="500"/>
      <c r="AA1334" s="500"/>
      <c r="AB1334" s="500"/>
      <c r="AC1334" s="500"/>
      <c r="AD1334" s="500"/>
      <c r="AE1334" s="497"/>
    </row>
    <row r="1335">
      <c r="A1335" s="555" t="s">
        <v>3924</v>
      </c>
      <c r="B1335" s="531" t="s">
        <v>2698</v>
      </c>
      <c r="C1335" s="531" t="s">
        <v>5681</v>
      </c>
      <c r="D1335" s="531" t="s">
        <v>7552</v>
      </c>
      <c r="E1335" s="531" t="s">
        <v>5727</v>
      </c>
      <c r="F1335" s="228" t="s">
        <v>5951</v>
      </c>
    </row>
    <row r="1336">
      <c r="A1336" s="555" t="s">
        <v>3925</v>
      </c>
      <c r="B1336" s="531" t="s">
        <v>6101</v>
      </c>
      <c r="C1336" s="531" t="s">
        <v>5681</v>
      </c>
      <c r="D1336" s="531" t="s">
        <v>7552</v>
      </c>
      <c r="E1336" s="531" t="s">
        <v>5727</v>
      </c>
      <c r="F1336" s="228" t="s">
        <v>5951</v>
      </c>
    </row>
    <row r="1337">
      <c r="A1337" s="555" t="s">
        <v>3931</v>
      </c>
      <c r="B1337" s="531" t="s">
        <v>2709</v>
      </c>
      <c r="C1337" s="531" t="s">
        <v>7032</v>
      </c>
      <c r="D1337" s="531" t="s">
        <v>7730</v>
      </c>
      <c r="E1337" s="531" t="s">
        <v>6241</v>
      </c>
      <c r="F1337" s="228" t="s">
        <v>5951</v>
      </c>
    </row>
    <row r="1338">
      <c r="A1338" s="523" t="s">
        <v>3345</v>
      </c>
      <c r="B1338" s="531" t="s">
        <v>6105</v>
      </c>
      <c r="C1338" s="531" t="s">
        <v>5664</v>
      </c>
      <c r="D1338" s="531" t="s">
        <v>7769</v>
      </c>
      <c r="E1338" s="531" t="s">
        <v>6241</v>
      </c>
      <c r="F1338" s="228" t="s">
        <v>6472</v>
      </c>
    </row>
    <row r="1339">
      <c r="A1339" s="523" t="s">
        <v>7770</v>
      </c>
      <c r="B1339" s="531" t="s">
        <v>6105</v>
      </c>
      <c r="C1339" s="531" t="s">
        <v>5664</v>
      </c>
      <c r="D1339" s="531" t="s">
        <v>5683</v>
      </c>
      <c r="E1339" s="531" t="s">
        <v>6795</v>
      </c>
      <c r="F1339" s="538" t="s">
        <v>3675</v>
      </c>
      <c r="G1339" s="539">
        <v>2.0</v>
      </c>
      <c r="H1339" s="538" t="s">
        <v>6647</v>
      </c>
      <c r="I1339" s="538" t="s">
        <v>2740</v>
      </c>
      <c r="J1339" s="540">
        <v>43559.0</v>
      </c>
      <c r="K1339" s="538" t="s">
        <v>5754</v>
      </c>
      <c r="L1339" s="539">
        <v>4.0</v>
      </c>
      <c r="M1339" s="538" t="s">
        <v>5846</v>
      </c>
      <c r="N1339" s="538" t="s">
        <v>7771</v>
      </c>
      <c r="O1339" s="539">
        <v>301.0</v>
      </c>
      <c r="P1339" s="541" t="s">
        <v>7772</v>
      </c>
      <c r="Q1339" s="545"/>
      <c r="R1339" s="500"/>
      <c r="S1339" s="500"/>
      <c r="T1339" s="500"/>
      <c r="U1339" s="500"/>
      <c r="V1339" s="500"/>
      <c r="W1339" s="500"/>
      <c r="X1339" s="500"/>
      <c r="Y1339" s="500"/>
      <c r="Z1339" s="500"/>
      <c r="AA1339" s="500"/>
      <c r="AB1339" s="500"/>
      <c r="AC1339" s="500"/>
      <c r="AD1339" s="500"/>
      <c r="AE1339" s="497"/>
    </row>
    <row r="1340">
      <c r="A1340" s="555" t="s">
        <v>3950</v>
      </c>
      <c r="B1340" s="531" t="s">
        <v>6482</v>
      </c>
      <c r="C1340" s="531" t="s">
        <v>5671</v>
      </c>
      <c r="D1340" s="531" t="s">
        <v>7515</v>
      </c>
      <c r="E1340" s="531" t="s">
        <v>6241</v>
      </c>
      <c r="F1340" s="538" t="s">
        <v>7773</v>
      </c>
      <c r="G1340" s="539">
        <v>2.0</v>
      </c>
      <c r="H1340" s="538" t="s">
        <v>6243</v>
      </c>
      <c r="I1340" s="538" t="s">
        <v>2715</v>
      </c>
      <c r="J1340" s="540">
        <v>43793.0</v>
      </c>
      <c r="K1340" s="538" t="s">
        <v>5729</v>
      </c>
      <c r="L1340" s="539">
        <v>11.0</v>
      </c>
      <c r="M1340" s="538" t="s">
        <v>5773</v>
      </c>
      <c r="N1340" s="538" t="s">
        <v>7774</v>
      </c>
      <c r="O1340" s="539">
        <v>295.0</v>
      </c>
      <c r="P1340" s="541" t="s">
        <v>7775</v>
      </c>
      <c r="Q1340" s="542"/>
      <c r="R1340" s="500"/>
      <c r="S1340" s="500"/>
      <c r="T1340" s="500"/>
      <c r="U1340" s="500"/>
      <c r="V1340" s="500"/>
      <c r="W1340" s="500"/>
      <c r="X1340" s="500"/>
      <c r="Y1340" s="500"/>
      <c r="Z1340" s="500"/>
      <c r="AA1340" s="500"/>
      <c r="AB1340" s="500"/>
      <c r="AC1340" s="500"/>
      <c r="AD1340" s="500"/>
      <c r="AE1340" s="497"/>
    </row>
    <row r="1341">
      <c r="A1341" s="555" t="s">
        <v>3951</v>
      </c>
      <c r="B1341" s="531" t="s">
        <v>6105</v>
      </c>
      <c r="C1341" s="531" t="s">
        <v>6794</v>
      </c>
      <c r="D1341" s="531" t="s">
        <v>7515</v>
      </c>
      <c r="E1341" s="531" t="s">
        <v>6241</v>
      </c>
      <c r="F1341" s="228" t="s">
        <v>5951</v>
      </c>
    </row>
    <row r="1342">
      <c r="A1342" s="555" t="s">
        <v>7776</v>
      </c>
      <c r="B1342" s="531" t="s">
        <v>2704</v>
      </c>
      <c r="C1342" s="531" t="s">
        <v>5664</v>
      </c>
      <c r="D1342" s="531" t="s">
        <v>7552</v>
      </c>
      <c r="E1342" s="531" t="s">
        <v>6241</v>
      </c>
      <c r="F1342" s="538" t="s">
        <v>3955</v>
      </c>
      <c r="G1342" s="539">
        <v>2.0</v>
      </c>
      <c r="H1342" s="538" t="s">
        <v>6243</v>
      </c>
      <c r="I1342" s="538" t="s">
        <v>2704</v>
      </c>
      <c r="J1342" s="540">
        <v>43811.0</v>
      </c>
      <c r="K1342" s="538" t="s">
        <v>5754</v>
      </c>
      <c r="L1342" s="539">
        <v>12.0</v>
      </c>
      <c r="M1342" s="538" t="s">
        <v>6322</v>
      </c>
      <c r="N1342" s="538" t="s">
        <v>7777</v>
      </c>
      <c r="O1342" s="539">
        <v>644.0</v>
      </c>
      <c r="P1342" s="541" t="s">
        <v>7778</v>
      </c>
      <c r="Q1342" s="542"/>
      <c r="R1342" s="500"/>
      <c r="S1342" s="500"/>
      <c r="T1342" s="500"/>
      <c r="U1342" s="500"/>
      <c r="V1342" s="500"/>
      <c r="W1342" s="500"/>
      <c r="X1342" s="500"/>
      <c r="Y1342" s="500"/>
      <c r="Z1342" s="500"/>
      <c r="AA1342" s="500"/>
      <c r="AB1342" s="500"/>
      <c r="AC1342" s="500"/>
      <c r="AD1342" s="500"/>
      <c r="AE1342" s="497"/>
    </row>
    <row r="1343">
      <c r="A1343" s="555" t="s">
        <v>3962</v>
      </c>
      <c r="B1343" s="531" t="s">
        <v>2698</v>
      </c>
      <c r="C1343" s="531" t="s">
        <v>5671</v>
      </c>
      <c r="D1343" s="531" t="s">
        <v>7552</v>
      </c>
      <c r="E1343" s="531" t="s">
        <v>6241</v>
      </c>
      <c r="F1343" s="228" t="s">
        <v>5951</v>
      </c>
    </row>
    <row r="1344">
      <c r="A1344" s="555" t="s">
        <v>3966</v>
      </c>
      <c r="B1344" s="531" t="s">
        <v>6109</v>
      </c>
      <c r="C1344" s="531" t="s">
        <v>7040</v>
      </c>
      <c r="D1344" s="531" t="s">
        <v>7552</v>
      </c>
      <c r="E1344" s="531" t="s">
        <v>6241</v>
      </c>
      <c r="F1344" s="228" t="s">
        <v>5951</v>
      </c>
    </row>
    <row r="1345">
      <c r="A1345" s="555" t="s">
        <v>7779</v>
      </c>
      <c r="B1345" s="531" t="s">
        <v>6105</v>
      </c>
      <c r="C1345" s="531" t="s">
        <v>5664</v>
      </c>
      <c r="D1345" s="531" t="s">
        <v>7730</v>
      </c>
      <c r="E1345" s="531" t="s">
        <v>6795</v>
      </c>
      <c r="F1345" s="538" t="s">
        <v>3976</v>
      </c>
      <c r="G1345" s="539">
        <v>2.0</v>
      </c>
      <c r="H1345" s="538" t="s">
        <v>6647</v>
      </c>
      <c r="I1345" s="538" t="s">
        <v>2740</v>
      </c>
      <c r="J1345" s="540">
        <v>43741.0</v>
      </c>
      <c r="K1345" s="538" t="s">
        <v>5754</v>
      </c>
      <c r="L1345" s="539">
        <v>10.0</v>
      </c>
      <c r="M1345" s="538" t="s">
        <v>5846</v>
      </c>
      <c r="N1345" s="538" t="s">
        <v>7780</v>
      </c>
      <c r="O1345" s="539">
        <v>314.0</v>
      </c>
      <c r="P1345" s="541" t="s">
        <v>7781</v>
      </c>
      <c r="Q1345" s="545"/>
      <c r="R1345" s="500"/>
      <c r="S1345" s="500"/>
      <c r="T1345" s="500"/>
      <c r="U1345" s="500"/>
      <c r="V1345" s="500"/>
      <c r="W1345" s="500"/>
      <c r="X1345" s="500"/>
      <c r="Y1345" s="500"/>
      <c r="Z1345" s="500"/>
      <c r="AA1345" s="500"/>
      <c r="AB1345" s="500"/>
      <c r="AC1345" s="500"/>
      <c r="AD1345" s="500"/>
      <c r="AE1345" s="497"/>
    </row>
    <row r="1346">
      <c r="A1346" s="555" t="s">
        <v>7782</v>
      </c>
      <c r="B1346" s="531" t="s">
        <v>6561</v>
      </c>
      <c r="C1346" s="531" t="s">
        <v>7040</v>
      </c>
      <c r="D1346" s="531" t="s">
        <v>7730</v>
      </c>
      <c r="E1346" s="531" t="s">
        <v>6795</v>
      </c>
      <c r="F1346" s="538" t="s">
        <v>3979</v>
      </c>
      <c r="G1346" s="539">
        <v>2.0</v>
      </c>
      <c r="H1346" s="538" t="s">
        <v>6647</v>
      </c>
      <c r="I1346" s="538" t="s">
        <v>2724</v>
      </c>
      <c r="J1346" s="540">
        <v>43742.0</v>
      </c>
      <c r="K1346" s="538" t="s">
        <v>5734</v>
      </c>
      <c r="L1346" s="539">
        <v>10.0</v>
      </c>
      <c r="M1346" s="538" t="s">
        <v>5828</v>
      </c>
      <c r="N1346" s="538" t="s">
        <v>7783</v>
      </c>
      <c r="O1346" s="539">
        <v>270.0</v>
      </c>
      <c r="P1346" s="541" t="s">
        <v>7784</v>
      </c>
      <c r="Q1346" s="545"/>
      <c r="R1346" s="500"/>
      <c r="S1346" s="500"/>
      <c r="T1346" s="500"/>
      <c r="U1346" s="500"/>
      <c r="V1346" s="500"/>
      <c r="W1346" s="500"/>
      <c r="X1346" s="500"/>
      <c r="Y1346" s="500"/>
      <c r="Z1346" s="500"/>
      <c r="AA1346" s="500"/>
      <c r="AB1346" s="500"/>
      <c r="AC1346" s="500"/>
      <c r="AD1346" s="500"/>
      <c r="AE1346" s="497"/>
    </row>
    <row r="1347">
      <c r="A1347" s="528" t="s">
        <v>4006</v>
      </c>
      <c r="B1347" s="534" t="s">
        <v>5699</v>
      </c>
      <c r="C1347" s="531" t="s">
        <v>6489</v>
      </c>
      <c r="D1347" s="531" t="s">
        <v>7515</v>
      </c>
      <c r="E1347" s="531" t="s">
        <v>6795</v>
      </c>
      <c r="F1347" s="228" t="s">
        <v>5951</v>
      </c>
    </row>
    <row r="1348">
      <c r="A1348" s="528" t="s">
        <v>4013</v>
      </c>
      <c r="B1348" s="531" t="s">
        <v>6116</v>
      </c>
      <c r="C1348" s="531" t="s">
        <v>5671</v>
      </c>
      <c r="D1348" s="531" t="s">
        <v>7515</v>
      </c>
      <c r="E1348" s="531" t="s">
        <v>6795</v>
      </c>
      <c r="F1348" s="228" t="s">
        <v>5951</v>
      </c>
    </row>
    <row r="1349">
      <c r="A1349" s="528" t="s">
        <v>4032</v>
      </c>
      <c r="B1349" s="531" t="s">
        <v>6105</v>
      </c>
      <c r="C1349" s="531" t="s">
        <v>6794</v>
      </c>
      <c r="D1349" s="531" t="s">
        <v>7552</v>
      </c>
      <c r="E1349" s="531" t="s">
        <v>6795</v>
      </c>
      <c r="F1349" s="228" t="s">
        <v>5951</v>
      </c>
    </row>
    <row r="1350">
      <c r="A1350" s="531" t="s">
        <v>2694</v>
      </c>
      <c r="B1350" s="531" t="s">
        <v>6109</v>
      </c>
      <c r="C1350" s="531" t="s">
        <v>5671</v>
      </c>
      <c r="D1350" s="531" t="s">
        <v>7730</v>
      </c>
      <c r="E1350" s="531" t="s">
        <v>5660</v>
      </c>
      <c r="F1350" s="228" t="s">
        <v>5951</v>
      </c>
    </row>
    <row r="1351">
      <c r="A1351" s="531" t="s">
        <v>2701</v>
      </c>
      <c r="B1351" s="534" t="s">
        <v>5699</v>
      </c>
      <c r="C1351" s="531" t="s">
        <v>5667</v>
      </c>
      <c r="D1351" s="531" t="s">
        <v>7515</v>
      </c>
      <c r="E1351" s="531" t="s">
        <v>5660</v>
      </c>
      <c r="F1351" s="228" t="s">
        <v>5951</v>
      </c>
    </row>
    <row r="1352">
      <c r="A1352" s="531" t="s">
        <v>2703</v>
      </c>
      <c r="B1352" s="531" t="s">
        <v>2704</v>
      </c>
      <c r="C1352" s="531" t="s">
        <v>5667</v>
      </c>
      <c r="D1352" s="531" t="s">
        <v>7515</v>
      </c>
      <c r="E1352" s="531" t="s">
        <v>5660</v>
      </c>
      <c r="F1352" s="228" t="s">
        <v>5951</v>
      </c>
    </row>
    <row r="1353">
      <c r="A1353" s="531" t="s">
        <v>2706</v>
      </c>
      <c r="B1353" s="531" t="s">
        <v>6112</v>
      </c>
      <c r="C1353" s="531" t="s">
        <v>7032</v>
      </c>
      <c r="D1353" s="531" t="s">
        <v>7515</v>
      </c>
      <c r="E1353" s="531" t="s">
        <v>5660</v>
      </c>
      <c r="F1353" s="228" t="s">
        <v>5951</v>
      </c>
    </row>
    <row r="1354">
      <c r="A1354" s="531" t="s">
        <v>2708</v>
      </c>
      <c r="B1354" s="531" t="s">
        <v>6096</v>
      </c>
      <c r="C1354" s="531" t="s">
        <v>6794</v>
      </c>
      <c r="D1354" s="531" t="s">
        <v>7515</v>
      </c>
      <c r="E1354" s="531" t="s">
        <v>5660</v>
      </c>
      <c r="F1354" s="228" t="s">
        <v>5951</v>
      </c>
    </row>
    <row r="1355">
      <c r="A1355" s="531" t="s">
        <v>2710</v>
      </c>
      <c r="B1355" s="534" t="s">
        <v>5699</v>
      </c>
      <c r="C1355" s="531" t="s">
        <v>5681</v>
      </c>
      <c r="D1355" s="531" t="s">
        <v>7515</v>
      </c>
      <c r="E1355" s="531" t="s">
        <v>5660</v>
      </c>
      <c r="F1355" s="228" t="s">
        <v>5951</v>
      </c>
    </row>
    <row r="1356">
      <c r="A1356" s="547" t="s">
        <v>2711</v>
      </c>
      <c r="B1356" s="531" t="s">
        <v>6116</v>
      </c>
      <c r="C1356" s="531" t="s">
        <v>6489</v>
      </c>
      <c r="D1356" s="531" t="s">
        <v>7515</v>
      </c>
      <c r="E1356" s="531" t="s">
        <v>5660</v>
      </c>
      <c r="F1356" s="228" t="s">
        <v>5951</v>
      </c>
    </row>
    <row r="1357">
      <c r="A1357" s="531" t="s">
        <v>2712</v>
      </c>
      <c r="B1357" s="531" t="s">
        <v>2704</v>
      </c>
      <c r="C1357" s="531" t="s">
        <v>5671</v>
      </c>
      <c r="D1357" s="531" t="s">
        <v>7520</v>
      </c>
      <c r="E1357" s="531" t="s">
        <v>5660</v>
      </c>
      <c r="F1357" s="228" t="s">
        <v>5951</v>
      </c>
    </row>
    <row r="1358">
      <c r="A1358" s="531" t="s">
        <v>2714</v>
      </c>
      <c r="B1358" s="531" t="s">
        <v>2698</v>
      </c>
      <c r="C1358" s="531" t="s">
        <v>6794</v>
      </c>
      <c r="D1358" s="531" t="s">
        <v>7552</v>
      </c>
      <c r="E1358" s="531" t="s">
        <v>5660</v>
      </c>
      <c r="F1358" s="228" t="s">
        <v>5951</v>
      </c>
    </row>
    <row r="1359">
      <c r="A1359" s="531" t="s">
        <v>7785</v>
      </c>
      <c r="B1359" s="531" t="s">
        <v>6109</v>
      </c>
      <c r="C1359" s="531" t="s">
        <v>5667</v>
      </c>
      <c r="D1359" s="531" t="s">
        <v>7552</v>
      </c>
      <c r="E1359" s="531" t="s">
        <v>5660</v>
      </c>
      <c r="F1359" s="538" t="s">
        <v>2716</v>
      </c>
      <c r="G1359" s="539">
        <v>2.0</v>
      </c>
      <c r="H1359" s="538" t="s">
        <v>5660</v>
      </c>
      <c r="I1359" s="538" t="s">
        <v>2695</v>
      </c>
      <c r="J1359" s="540">
        <v>43812.0</v>
      </c>
      <c r="K1359" s="538" t="s">
        <v>5734</v>
      </c>
      <c r="L1359" s="539">
        <v>12.0</v>
      </c>
      <c r="M1359" s="538" t="s">
        <v>5879</v>
      </c>
      <c r="N1359" s="538" t="s">
        <v>7786</v>
      </c>
      <c r="O1359" s="539">
        <v>318.0</v>
      </c>
      <c r="P1359" s="541" t="s">
        <v>7787</v>
      </c>
      <c r="Q1359" s="545"/>
      <c r="R1359" s="500"/>
      <c r="S1359" s="500"/>
      <c r="T1359" s="500"/>
      <c r="U1359" s="500"/>
      <c r="V1359" s="500"/>
      <c r="W1359" s="500"/>
      <c r="X1359" s="500"/>
      <c r="Y1359" s="500"/>
      <c r="Z1359" s="500"/>
      <c r="AA1359" s="500"/>
      <c r="AB1359" s="500"/>
      <c r="AC1359" s="500"/>
      <c r="AD1359" s="500"/>
      <c r="AE1359" s="497"/>
    </row>
    <row r="1360">
      <c r="A1360" s="531" t="s">
        <v>7788</v>
      </c>
      <c r="B1360" s="531" t="s">
        <v>6561</v>
      </c>
      <c r="C1360" s="531" t="s">
        <v>6794</v>
      </c>
      <c r="D1360" s="531" t="s">
        <v>7552</v>
      </c>
      <c r="E1360" s="531" t="s">
        <v>5660</v>
      </c>
      <c r="F1360" s="228" t="s">
        <v>5700</v>
      </c>
    </row>
    <row r="1361">
      <c r="A1361" s="531" t="s">
        <v>2718</v>
      </c>
      <c r="B1361" s="531" t="s">
        <v>6109</v>
      </c>
      <c r="C1361" s="531" t="s">
        <v>5681</v>
      </c>
      <c r="D1361" s="531" t="s">
        <v>7552</v>
      </c>
      <c r="E1361" s="531" t="s">
        <v>5660</v>
      </c>
      <c r="F1361" s="228" t="s">
        <v>5700</v>
      </c>
    </row>
    <row r="1362">
      <c r="A1362" s="531" t="s">
        <v>7789</v>
      </c>
      <c r="B1362" s="531" t="s">
        <v>6116</v>
      </c>
      <c r="C1362" s="531" t="s">
        <v>5671</v>
      </c>
      <c r="D1362" s="531" t="s">
        <v>7730</v>
      </c>
      <c r="E1362" s="531" t="s">
        <v>5727</v>
      </c>
      <c r="F1362" s="538" t="s">
        <v>2720</v>
      </c>
      <c r="G1362" s="539">
        <v>2.0</v>
      </c>
      <c r="H1362" s="538" t="s">
        <v>5728</v>
      </c>
      <c r="I1362" s="538" t="s">
        <v>2692</v>
      </c>
      <c r="J1362" s="540">
        <v>43744.0</v>
      </c>
      <c r="K1362" s="538" t="s">
        <v>5729</v>
      </c>
      <c r="L1362" s="539">
        <v>10.0</v>
      </c>
      <c r="M1362" s="538" t="s">
        <v>5781</v>
      </c>
      <c r="N1362" s="538" t="s">
        <v>7790</v>
      </c>
      <c r="O1362" s="539">
        <v>227.0</v>
      </c>
      <c r="P1362" s="541" t="s">
        <v>7791</v>
      </c>
      <c r="Q1362" s="542"/>
      <c r="R1362" s="500"/>
      <c r="S1362" s="500"/>
      <c r="T1362" s="500"/>
      <c r="U1362" s="500"/>
      <c r="V1362" s="500"/>
      <c r="W1362" s="500"/>
      <c r="X1362" s="500"/>
      <c r="Y1362" s="500"/>
      <c r="Z1362" s="500"/>
      <c r="AA1362" s="500"/>
      <c r="AB1362" s="500"/>
      <c r="AC1362" s="500"/>
      <c r="AD1362" s="500"/>
      <c r="AE1362" s="497"/>
    </row>
    <row r="1363">
      <c r="A1363" s="531" t="s">
        <v>7792</v>
      </c>
      <c r="B1363" s="531" t="s">
        <v>6561</v>
      </c>
      <c r="C1363" s="531" t="s">
        <v>5681</v>
      </c>
      <c r="D1363" s="531" t="s">
        <v>7730</v>
      </c>
      <c r="E1363" s="531" t="s">
        <v>5727</v>
      </c>
      <c r="F1363" s="228" t="s">
        <v>5700</v>
      </c>
    </row>
    <row r="1364">
      <c r="A1364" s="531" t="s">
        <v>2727</v>
      </c>
      <c r="B1364" s="531" t="s">
        <v>6096</v>
      </c>
      <c r="C1364" s="531" t="s">
        <v>5681</v>
      </c>
      <c r="D1364" s="531" t="s">
        <v>7730</v>
      </c>
      <c r="E1364" s="531" t="s">
        <v>5727</v>
      </c>
      <c r="F1364" s="228" t="s">
        <v>5700</v>
      </c>
    </row>
    <row r="1365">
      <c r="A1365" s="531" t="s">
        <v>2730</v>
      </c>
      <c r="B1365" s="531" t="s">
        <v>2704</v>
      </c>
      <c r="C1365" s="531" t="s">
        <v>5681</v>
      </c>
      <c r="D1365" s="531" t="s">
        <v>7730</v>
      </c>
      <c r="E1365" s="531" t="s">
        <v>5727</v>
      </c>
      <c r="F1365" s="228" t="s">
        <v>5700</v>
      </c>
    </row>
    <row r="1366">
      <c r="A1366" s="531" t="s">
        <v>2731</v>
      </c>
      <c r="B1366" s="531" t="s">
        <v>6482</v>
      </c>
      <c r="C1366" s="531" t="s">
        <v>5657</v>
      </c>
      <c r="D1366" s="531" t="s">
        <v>7730</v>
      </c>
      <c r="E1366" s="531" t="s">
        <v>5727</v>
      </c>
      <c r="F1366" s="228" t="s">
        <v>5700</v>
      </c>
    </row>
    <row r="1367">
      <c r="A1367" s="531" t="s">
        <v>7793</v>
      </c>
      <c r="B1367" s="531" t="s">
        <v>6112</v>
      </c>
      <c r="C1367" s="531" t="s">
        <v>6489</v>
      </c>
      <c r="D1367" s="531" t="s">
        <v>7515</v>
      </c>
      <c r="E1367" s="531" t="s">
        <v>5727</v>
      </c>
      <c r="F1367" s="538" t="s">
        <v>2738</v>
      </c>
      <c r="G1367" s="539">
        <v>2.0</v>
      </c>
      <c r="H1367" s="538" t="s">
        <v>5728</v>
      </c>
      <c r="I1367" s="538" t="s">
        <v>2707</v>
      </c>
      <c r="J1367" s="540">
        <v>43790.0</v>
      </c>
      <c r="K1367" s="538" t="s">
        <v>5754</v>
      </c>
      <c r="L1367" s="539">
        <v>11.0</v>
      </c>
      <c r="M1367" s="538" t="s">
        <v>7794</v>
      </c>
      <c r="N1367" s="538" t="s">
        <v>7795</v>
      </c>
      <c r="O1367" s="539">
        <v>218.0</v>
      </c>
      <c r="P1367" s="541" t="s">
        <v>7796</v>
      </c>
      <c r="Q1367" s="542" t="s">
        <v>7797</v>
      </c>
      <c r="R1367" s="500"/>
      <c r="S1367" s="500"/>
      <c r="T1367" s="500"/>
      <c r="U1367" s="500"/>
      <c r="V1367" s="500"/>
      <c r="W1367" s="500"/>
      <c r="X1367" s="500"/>
      <c r="Y1367" s="500"/>
      <c r="Z1367" s="500"/>
      <c r="AA1367" s="500"/>
      <c r="AB1367" s="500"/>
      <c r="AC1367" s="500"/>
      <c r="AD1367" s="500"/>
      <c r="AE1367" s="497"/>
    </row>
    <row r="1368">
      <c r="A1368" s="531" t="s">
        <v>2745</v>
      </c>
      <c r="B1368" s="531" t="s">
        <v>2709</v>
      </c>
      <c r="C1368" s="531" t="s">
        <v>7032</v>
      </c>
      <c r="D1368" s="531" t="s">
        <v>7798</v>
      </c>
      <c r="E1368" s="531" t="s">
        <v>5727</v>
      </c>
      <c r="F1368" s="228" t="s">
        <v>5700</v>
      </c>
    </row>
    <row r="1369">
      <c r="A1369" s="531" t="s">
        <v>3897</v>
      </c>
      <c r="B1369" s="534" t="s">
        <v>5699</v>
      </c>
      <c r="C1369" s="531" t="s">
        <v>7032</v>
      </c>
      <c r="D1369" s="531" t="s">
        <v>7798</v>
      </c>
      <c r="E1369" s="531" t="s">
        <v>5727</v>
      </c>
      <c r="F1369" s="538" t="s">
        <v>2746</v>
      </c>
      <c r="G1369" s="539">
        <v>2.0</v>
      </c>
      <c r="H1369" s="538" t="s">
        <v>5728</v>
      </c>
      <c r="I1369" s="538" t="s">
        <v>2702</v>
      </c>
      <c r="J1369" s="540">
        <v>43792.0</v>
      </c>
      <c r="K1369" s="538" t="s">
        <v>5786</v>
      </c>
      <c r="L1369" s="539">
        <v>11.0</v>
      </c>
      <c r="M1369" s="538" t="s">
        <v>7531</v>
      </c>
      <c r="N1369" s="538" t="s">
        <v>7799</v>
      </c>
      <c r="O1369" s="539">
        <v>788.0</v>
      </c>
      <c r="P1369" s="541" t="s">
        <v>7800</v>
      </c>
      <c r="Q1369" s="542"/>
      <c r="R1369" s="500"/>
      <c r="S1369" s="500"/>
      <c r="T1369" s="500"/>
      <c r="U1369" s="500"/>
      <c r="V1369" s="500"/>
      <c r="W1369" s="500"/>
      <c r="X1369" s="500"/>
      <c r="Y1369" s="500"/>
      <c r="Z1369" s="500"/>
      <c r="AA1369" s="500"/>
      <c r="AB1369" s="500"/>
      <c r="AC1369" s="500"/>
      <c r="AD1369" s="500"/>
      <c r="AE1369" s="497"/>
    </row>
    <row r="1370">
      <c r="A1370" s="531" t="s">
        <v>2747</v>
      </c>
      <c r="B1370" s="531" t="s">
        <v>6561</v>
      </c>
      <c r="C1370" s="531" t="s">
        <v>5671</v>
      </c>
      <c r="D1370" s="531" t="s">
        <v>7798</v>
      </c>
      <c r="E1370" s="531" t="s">
        <v>5727</v>
      </c>
      <c r="F1370" s="228" t="s">
        <v>5700</v>
      </c>
    </row>
    <row r="1371">
      <c r="A1371" s="531" t="s">
        <v>2749</v>
      </c>
      <c r="B1371" s="531" t="s">
        <v>6116</v>
      </c>
      <c r="C1371" s="531" t="s">
        <v>6794</v>
      </c>
      <c r="D1371" s="531" t="s">
        <v>7798</v>
      </c>
      <c r="E1371" s="531" t="s">
        <v>5727</v>
      </c>
      <c r="F1371" s="228" t="s">
        <v>5700</v>
      </c>
    </row>
    <row r="1372">
      <c r="A1372" s="531" t="s">
        <v>7801</v>
      </c>
      <c r="B1372" s="531" t="s">
        <v>2707</v>
      </c>
      <c r="C1372" s="531" t="s">
        <v>5681</v>
      </c>
      <c r="D1372" s="531" t="s">
        <v>7798</v>
      </c>
      <c r="E1372" s="531" t="s">
        <v>5727</v>
      </c>
      <c r="F1372" s="538" t="s">
        <v>2750</v>
      </c>
      <c r="G1372" s="539">
        <v>2.0</v>
      </c>
      <c r="H1372" s="538" t="s">
        <v>5728</v>
      </c>
      <c r="I1372" s="538" t="s">
        <v>2707</v>
      </c>
      <c r="J1372" s="540">
        <v>43788.0</v>
      </c>
      <c r="K1372" s="538" t="s">
        <v>5750</v>
      </c>
      <c r="L1372" s="539">
        <v>11.0</v>
      </c>
      <c r="M1372" s="538" t="s">
        <v>7802</v>
      </c>
      <c r="N1372" s="538" t="s">
        <v>7803</v>
      </c>
      <c r="O1372" s="539">
        <v>433.0</v>
      </c>
      <c r="P1372" s="541" t="s">
        <v>7804</v>
      </c>
      <c r="Q1372" s="542"/>
      <c r="R1372" s="500"/>
      <c r="S1372" s="500"/>
      <c r="T1372" s="500"/>
      <c r="U1372" s="500"/>
      <c r="V1372" s="500"/>
      <c r="W1372" s="500"/>
      <c r="X1372" s="500"/>
      <c r="Y1372" s="500"/>
      <c r="Z1372" s="500"/>
      <c r="AA1372" s="500"/>
      <c r="AB1372" s="500"/>
      <c r="AC1372" s="500"/>
      <c r="AD1372" s="500"/>
      <c r="AE1372" s="497"/>
    </row>
    <row r="1373">
      <c r="A1373" s="531" t="s">
        <v>2752</v>
      </c>
      <c r="B1373" s="531" t="s">
        <v>2704</v>
      </c>
      <c r="C1373" s="531" t="s">
        <v>5657</v>
      </c>
      <c r="D1373" s="531" t="s">
        <v>7552</v>
      </c>
      <c r="E1373" s="531" t="s">
        <v>5727</v>
      </c>
      <c r="F1373" s="228" t="s">
        <v>5700</v>
      </c>
    </row>
    <row r="1374">
      <c r="A1374" s="531" t="s">
        <v>2753</v>
      </c>
      <c r="B1374" s="531" t="s">
        <v>6482</v>
      </c>
      <c r="C1374" s="531" t="s">
        <v>6489</v>
      </c>
      <c r="D1374" s="531" t="s">
        <v>7552</v>
      </c>
      <c r="E1374" s="531" t="s">
        <v>5727</v>
      </c>
      <c r="F1374" s="228" t="s">
        <v>5700</v>
      </c>
    </row>
    <row r="1375">
      <c r="A1375" s="531" t="s">
        <v>2754</v>
      </c>
      <c r="B1375" s="531" t="s">
        <v>6109</v>
      </c>
      <c r="C1375" s="531" t="s">
        <v>5671</v>
      </c>
      <c r="D1375" s="531" t="s">
        <v>7552</v>
      </c>
      <c r="E1375" s="531" t="s">
        <v>5727</v>
      </c>
      <c r="F1375" s="228" t="s">
        <v>5700</v>
      </c>
    </row>
    <row r="1376">
      <c r="A1376" s="531" t="s">
        <v>2755</v>
      </c>
      <c r="B1376" s="531" t="s">
        <v>2698</v>
      </c>
      <c r="C1376" s="531" t="s">
        <v>5671</v>
      </c>
      <c r="D1376" s="531" t="s">
        <v>7552</v>
      </c>
      <c r="E1376" s="531" t="s">
        <v>5727</v>
      </c>
      <c r="F1376" s="228" t="s">
        <v>5700</v>
      </c>
    </row>
    <row r="1377">
      <c r="A1377" s="531" t="s">
        <v>2756</v>
      </c>
      <c r="B1377" s="531" t="s">
        <v>2704</v>
      </c>
      <c r="C1377" s="531" t="s">
        <v>6794</v>
      </c>
      <c r="D1377" s="531" t="s">
        <v>7552</v>
      </c>
      <c r="E1377" s="531" t="s">
        <v>5727</v>
      </c>
      <c r="F1377" s="228" t="s">
        <v>5700</v>
      </c>
    </row>
    <row r="1378">
      <c r="A1378" s="531" t="s">
        <v>2763</v>
      </c>
      <c r="B1378" s="531" t="s">
        <v>2698</v>
      </c>
      <c r="C1378" s="531" t="s">
        <v>7032</v>
      </c>
      <c r="D1378" s="531" t="s">
        <v>7552</v>
      </c>
      <c r="E1378" s="531" t="s">
        <v>5727</v>
      </c>
      <c r="F1378" s="228" t="s">
        <v>5700</v>
      </c>
    </row>
    <row r="1379">
      <c r="A1379" s="531" t="s">
        <v>2764</v>
      </c>
      <c r="B1379" s="531" t="s">
        <v>6109</v>
      </c>
      <c r="C1379" s="531" t="s">
        <v>5657</v>
      </c>
      <c r="D1379" s="531" t="s">
        <v>7552</v>
      </c>
      <c r="E1379" s="531" t="s">
        <v>5727</v>
      </c>
      <c r="F1379" s="228" t="s">
        <v>5700</v>
      </c>
    </row>
    <row r="1380">
      <c r="A1380" s="531" t="s">
        <v>7805</v>
      </c>
      <c r="B1380" s="534" t="s">
        <v>5699</v>
      </c>
      <c r="C1380" s="531" t="s">
        <v>6489</v>
      </c>
      <c r="D1380" s="531" t="s">
        <v>7552</v>
      </c>
      <c r="E1380" s="531" t="s">
        <v>5727</v>
      </c>
      <c r="F1380" s="538" t="s">
        <v>2765</v>
      </c>
      <c r="G1380" s="539">
        <v>2.0</v>
      </c>
      <c r="H1380" s="538" t="s">
        <v>5728</v>
      </c>
      <c r="I1380" s="538" t="s">
        <v>2702</v>
      </c>
      <c r="J1380" s="540">
        <v>43818.0</v>
      </c>
      <c r="K1380" s="538" t="s">
        <v>5754</v>
      </c>
      <c r="L1380" s="539">
        <v>12.0</v>
      </c>
      <c r="M1380" s="538" t="s">
        <v>7531</v>
      </c>
      <c r="N1380" s="538" t="s">
        <v>7806</v>
      </c>
      <c r="O1380" s="539">
        <v>266.0</v>
      </c>
      <c r="P1380" s="541" t="s">
        <v>7807</v>
      </c>
      <c r="Q1380" s="542"/>
      <c r="R1380" s="500"/>
      <c r="S1380" s="500"/>
      <c r="T1380" s="500"/>
      <c r="U1380" s="500"/>
      <c r="V1380" s="500"/>
      <c r="W1380" s="500"/>
      <c r="X1380" s="500"/>
      <c r="Y1380" s="500"/>
      <c r="Z1380" s="500"/>
      <c r="AA1380" s="500"/>
      <c r="AB1380" s="500"/>
      <c r="AC1380" s="500"/>
      <c r="AD1380" s="500"/>
      <c r="AE1380" s="497"/>
    </row>
    <row r="1381">
      <c r="A1381" s="531" t="s">
        <v>2768</v>
      </c>
      <c r="B1381" s="531" t="s">
        <v>2704</v>
      </c>
      <c r="C1381" s="531" t="s">
        <v>6489</v>
      </c>
      <c r="D1381" s="531" t="s">
        <v>7552</v>
      </c>
      <c r="E1381" s="531" t="s">
        <v>5727</v>
      </c>
      <c r="F1381" s="228" t="s">
        <v>5700</v>
      </c>
    </row>
    <row r="1382">
      <c r="A1382" s="531" t="s">
        <v>2771</v>
      </c>
      <c r="B1382" s="531" t="s">
        <v>6116</v>
      </c>
      <c r="C1382" s="531" t="s">
        <v>5681</v>
      </c>
      <c r="D1382" s="531" t="s">
        <v>7552</v>
      </c>
      <c r="E1382" s="531" t="s">
        <v>5727</v>
      </c>
      <c r="F1382" s="228" t="s">
        <v>5700</v>
      </c>
    </row>
    <row r="1383">
      <c r="A1383" s="531" t="s">
        <v>2772</v>
      </c>
      <c r="B1383" s="531" t="s">
        <v>2709</v>
      </c>
      <c r="C1383" s="531" t="s">
        <v>5681</v>
      </c>
      <c r="D1383" s="531" t="s">
        <v>7552</v>
      </c>
      <c r="E1383" s="531" t="s">
        <v>5727</v>
      </c>
      <c r="F1383" s="228" t="s">
        <v>5700</v>
      </c>
    </row>
    <row r="1384">
      <c r="A1384" s="531" t="s">
        <v>7808</v>
      </c>
      <c r="B1384" s="531" t="s">
        <v>6109</v>
      </c>
      <c r="C1384" s="531" t="s">
        <v>6489</v>
      </c>
      <c r="D1384" s="531" t="s">
        <v>7730</v>
      </c>
      <c r="E1384" s="531" t="s">
        <v>6241</v>
      </c>
      <c r="F1384" s="538" t="s">
        <v>2773</v>
      </c>
      <c r="G1384" s="539">
        <v>2.0</v>
      </c>
      <c r="H1384" s="538" t="s">
        <v>6243</v>
      </c>
      <c r="I1384" s="538" t="s">
        <v>2695</v>
      </c>
      <c r="J1384" s="540">
        <v>43790.0</v>
      </c>
      <c r="K1384" s="538" t="s">
        <v>5754</v>
      </c>
      <c r="L1384" s="539">
        <v>11.0</v>
      </c>
      <c r="M1384" s="538" t="s">
        <v>5722</v>
      </c>
      <c r="N1384" s="538" t="s">
        <v>7809</v>
      </c>
      <c r="O1384" s="539">
        <v>514.0</v>
      </c>
      <c r="P1384" s="541" t="s">
        <v>7810</v>
      </c>
      <c r="Q1384" s="545"/>
      <c r="R1384" s="500"/>
      <c r="S1384" s="500"/>
      <c r="T1384" s="500"/>
      <c r="U1384" s="500"/>
      <c r="V1384" s="500"/>
      <c r="W1384" s="500"/>
      <c r="X1384" s="500"/>
      <c r="Y1384" s="500"/>
      <c r="Z1384" s="500"/>
      <c r="AA1384" s="500"/>
      <c r="AB1384" s="500"/>
      <c r="AC1384" s="500"/>
      <c r="AD1384" s="500"/>
      <c r="AE1384" s="497"/>
    </row>
    <row r="1385">
      <c r="A1385" s="531" t="s">
        <v>2777</v>
      </c>
      <c r="B1385" s="531" t="s">
        <v>2698</v>
      </c>
      <c r="C1385" s="531" t="s">
        <v>6794</v>
      </c>
      <c r="D1385" s="531" t="s">
        <v>7730</v>
      </c>
      <c r="E1385" s="531" t="s">
        <v>6241</v>
      </c>
      <c r="F1385" s="228" t="s">
        <v>5951</v>
      </c>
    </row>
    <row r="1386">
      <c r="A1386" s="531" t="s">
        <v>2776</v>
      </c>
      <c r="B1386" s="531" t="s">
        <v>6109</v>
      </c>
      <c r="C1386" s="531" t="s">
        <v>5671</v>
      </c>
      <c r="D1386" s="531" t="s">
        <v>7730</v>
      </c>
      <c r="E1386" s="531" t="s">
        <v>6241</v>
      </c>
      <c r="F1386" s="228" t="s">
        <v>5951</v>
      </c>
    </row>
    <row r="1387">
      <c r="A1387" s="531" t="s">
        <v>2778</v>
      </c>
      <c r="B1387" s="531" t="s">
        <v>6116</v>
      </c>
      <c r="C1387" s="531" t="s">
        <v>7133</v>
      </c>
      <c r="D1387" s="531" t="s">
        <v>7514</v>
      </c>
      <c r="E1387" s="531" t="s">
        <v>6241</v>
      </c>
      <c r="F1387" s="228" t="s">
        <v>5951</v>
      </c>
    </row>
    <row r="1388">
      <c r="A1388" s="531" t="s">
        <v>7811</v>
      </c>
      <c r="B1388" s="531" t="s">
        <v>6561</v>
      </c>
      <c r="C1388" s="531" t="s">
        <v>5681</v>
      </c>
      <c r="D1388" s="531" t="s">
        <v>7798</v>
      </c>
      <c r="E1388" s="531" t="s">
        <v>6241</v>
      </c>
      <c r="F1388" s="538" t="s">
        <v>2779</v>
      </c>
      <c r="G1388" s="539">
        <v>2.0</v>
      </c>
      <c r="H1388" s="538" t="s">
        <v>6243</v>
      </c>
      <c r="I1388" s="538" t="s">
        <v>2724</v>
      </c>
      <c r="J1388" s="540">
        <v>43788.0</v>
      </c>
      <c r="K1388" s="538" t="s">
        <v>5750</v>
      </c>
      <c r="L1388" s="539">
        <v>11.0</v>
      </c>
      <c r="M1388" s="538" t="s">
        <v>5879</v>
      </c>
      <c r="N1388" s="538" t="s">
        <v>7812</v>
      </c>
      <c r="O1388" s="539">
        <v>240.0</v>
      </c>
      <c r="P1388" s="541" t="s">
        <v>7813</v>
      </c>
      <c r="Q1388" s="542"/>
      <c r="R1388" s="500"/>
      <c r="S1388" s="500"/>
      <c r="T1388" s="500"/>
      <c r="U1388" s="500"/>
      <c r="V1388" s="500"/>
      <c r="W1388" s="500"/>
      <c r="X1388" s="500"/>
      <c r="Y1388" s="500"/>
      <c r="Z1388" s="500"/>
      <c r="AA1388" s="500"/>
      <c r="AB1388" s="500"/>
      <c r="AC1388" s="500"/>
      <c r="AD1388" s="500"/>
      <c r="AE1388" s="497"/>
    </row>
    <row r="1389">
      <c r="A1389" s="531" t="s">
        <v>2781</v>
      </c>
      <c r="B1389" s="531" t="s">
        <v>6109</v>
      </c>
      <c r="C1389" s="531" t="s">
        <v>7133</v>
      </c>
      <c r="D1389" s="531" t="s">
        <v>7798</v>
      </c>
      <c r="E1389" s="531" t="s">
        <v>6241</v>
      </c>
      <c r="F1389" s="228" t="s">
        <v>5951</v>
      </c>
    </row>
    <row r="1390">
      <c r="A1390" s="531" t="s">
        <v>7814</v>
      </c>
      <c r="B1390" s="531" t="s">
        <v>6482</v>
      </c>
      <c r="C1390" s="531" t="s">
        <v>6489</v>
      </c>
      <c r="D1390" s="531" t="s">
        <v>7798</v>
      </c>
      <c r="E1390" s="531" t="s">
        <v>6241</v>
      </c>
      <c r="F1390" s="538" t="s">
        <v>2784</v>
      </c>
      <c r="G1390" s="539">
        <v>2.0</v>
      </c>
      <c r="H1390" s="538" t="s">
        <v>6243</v>
      </c>
      <c r="I1390" s="538" t="s">
        <v>2715</v>
      </c>
      <c r="J1390" s="540">
        <v>43790.0</v>
      </c>
      <c r="K1390" s="538" t="s">
        <v>5754</v>
      </c>
      <c r="L1390" s="539">
        <v>11.0</v>
      </c>
      <c r="M1390" s="538" t="s">
        <v>5773</v>
      </c>
      <c r="N1390" s="538" t="s">
        <v>7815</v>
      </c>
      <c r="O1390" s="539">
        <v>324.0</v>
      </c>
      <c r="P1390" s="541" t="s">
        <v>7816</v>
      </c>
      <c r="Q1390" s="542"/>
      <c r="R1390" s="500"/>
      <c r="S1390" s="500"/>
      <c r="T1390" s="500"/>
      <c r="U1390" s="500"/>
      <c r="V1390" s="500"/>
      <c r="W1390" s="500"/>
      <c r="X1390" s="500"/>
      <c r="Y1390" s="500"/>
      <c r="Z1390" s="500"/>
      <c r="AA1390" s="500"/>
      <c r="AB1390" s="500"/>
      <c r="AC1390" s="500"/>
      <c r="AD1390" s="500"/>
      <c r="AE1390" s="497"/>
    </row>
    <row r="1391">
      <c r="A1391" s="531" t="s">
        <v>2793</v>
      </c>
      <c r="B1391" s="531" t="s">
        <v>6561</v>
      </c>
      <c r="C1391" s="531" t="s">
        <v>5671</v>
      </c>
      <c r="D1391" s="531" t="s">
        <v>7798</v>
      </c>
      <c r="E1391" s="531" t="s">
        <v>6241</v>
      </c>
      <c r="F1391" s="228" t="s">
        <v>5951</v>
      </c>
    </row>
    <row r="1392">
      <c r="A1392" s="531" t="s">
        <v>3948</v>
      </c>
      <c r="B1392" s="531" t="s">
        <v>2698</v>
      </c>
      <c r="C1392" s="531" t="s">
        <v>5671</v>
      </c>
      <c r="D1392" s="531" t="s">
        <v>7798</v>
      </c>
      <c r="E1392" s="531" t="s">
        <v>6241</v>
      </c>
      <c r="F1392" s="538" t="s">
        <v>2794</v>
      </c>
      <c r="G1392" s="539">
        <v>2.0</v>
      </c>
      <c r="H1392" s="538" t="s">
        <v>6243</v>
      </c>
      <c r="I1392" s="538" t="s">
        <v>2698</v>
      </c>
      <c r="J1392" s="540">
        <v>43786.0</v>
      </c>
      <c r="K1392" s="538" t="s">
        <v>5729</v>
      </c>
      <c r="L1392" s="539">
        <v>11.0</v>
      </c>
      <c r="M1392" s="538" t="s">
        <v>5824</v>
      </c>
      <c r="N1392" s="538" t="s">
        <v>7817</v>
      </c>
      <c r="O1392" s="539">
        <v>309.0</v>
      </c>
      <c r="P1392" s="541" t="s">
        <v>7818</v>
      </c>
      <c r="Q1392" s="542"/>
      <c r="R1392" s="500"/>
      <c r="S1392" s="500"/>
      <c r="T1392" s="500"/>
      <c r="U1392" s="500"/>
      <c r="V1392" s="500"/>
      <c r="W1392" s="500"/>
      <c r="X1392" s="500"/>
      <c r="Y1392" s="500"/>
      <c r="Z1392" s="500"/>
      <c r="AA1392" s="500"/>
      <c r="AB1392" s="500"/>
      <c r="AC1392" s="500"/>
      <c r="AD1392" s="500"/>
      <c r="AE1392" s="497"/>
    </row>
    <row r="1393">
      <c r="A1393" s="531" t="s">
        <v>7819</v>
      </c>
      <c r="B1393" s="531" t="s">
        <v>6101</v>
      </c>
      <c r="C1393" s="531" t="s">
        <v>6794</v>
      </c>
      <c r="D1393" s="531" t="s">
        <v>7798</v>
      </c>
      <c r="E1393" s="531" t="s">
        <v>6241</v>
      </c>
      <c r="F1393" s="538" t="s">
        <v>2797</v>
      </c>
      <c r="G1393" s="539">
        <v>2.0</v>
      </c>
      <c r="H1393" s="538" t="s">
        <v>6243</v>
      </c>
      <c r="I1393" s="538" t="s">
        <v>2715</v>
      </c>
      <c r="J1393" s="540">
        <v>43794.0</v>
      </c>
      <c r="K1393" s="538" t="s">
        <v>5721</v>
      </c>
      <c r="L1393" s="539">
        <v>11.0</v>
      </c>
      <c r="M1393" s="538" t="s">
        <v>5993</v>
      </c>
      <c r="N1393" s="538" t="s">
        <v>7820</v>
      </c>
      <c r="O1393" s="539">
        <v>276.0</v>
      </c>
      <c r="P1393" s="541" t="s">
        <v>7821</v>
      </c>
      <c r="Q1393" s="542"/>
      <c r="R1393" s="500"/>
      <c r="S1393" s="500"/>
      <c r="T1393" s="500"/>
      <c r="U1393" s="500"/>
      <c r="V1393" s="500"/>
      <c r="W1393" s="500"/>
      <c r="X1393" s="500"/>
      <c r="Y1393" s="500"/>
      <c r="Z1393" s="500"/>
      <c r="AA1393" s="500"/>
      <c r="AB1393" s="500"/>
      <c r="AC1393" s="500"/>
      <c r="AD1393" s="500"/>
      <c r="AE1393" s="497"/>
    </row>
    <row r="1394">
      <c r="A1394" s="531" t="s">
        <v>2804</v>
      </c>
      <c r="B1394" s="531" t="s">
        <v>2698</v>
      </c>
      <c r="C1394" s="531" t="s">
        <v>6489</v>
      </c>
      <c r="D1394" s="531" t="s">
        <v>7552</v>
      </c>
      <c r="E1394" s="531" t="s">
        <v>6241</v>
      </c>
      <c r="F1394" s="228" t="s">
        <v>5951</v>
      </c>
    </row>
    <row r="1395">
      <c r="A1395" s="531" t="s">
        <v>2807</v>
      </c>
      <c r="B1395" s="531" t="s">
        <v>2698</v>
      </c>
      <c r="C1395" s="531" t="s">
        <v>7032</v>
      </c>
      <c r="D1395" s="531" t="s">
        <v>7552</v>
      </c>
      <c r="E1395" s="531" t="s">
        <v>6241</v>
      </c>
      <c r="F1395" s="228" t="s">
        <v>5951</v>
      </c>
    </row>
    <row r="1396">
      <c r="A1396" s="531" t="s">
        <v>3968</v>
      </c>
      <c r="B1396" s="531" t="s">
        <v>2698</v>
      </c>
      <c r="C1396" s="531" t="s">
        <v>6794</v>
      </c>
      <c r="D1396" s="531" t="s">
        <v>7552</v>
      </c>
      <c r="E1396" s="531" t="s">
        <v>6241</v>
      </c>
      <c r="F1396" s="538" t="s">
        <v>2809</v>
      </c>
      <c r="G1396" s="539">
        <v>2.0</v>
      </c>
      <c r="H1396" s="538" t="s">
        <v>6243</v>
      </c>
      <c r="I1396" s="538" t="s">
        <v>2698</v>
      </c>
      <c r="J1396" s="540">
        <v>43815.0</v>
      </c>
      <c r="K1396" s="538" t="s">
        <v>5721</v>
      </c>
      <c r="L1396" s="539">
        <v>12.0</v>
      </c>
      <c r="M1396" s="538" t="s">
        <v>6377</v>
      </c>
      <c r="N1396" s="538" t="s">
        <v>7822</v>
      </c>
      <c r="O1396" s="539">
        <v>209.0</v>
      </c>
      <c r="P1396" s="541" t="s">
        <v>7823</v>
      </c>
      <c r="Q1396" s="542"/>
      <c r="R1396" s="500"/>
      <c r="S1396" s="500"/>
      <c r="T1396" s="500"/>
      <c r="U1396" s="500"/>
      <c r="V1396" s="500"/>
      <c r="W1396" s="500"/>
      <c r="X1396" s="500"/>
      <c r="Y1396" s="500"/>
      <c r="Z1396" s="500"/>
      <c r="AA1396" s="500"/>
      <c r="AB1396" s="500"/>
      <c r="AC1396" s="500"/>
      <c r="AD1396" s="500"/>
      <c r="AE1396" s="497"/>
    </row>
    <row r="1397">
      <c r="A1397" s="531" t="s">
        <v>7824</v>
      </c>
      <c r="B1397" s="531" t="s">
        <v>2698</v>
      </c>
      <c r="C1397" s="531" t="s">
        <v>5667</v>
      </c>
      <c r="D1397" s="531" t="s">
        <v>7514</v>
      </c>
      <c r="E1397" s="531" t="s">
        <v>6795</v>
      </c>
      <c r="F1397" s="538" t="s">
        <v>2811</v>
      </c>
      <c r="G1397" s="539">
        <v>2.0</v>
      </c>
      <c r="H1397" s="538" t="s">
        <v>6647</v>
      </c>
      <c r="I1397" s="538" t="s">
        <v>2698</v>
      </c>
      <c r="J1397" s="540">
        <v>43742.0</v>
      </c>
      <c r="K1397" s="538" t="s">
        <v>5734</v>
      </c>
      <c r="L1397" s="539">
        <v>10.0</v>
      </c>
      <c r="M1397" s="538" t="s">
        <v>5824</v>
      </c>
      <c r="N1397" s="538" t="s">
        <v>7825</v>
      </c>
      <c r="O1397" s="539">
        <v>244.0</v>
      </c>
      <c r="P1397" s="541" t="s">
        <v>7826</v>
      </c>
      <c r="Q1397" s="542"/>
      <c r="R1397" s="500"/>
      <c r="S1397" s="500"/>
      <c r="T1397" s="500"/>
      <c r="U1397" s="500"/>
      <c r="V1397" s="500"/>
      <c r="W1397" s="500"/>
      <c r="X1397" s="500"/>
      <c r="Y1397" s="500"/>
      <c r="Z1397" s="500"/>
      <c r="AA1397" s="500"/>
      <c r="AB1397" s="500"/>
      <c r="AC1397" s="500"/>
      <c r="AD1397" s="500"/>
      <c r="AE1397" s="497"/>
    </row>
    <row r="1398">
      <c r="A1398" s="531" t="s">
        <v>1030</v>
      </c>
      <c r="B1398" s="531" t="s">
        <v>6532</v>
      </c>
      <c r="C1398" s="531" t="s">
        <v>7032</v>
      </c>
      <c r="D1398" s="531" t="s">
        <v>7514</v>
      </c>
      <c r="E1398" s="531" t="s">
        <v>6795</v>
      </c>
      <c r="F1398" s="228" t="s">
        <v>5951</v>
      </c>
    </row>
    <row r="1399">
      <c r="A1399" s="531" t="s">
        <v>2812</v>
      </c>
      <c r="B1399" s="531" t="s">
        <v>2709</v>
      </c>
      <c r="C1399" s="531" t="s">
        <v>7032</v>
      </c>
      <c r="D1399" s="531" t="s">
        <v>7514</v>
      </c>
      <c r="E1399" s="531" t="s">
        <v>6795</v>
      </c>
      <c r="F1399" s="228" t="s">
        <v>5951</v>
      </c>
    </row>
    <row r="1400">
      <c r="A1400" s="531" t="s">
        <v>2813</v>
      </c>
      <c r="B1400" s="531" t="s">
        <v>2704</v>
      </c>
      <c r="C1400" s="531" t="s">
        <v>5671</v>
      </c>
      <c r="D1400" s="531" t="s">
        <v>7514</v>
      </c>
      <c r="E1400" s="531" t="s">
        <v>6795</v>
      </c>
      <c r="F1400" s="228" t="s">
        <v>5951</v>
      </c>
    </row>
    <row r="1401">
      <c r="A1401" s="531" t="s">
        <v>7827</v>
      </c>
      <c r="B1401" s="534" t="s">
        <v>5699</v>
      </c>
      <c r="C1401" s="531" t="s">
        <v>7007</v>
      </c>
      <c r="D1401" s="531" t="s">
        <v>7514</v>
      </c>
      <c r="E1401" s="531" t="s">
        <v>6795</v>
      </c>
      <c r="F1401" s="538" t="s">
        <v>2822</v>
      </c>
      <c r="G1401" s="539">
        <v>2.0</v>
      </c>
      <c r="H1401" s="538" t="s">
        <v>6647</v>
      </c>
      <c r="I1401" s="538" t="s">
        <v>2702</v>
      </c>
      <c r="J1401" s="540">
        <v>43746.0</v>
      </c>
      <c r="K1401" s="538" t="s">
        <v>5750</v>
      </c>
      <c r="L1401" s="539">
        <v>10.0</v>
      </c>
      <c r="M1401" s="538" t="s">
        <v>7531</v>
      </c>
      <c r="N1401" s="538" t="s">
        <v>7828</v>
      </c>
      <c r="O1401" s="539">
        <v>359.0</v>
      </c>
      <c r="P1401" s="541" t="s">
        <v>7829</v>
      </c>
      <c r="Q1401" s="542"/>
      <c r="R1401" s="500"/>
      <c r="S1401" s="500"/>
      <c r="T1401" s="500"/>
      <c r="U1401" s="500"/>
      <c r="V1401" s="500"/>
      <c r="W1401" s="500"/>
      <c r="X1401" s="500"/>
      <c r="Y1401" s="500"/>
      <c r="Z1401" s="500"/>
      <c r="AA1401" s="500"/>
      <c r="AB1401" s="500"/>
      <c r="AC1401" s="500"/>
      <c r="AD1401" s="500"/>
      <c r="AE1401" s="497"/>
    </row>
    <row r="1402">
      <c r="A1402" s="531" t="s">
        <v>2826</v>
      </c>
      <c r="B1402" s="531" t="s">
        <v>2698</v>
      </c>
      <c r="C1402" s="531" t="s">
        <v>7032</v>
      </c>
      <c r="D1402" s="531" t="s">
        <v>7798</v>
      </c>
      <c r="E1402" s="531" t="s">
        <v>6795</v>
      </c>
      <c r="F1402" s="228" t="s">
        <v>5951</v>
      </c>
    </row>
    <row r="1403">
      <c r="A1403" s="531" t="s">
        <v>7830</v>
      </c>
      <c r="B1403" s="531" t="s">
        <v>2724</v>
      </c>
      <c r="C1403" s="531" t="s">
        <v>6794</v>
      </c>
      <c r="D1403" s="531" t="s">
        <v>7798</v>
      </c>
      <c r="E1403" s="531" t="s">
        <v>6795</v>
      </c>
      <c r="F1403" s="538" t="s">
        <v>2827</v>
      </c>
      <c r="G1403" s="539">
        <v>2.0</v>
      </c>
      <c r="H1403" s="538" t="s">
        <v>6647</v>
      </c>
      <c r="I1403" s="538" t="s">
        <v>2724</v>
      </c>
      <c r="J1403" s="540">
        <v>43787.0</v>
      </c>
      <c r="K1403" s="538" t="s">
        <v>5721</v>
      </c>
      <c r="L1403" s="539">
        <v>11.0</v>
      </c>
      <c r="M1403" s="538" t="s">
        <v>5828</v>
      </c>
      <c r="N1403" s="538" t="s">
        <v>7831</v>
      </c>
      <c r="O1403" s="539">
        <v>272.0</v>
      </c>
      <c r="P1403" s="541" t="s">
        <v>7832</v>
      </c>
      <c r="Q1403" s="545"/>
      <c r="R1403" s="500"/>
      <c r="S1403" s="500"/>
      <c r="T1403" s="500"/>
      <c r="U1403" s="500"/>
      <c r="V1403" s="500"/>
      <c r="W1403" s="500"/>
      <c r="X1403" s="500"/>
      <c r="Y1403" s="500"/>
      <c r="Z1403" s="500"/>
      <c r="AA1403" s="500"/>
      <c r="AB1403" s="500"/>
      <c r="AC1403" s="500"/>
      <c r="AD1403" s="500"/>
      <c r="AE1403" s="497"/>
    </row>
    <row r="1404">
      <c r="A1404" s="531" t="s">
        <v>4000</v>
      </c>
      <c r="B1404" s="531" t="s">
        <v>2707</v>
      </c>
      <c r="C1404" s="531" t="s">
        <v>7007</v>
      </c>
      <c r="D1404" s="531" t="s">
        <v>7798</v>
      </c>
      <c r="E1404" s="531" t="s">
        <v>6795</v>
      </c>
      <c r="F1404" s="538" t="s">
        <v>2833</v>
      </c>
      <c r="G1404" s="539">
        <v>2.0</v>
      </c>
      <c r="H1404" s="538" t="s">
        <v>6647</v>
      </c>
      <c r="I1404" s="538" t="s">
        <v>2707</v>
      </c>
      <c r="J1404" s="540">
        <v>43788.0</v>
      </c>
      <c r="K1404" s="538" t="s">
        <v>5750</v>
      </c>
      <c r="L1404" s="539">
        <v>11.0</v>
      </c>
      <c r="M1404" s="538" t="s">
        <v>7833</v>
      </c>
      <c r="N1404" s="538" t="s">
        <v>7834</v>
      </c>
      <c r="O1404" s="539">
        <v>231.0</v>
      </c>
      <c r="P1404" s="541" t="s">
        <v>7835</v>
      </c>
      <c r="Q1404" s="542"/>
      <c r="R1404" s="500"/>
      <c r="S1404" s="500"/>
      <c r="T1404" s="500"/>
      <c r="U1404" s="500"/>
      <c r="V1404" s="500"/>
      <c r="W1404" s="500"/>
      <c r="X1404" s="500"/>
      <c r="Y1404" s="500"/>
      <c r="Z1404" s="500"/>
      <c r="AA1404" s="500"/>
      <c r="AB1404" s="500"/>
      <c r="AC1404" s="500"/>
      <c r="AD1404" s="500"/>
      <c r="AE1404" s="497"/>
    </row>
    <row r="1405">
      <c r="A1405" s="531" t="s">
        <v>7836</v>
      </c>
      <c r="B1405" s="531" t="s">
        <v>2724</v>
      </c>
      <c r="C1405" s="531" t="s">
        <v>6489</v>
      </c>
      <c r="D1405" s="531" t="s">
        <v>7798</v>
      </c>
      <c r="E1405" s="531" t="s">
        <v>6795</v>
      </c>
      <c r="F1405" s="538" t="s">
        <v>2835</v>
      </c>
      <c r="G1405" s="539">
        <v>2.0</v>
      </c>
      <c r="H1405" s="538" t="s">
        <v>6647</v>
      </c>
      <c r="I1405" s="538" t="s">
        <v>2724</v>
      </c>
      <c r="J1405" s="540">
        <v>43790.0</v>
      </c>
      <c r="K1405" s="538" t="s">
        <v>5754</v>
      </c>
      <c r="L1405" s="539">
        <v>11.0</v>
      </c>
      <c r="M1405" s="538" t="s">
        <v>5828</v>
      </c>
      <c r="N1405" s="538" t="s">
        <v>7837</v>
      </c>
      <c r="O1405" s="539">
        <v>245.0</v>
      </c>
      <c r="P1405" s="541" t="s">
        <v>7838</v>
      </c>
      <c r="Q1405" s="542"/>
      <c r="R1405" s="500"/>
      <c r="S1405" s="500"/>
      <c r="T1405" s="500"/>
      <c r="U1405" s="500"/>
      <c r="V1405" s="500"/>
      <c r="W1405" s="500"/>
      <c r="X1405" s="500"/>
      <c r="Y1405" s="500"/>
      <c r="Z1405" s="500"/>
      <c r="AA1405" s="500"/>
      <c r="AB1405" s="500"/>
      <c r="AC1405" s="500"/>
      <c r="AD1405" s="500"/>
      <c r="AE1405" s="497"/>
    </row>
    <row r="1406">
      <c r="A1406" s="531" t="s">
        <v>2840</v>
      </c>
      <c r="B1406" s="531" t="s">
        <v>2707</v>
      </c>
      <c r="C1406" s="531" t="s">
        <v>6489</v>
      </c>
      <c r="D1406" s="531" t="s">
        <v>7798</v>
      </c>
      <c r="E1406" s="531" t="s">
        <v>6795</v>
      </c>
      <c r="F1406" s="228" t="s">
        <v>5951</v>
      </c>
    </row>
    <row r="1407">
      <c r="A1407" s="531" t="s">
        <v>7839</v>
      </c>
      <c r="B1407" s="531" t="s">
        <v>2709</v>
      </c>
      <c r="C1407" s="531" t="s">
        <v>7032</v>
      </c>
      <c r="D1407" s="531" t="s">
        <v>7798</v>
      </c>
      <c r="E1407" s="531" t="s">
        <v>6795</v>
      </c>
      <c r="F1407" s="538" t="s">
        <v>2843</v>
      </c>
      <c r="G1407" s="539">
        <v>2.0</v>
      </c>
      <c r="H1407" s="538" t="s">
        <v>6647</v>
      </c>
      <c r="I1407" s="538" t="s">
        <v>2709</v>
      </c>
      <c r="J1407" s="540">
        <v>43792.0</v>
      </c>
      <c r="K1407" s="538" t="s">
        <v>5786</v>
      </c>
      <c r="L1407" s="539">
        <v>11.0</v>
      </c>
      <c r="M1407" s="538" t="s">
        <v>5987</v>
      </c>
      <c r="N1407" s="538" t="s">
        <v>7840</v>
      </c>
      <c r="O1407" s="539">
        <v>592.0</v>
      </c>
      <c r="P1407" s="541" t="s">
        <v>7841</v>
      </c>
      <c r="Q1407" s="542"/>
      <c r="R1407" s="500"/>
      <c r="S1407" s="500"/>
      <c r="T1407" s="500"/>
      <c r="U1407" s="500"/>
      <c r="V1407" s="500"/>
      <c r="W1407" s="500"/>
      <c r="X1407" s="500"/>
      <c r="Y1407" s="500"/>
      <c r="Z1407" s="500"/>
      <c r="AA1407" s="500"/>
      <c r="AB1407" s="500"/>
      <c r="AC1407" s="500"/>
      <c r="AD1407" s="500"/>
      <c r="AE1407" s="497"/>
    </row>
    <row r="1408">
      <c r="A1408" s="531" t="s">
        <v>2845</v>
      </c>
      <c r="B1408" s="534" t="s">
        <v>5699</v>
      </c>
      <c r="C1408" s="531" t="s">
        <v>7842</v>
      </c>
      <c r="D1408" s="531" t="s">
        <v>7798</v>
      </c>
      <c r="E1408" s="531" t="s">
        <v>6795</v>
      </c>
      <c r="F1408" s="228" t="s">
        <v>5951</v>
      </c>
    </row>
    <row r="1409">
      <c r="A1409" s="531" t="s">
        <v>7843</v>
      </c>
      <c r="B1409" s="531" t="s">
        <v>6116</v>
      </c>
      <c r="C1409" s="531" t="s">
        <v>6794</v>
      </c>
      <c r="D1409" s="531" t="s">
        <v>7552</v>
      </c>
      <c r="E1409" s="531" t="s">
        <v>6795</v>
      </c>
      <c r="F1409" s="538" t="s">
        <v>2853</v>
      </c>
      <c r="G1409" s="539">
        <v>2.0</v>
      </c>
      <c r="H1409" s="538" t="s">
        <v>6647</v>
      </c>
      <c r="I1409" s="538" t="s">
        <v>2692</v>
      </c>
      <c r="J1409" s="540">
        <v>43822.0</v>
      </c>
      <c r="K1409" s="538" t="s">
        <v>5721</v>
      </c>
      <c r="L1409" s="539">
        <v>12.0</v>
      </c>
      <c r="M1409" s="538" t="s">
        <v>6023</v>
      </c>
      <c r="N1409" s="538" t="s">
        <v>7844</v>
      </c>
      <c r="O1409" s="539">
        <v>541.0</v>
      </c>
      <c r="P1409" s="541" t="s">
        <v>7845</v>
      </c>
      <c r="Q1409" s="542"/>
      <c r="R1409" s="500"/>
      <c r="S1409" s="500"/>
      <c r="T1409" s="500"/>
      <c r="U1409" s="500"/>
      <c r="V1409" s="500"/>
      <c r="W1409" s="500"/>
      <c r="X1409" s="500"/>
      <c r="Y1409" s="500"/>
      <c r="Z1409" s="500"/>
      <c r="AA1409" s="500"/>
      <c r="AB1409" s="500"/>
      <c r="AC1409" s="500"/>
      <c r="AD1409" s="500"/>
      <c r="AE1409" s="497"/>
    </row>
    <row r="1410">
      <c r="A1410" s="531" t="s">
        <v>2857</v>
      </c>
      <c r="B1410" s="531" t="s">
        <v>2709</v>
      </c>
      <c r="C1410" s="531" t="s">
        <v>7007</v>
      </c>
      <c r="D1410" s="531" t="s">
        <v>7552</v>
      </c>
      <c r="E1410" s="531" t="s">
        <v>6795</v>
      </c>
      <c r="F1410" s="228" t="s">
        <v>5951</v>
      </c>
    </row>
    <row r="1411">
      <c r="A1411" s="531" t="s">
        <v>2858</v>
      </c>
      <c r="B1411" s="531" t="s">
        <v>6105</v>
      </c>
      <c r="C1411" s="531" t="s">
        <v>6489</v>
      </c>
      <c r="D1411" s="531" t="s">
        <v>7552</v>
      </c>
      <c r="E1411" s="531" t="s">
        <v>6795</v>
      </c>
      <c r="F1411" s="228" t="s">
        <v>5951</v>
      </c>
    </row>
    <row r="1412">
      <c r="A1412" s="531" t="s">
        <v>7846</v>
      </c>
      <c r="B1412" s="531" t="s">
        <v>2724</v>
      </c>
      <c r="C1412" s="531" t="s">
        <v>5667</v>
      </c>
      <c r="D1412" s="531" t="s">
        <v>7552</v>
      </c>
      <c r="E1412" s="531" t="s">
        <v>6795</v>
      </c>
      <c r="F1412" s="538" t="s">
        <v>2859</v>
      </c>
      <c r="G1412" s="539">
        <v>2.0</v>
      </c>
      <c r="H1412" s="538" t="s">
        <v>6647</v>
      </c>
      <c r="I1412" s="538" t="s">
        <v>2724</v>
      </c>
      <c r="J1412" s="540">
        <v>43819.0</v>
      </c>
      <c r="K1412" s="538" t="s">
        <v>5734</v>
      </c>
      <c r="L1412" s="539">
        <v>12.0</v>
      </c>
      <c r="M1412" s="538" t="s">
        <v>5893</v>
      </c>
      <c r="N1412" s="538" t="s">
        <v>7847</v>
      </c>
      <c r="O1412" s="539">
        <v>260.0</v>
      </c>
      <c r="P1412" s="541" t="s">
        <v>7848</v>
      </c>
      <c r="Q1412" s="545"/>
      <c r="R1412" s="500"/>
      <c r="S1412" s="500"/>
      <c r="T1412" s="500"/>
      <c r="U1412" s="500"/>
      <c r="V1412" s="500"/>
      <c r="W1412" s="500"/>
      <c r="X1412" s="500"/>
      <c r="Y1412" s="500"/>
      <c r="Z1412" s="500"/>
      <c r="AA1412" s="500"/>
      <c r="AB1412" s="500"/>
      <c r="AC1412" s="500"/>
      <c r="AD1412" s="500"/>
      <c r="AE1412" s="497"/>
    </row>
    <row r="1413">
      <c r="A1413" s="531" t="s">
        <v>1976</v>
      </c>
      <c r="B1413" s="531" t="s">
        <v>2698</v>
      </c>
      <c r="C1413" s="531" t="s">
        <v>6794</v>
      </c>
      <c r="D1413" s="531" t="s">
        <v>7552</v>
      </c>
      <c r="E1413" s="531" t="s">
        <v>6795</v>
      </c>
      <c r="F1413" s="538" t="s">
        <v>2865</v>
      </c>
      <c r="G1413" s="539">
        <v>2.0</v>
      </c>
      <c r="H1413" s="538" t="s">
        <v>6647</v>
      </c>
      <c r="I1413" s="538" t="s">
        <v>2698</v>
      </c>
      <c r="J1413" s="540">
        <v>43829.0</v>
      </c>
      <c r="K1413" s="538" t="s">
        <v>5721</v>
      </c>
      <c r="L1413" s="539">
        <v>12.0</v>
      </c>
      <c r="M1413" s="538" t="s">
        <v>5854</v>
      </c>
      <c r="N1413" s="538" t="s">
        <v>7849</v>
      </c>
      <c r="O1413" s="539">
        <v>358.0</v>
      </c>
      <c r="P1413" s="541" t="s">
        <v>7850</v>
      </c>
      <c r="Q1413" s="545"/>
      <c r="R1413" s="500"/>
      <c r="S1413" s="500"/>
      <c r="T1413" s="500"/>
      <c r="U1413" s="500"/>
      <c r="V1413" s="500"/>
      <c r="W1413" s="500"/>
      <c r="X1413" s="500"/>
      <c r="Y1413" s="500"/>
      <c r="Z1413" s="500"/>
      <c r="AA1413" s="500"/>
      <c r="AB1413" s="500"/>
      <c r="AC1413" s="500"/>
      <c r="AD1413" s="500"/>
      <c r="AE1413" s="497"/>
    </row>
    <row r="1414">
      <c r="A1414" s="531" t="s">
        <v>7851</v>
      </c>
      <c r="B1414" s="534" t="s">
        <v>5699</v>
      </c>
      <c r="C1414" s="531" t="s">
        <v>6794</v>
      </c>
      <c r="D1414" s="531" t="s">
        <v>7552</v>
      </c>
      <c r="E1414" s="531" t="s">
        <v>6795</v>
      </c>
      <c r="F1414" s="538" t="s">
        <v>2855</v>
      </c>
      <c r="G1414" s="539">
        <v>2.0</v>
      </c>
      <c r="H1414" s="538" t="s">
        <v>6647</v>
      </c>
      <c r="I1414" s="538" t="s">
        <v>2702</v>
      </c>
      <c r="J1414" s="540">
        <v>43822.0</v>
      </c>
      <c r="K1414" s="538" t="s">
        <v>5721</v>
      </c>
      <c r="L1414" s="539">
        <v>12.0</v>
      </c>
      <c r="M1414" s="538" t="s">
        <v>7531</v>
      </c>
      <c r="N1414" s="538" t="s">
        <v>7852</v>
      </c>
      <c r="O1414" s="539">
        <v>242.0</v>
      </c>
      <c r="P1414" s="541" t="s">
        <v>7853</v>
      </c>
      <c r="Q1414" s="542"/>
      <c r="R1414" s="500"/>
      <c r="S1414" s="500"/>
      <c r="T1414" s="500"/>
      <c r="U1414" s="500"/>
      <c r="V1414" s="500"/>
      <c r="W1414" s="500"/>
      <c r="X1414" s="500"/>
      <c r="Y1414" s="500"/>
      <c r="Z1414" s="500"/>
      <c r="AA1414" s="500"/>
      <c r="AB1414" s="500"/>
      <c r="AC1414" s="500"/>
      <c r="AD1414" s="500"/>
      <c r="AE1414" s="497"/>
    </row>
    <row r="1415">
      <c r="A1415" s="531" t="s">
        <v>7854</v>
      </c>
      <c r="B1415" s="534" t="s">
        <v>5699</v>
      </c>
      <c r="C1415" s="531" t="s">
        <v>7007</v>
      </c>
      <c r="D1415" s="531" t="s">
        <v>7514</v>
      </c>
      <c r="E1415" s="531" t="s">
        <v>5727</v>
      </c>
      <c r="F1415" s="538" t="s">
        <v>2728</v>
      </c>
      <c r="G1415" s="539">
        <v>2.0</v>
      </c>
      <c r="H1415" s="538" t="s">
        <v>5728</v>
      </c>
      <c r="I1415" s="538" t="s">
        <v>2702</v>
      </c>
      <c r="J1415" s="540">
        <v>43746.0</v>
      </c>
      <c r="K1415" s="538" t="s">
        <v>5750</v>
      </c>
      <c r="L1415" s="539">
        <v>10.0</v>
      </c>
      <c r="M1415" s="538" t="s">
        <v>7531</v>
      </c>
      <c r="N1415" s="538" t="s">
        <v>7855</v>
      </c>
      <c r="O1415" s="539">
        <v>319.0</v>
      </c>
      <c r="P1415" s="541" t="s">
        <v>7856</v>
      </c>
      <c r="Q1415" s="542"/>
      <c r="R1415" s="500"/>
      <c r="S1415" s="500"/>
      <c r="T1415" s="500"/>
      <c r="U1415" s="500"/>
      <c r="V1415" s="500"/>
      <c r="W1415" s="500"/>
      <c r="X1415" s="500"/>
      <c r="Y1415" s="500"/>
      <c r="Z1415" s="500"/>
      <c r="AA1415" s="500"/>
      <c r="AB1415" s="500"/>
      <c r="AC1415" s="500"/>
      <c r="AD1415" s="500"/>
      <c r="AE1415" s="497"/>
    </row>
    <row r="1416">
      <c r="A1416" s="531" t="s">
        <v>7857</v>
      </c>
      <c r="B1416" s="531" t="s">
        <v>6101</v>
      </c>
      <c r="C1416" s="531" t="s">
        <v>7007</v>
      </c>
      <c r="D1416" s="531" t="s">
        <v>7798</v>
      </c>
      <c r="E1416" s="531" t="s">
        <v>5727</v>
      </c>
      <c r="F1416" s="538" t="s">
        <v>2734</v>
      </c>
      <c r="G1416" s="539">
        <v>2.0</v>
      </c>
      <c r="H1416" s="538" t="s">
        <v>5728</v>
      </c>
      <c r="I1416" s="538" t="s">
        <v>2715</v>
      </c>
      <c r="J1416" s="540">
        <v>43795.0</v>
      </c>
      <c r="K1416" s="538" t="s">
        <v>5750</v>
      </c>
      <c r="L1416" s="539">
        <v>11.0</v>
      </c>
      <c r="M1416" s="538" t="s">
        <v>5773</v>
      </c>
      <c r="N1416" s="538" t="s">
        <v>7858</v>
      </c>
      <c r="O1416" s="539">
        <v>207.0</v>
      </c>
      <c r="P1416" s="541" t="s">
        <v>7859</v>
      </c>
      <c r="Q1416" s="542"/>
      <c r="R1416" s="500"/>
      <c r="S1416" s="500"/>
      <c r="T1416" s="500"/>
      <c r="U1416" s="500"/>
      <c r="V1416" s="500"/>
      <c r="W1416" s="500"/>
      <c r="X1416" s="500"/>
      <c r="Y1416" s="500"/>
      <c r="Z1416" s="500"/>
      <c r="AA1416" s="500"/>
      <c r="AB1416" s="500"/>
      <c r="AC1416" s="500"/>
      <c r="AD1416" s="500"/>
      <c r="AE1416" s="497"/>
    </row>
    <row r="1417">
      <c r="A1417" s="531" t="s">
        <v>2735</v>
      </c>
      <c r="B1417" s="531" t="s">
        <v>2724</v>
      </c>
      <c r="C1417" s="531" t="s">
        <v>7133</v>
      </c>
      <c r="D1417" s="531" t="s">
        <v>7798</v>
      </c>
      <c r="E1417" s="531" t="s">
        <v>5727</v>
      </c>
      <c r="F1417" s="228" t="s">
        <v>5951</v>
      </c>
    </row>
    <row r="1418">
      <c r="A1418" s="531" t="s">
        <v>7860</v>
      </c>
      <c r="B1418" s="531" t="s">
        <v>6109</v>
      </c>
      <c r="C1418" s="531" t="s">
        <v>6489</v>
      </c>
      <c r="D1418" s="531" t="s">
        <v>7798</v>
      </c>
      <c r="E1418" s="531" t="s">
        <v>5727</v>
      </c>
      <c r="F1418" s="538" t="s">
        <v>2736</v>
      </c>
      <c r="G1418" s="539">
        <v>2.0</v>
      </c>
      <c r="H1418" s="538" t="s">
        <v>5728</v>
      </c>
      <c r="I1418" s="538" t="s">
        <v>2695</v>
      </c>
      <c r="J1418" s="540">
        <v>43790.0</v>
      </c>
      <c r="K1418" s="538" t="s">
        <v>5754</v>
      </c>
      <c r="L1418" s="539">
        <v>11.0</v>
      </c>
      <c r="M1418" s="538" t="s">
        <v>5722</v>
      </c>
      <c r="N1418" s="538" t="s">
        <v>7861</v>
      </c>
      <c r="O1418" s="539">
        <v>453.0</v>
      </c>
      <c r="P1418" s="541" t="s">
        <v>7862</v>
      </c>
      <c r="Q1418" s="545"/>
      <c r="R1418" s="500"/>
      <c r="S1418" s="500"/>
      <c r="T1418" s="500"/>
      <c r="U1418" s="500"/>
      <c r="V1418" s="500"/>
      <c r="W1418" s="500"/>
      <c r="X1418" s="500"/>
      <c r="Y1418" s="500"/>
      <c r="Z1418" s="500"/>
      <c r="AA1418" s="500"/>
      <c r="AB1418" s="500"/>
      <c r="AC1418" s="500"/>
      <c r="AD1418" s="500"/>
      <c r="AE1418" s="497"/>
    </row>
    <row r="1419">
      <c r="A1419" s="531" t="s">
        <v>7863</v>
      </c>
      <c r="B1419" s="534" t="s">
        <v>5699</v>
      </c>
      <c r="C1419" s="531" t="s">
        <v>7133</v>
      </c>
      <c r="D1419" s="531" t="s">
        <v>7552</v>
      </c>
      <c r="E1419" s="531" t="s">
        <v>5727</v>
      </c>
      <c r="F1419" s="538" t="s">
        <v>2757</v>
      </c>
      <c r="G1419" s="539">
        <v>2.0</v>
      </c>
      <c r="H1419" s="538" t="s">
        <v>5728</v>
      </c>
      <c r="I1419" s="538" t="s">
        <v>2702</v>
      </c>
      <c r="J1419" s="540">
        <v>43817.0</v>
      </c>
      <c r="K1419" s="538" t="s">
        <v>5711</v>
      </c>
      <c r="L1419" s="539">
        <v>12.0</v>
      </c>
      <c r="M1419" s="538" t="s">
        <v>7531</v>
      </c>
      <c r="N1419" s="538" t="s">
        <v>7864</v>
      </c>
      <c r="O1419" s="539">
        <v>324.0</v>
      </c>
      <c r="P1419" s="541" t="s">
        <v>7865</v>
      </c>
      <c r="Q1419" s="542"/>
      <c r="R1419" s="500"/>
      <c r="S1419" s="500"/>
      <c r="T1419" s="500"/>
      <c r="U1419" s="500"/>
      <c r="V1419" s="500"/>
      <c r="W1419" s="500"/>
      <c r="X1419" s="500"/>
      <c r="Y1419" s="500"/>
      <c r="Z1419" s="500"/>
      <c r="AA1419" s="500"/>
      <c r="AB1419" s="500"/>
      <c r="AC1419" s="500"/>
      <c r="AD1419" s="500"/>
      <c r="AE1419" s="497"/>
    </row>
    <row r="1420">
      <c r="A1420" s="531" t="s">
        <v>7866</v>
      </c>
      <c r="B1420" s="531" t="s">
        <v>6109</v>
      </c>
      <c r="C1420" s="531" t="s">
        <v>6794</v>
      </c>
      <c r="D1420" s="531" t="s">
        <v>7514</v>
      </c>
      <c r="E1420" s="531" t="s">
        <v>6795</v>
      </c>
      <c r="F1420" s="538" t="s">
        <v>2816</v>
      </c>
      <c r="G1420" s="539">
        <v>2.0</v>
      </c>
      <c r="H1420" s="538" t="s">
        <v>6647</v>
      </c>
      <c r="I1420" s="538" t="s">
        <v>2695</v>
      </c>
      <c r="J1420" s="540">
        <v>43745.0</v>
      </c>
      <c r="K1420" s="538" t="s">
        <v>5721</v>
      </c>
      <c r="L1420" s="539">
        <v>10.0</v>
      </c>
      <c r="M1420" s="538" t="s">
        <v>5879</v>
      </c>
      <c r="N1420" s="538" t="s">
        <v>7867</v>
      </c>
      <c r="O1420" s="539">
        <v>224.0</v>
      </c>
      <c r="P1420" s="541" t="s">
        <v>7868</v>
      </c>
      <c r="Q1420" s="545"/>
      <c r="R1420" s="500"/>
      <c r="S1420" s="500"/>
      <c r="T1420" s="500"/>
      <c r="U1420" s="500"/>
      <c r="V1420" s="500"/>
      <c r="W1420" s="500"/>
      <c r="X1420" s="500"/>
      <c r="Y1420" s="500"/>
      <c r="Z1420" s="500"/>
      <c r="AA1420" s="500"/>
      <c r="AB1420" s="500"/>
      <c r="AC1420" s="500"/>
      <c r="AD1420" s="500"/>
      <c r="AE1420" s="497"/>
    </row>
    <row r="1421">
      <c r="A1421" s="523" t="s">
        <v>3087</v>
      </c>
      <c r="B1421" s="531" t="s">
        <v>6101</v>
      </c>
      <c r="C1421" s="531" t="s">
        <v>6794</v>
      </c>
      <c r="D1421" s="531" t="s">
        <v>6687</v>
      </c>
      <c r="E1421" s="531" t="s">
        <v>5728</v>
      </c>
      <c r="F1421" s="228" t="s">
        <v>5700</v>
      </c>
    </row>
    <row r="1422">
      <c r="A1422" s="551">
        <v>2.0</v>
      </c>
      <c r="B1422" s="531" t="s">
        <v>6109</v>
      </c>
      <c r="C1422" s="531" t="s">
        <v>6489</v>
      </c>
      <c r="D1422" s="531" t="s">
        <v>7256</v>
      </c>
      <c r="E1422" s="531" t="s">
        <v>5728</v>
      </c>
      <c r="F1422" s="228" t="s">
        <v>5700</v>
      </c>
    </row>
    <row r="1423">
      <c r="A1423" s="555" t="s">
        <v>3900</v>
      </c>
      <c r="B1423" s="531" t="s">
        <v>6101</v>
      </c>
      <c r="C1423" s="531" t="s">
        <v>7842</v>
      </c>
      <c r="D1423" s="531" t="s">
        <v>7798</v>
      </c>
      <c r="E1423" s="531" t="s">
        <v>5728</v>
      </c>
      <c r="F1423" s="228" t="s">
        <v>5700</v>
      </c>
    </row>
    <row r="1424">
      <c r="A1424" s="495" t="s">
        <v>7869</v>
      </c>
      <c r="B1424" s="531" t="s">
        <v>2698</v>
      </c>
      <c r="C1424" s="531" t="s">
        <v>6794</v>
      </c>
      <c r="D1424" s="531" t="s">
        <v>7515</v>
      </c>
      <c r="E1424" s="531" t="s">
        <v>5727</v>
      </c>
      <c r="F1424" s="497" t="s">
        <v>1841</v>
      </c>
      <c r="G1424" s="498">
        <v>2.0</v>
      </c>
      <c r="H1424" s="497" t="s">
        <v>5728</v>
      </c>
      <c r="I1424" s="497" t="s">
        <v>2698</v>
      </c>
      <c r="J1424" s="497" t="s">
        <v>7870</v>
      </c>
      <c r="K1424" s="497" t="s">
        <v>5721</v>
      </c>
      <c r="L1424" s="498">
        <v>11.0</v>
      </c>
      <c r="M1424" s="497" t="s">
        <v>5763</v>
      </c>
      <c r="N1424" s="497" t="s">
        <v>7871</v>
      </c>
      <c r="O1424" s="498">
        <v>457.0</v>
      </c>
      <c r="P1424" s="497" t="s">
        <v>7872</v>
      </c>
      <c r="Q1424" s="556"/>
      <c r="R1424" s="557"/>
      <c r="S1424" s="557"/>
      <c r="T1424" s="557"/>
      <c r="U1424" s="557"/>
      <c r="V1424" s="557"/>
      <c r="W1424" s="557"/>
      <c r="X1424" s="557"/>
      <c r="Y1424" s="557"/>
      <c r="Z1424" s="557"/>
      <c r="AA1424" s="557"/>
      <c r="AB1424" s="557"/>
      <c r="AC1424" s="557"/>
      <c r="AD1424" s="557"/>
      <c r="AE1424" s="497"/>
    </row>
    <row r="1425">
      <c r="A1425" s="495" t="s">
        <v>7873</v>
      </c>
      <c r="B1425" s="531" t="s">
        <v>2724</v>
      </c>
      <c r="C1425" s="531" t="s">
        <v>5667</v>
      </c>
      <c r="D1425" s="531" t="s">
        <v>7515</v>
      </c>
      <c r="E1425" s="531" t="s">
        <v>5727</v>
      </c>
      <c r="F1425" s="497" t="s">
        <v>1848</v>
      </c>
      <c r="G1425" s="498">
        <v>2.0</v>
      </c>
      <c r="H1425" s="497" t="s">
        <v>5728</v>
      </c>
      <c r="I1425" s="497" t="s">
        <v>2724</v>
      </c>
      <c r="J1425" s="497" t="s">
        <v>7874</v>
      </c>
      <c r="K1425" s="497" t="s">
        <v>5734</v>
      </c>
      <c r="L1425" s="498">
        <v>11.0</v>
      </c>
      <c r="M1425" s="497" t="s">
        <v>6151</v>
      </c>
      <c r="N1425" s="497" t="s">
        <v>7875</v>
      </c>
      <c r="O1425" s="498">
        <v>249.0</v>
      </c>
      <c r="P1425" s="497" t="s">
        <v>7876</v>
      </c>
      <c r="Q1425" s="556"/>
      <c r="R1425" s="557"/>
      <c r="S1425" s="557"/>
      <c r="T1425" s="557"/>
      <c r="U1425" s="557"/>
      <c r="V1425" s="557"/>
      <c r="W1425" s="557"/>
      <c r="X1425" s="557"/>
      <c r="Y1425" s="557"/>
      <c r="Z1425" s="557"/>
      <c r="AA1425" s="557"/>
      <c r="AB1425" s="557"/>
      <c r="AC1425" s="557"/>
      <c r="AD1425" s="557"/>
      <c r="AE1425" s="497"/>
    </row>
    <row r="1426">
      <c r="A1426" s="528" t="s">
        <v>7877</v>
      </c>
      <c r="B1426" s="531" t="s">
        <v>6116</v>
      </c>
      <c r="C1426" s="531" t="s">
        <v>7842</v>
      </c>
      <c r="D1426" s="531" t="s">
        <v>7514</v>
      </c>
      <c r="E1426" s="531" t="s">
        <v>6795</v>
      </c>
      <c r="F1426" s="497" t="s">
        <v>4809</v>
      </c>
      <c r="G1426" s="498">
        <v>2.0</v>
      </c>
      <c r="H1426" s="497" t="s">
        <v>6647</v>
      </c>
      <c r="I1426" s="497" t="s">
        <v>2692</v>
      </c>
      <c r="J1426" s="497" t="s">
        <v>7878</v>
      </c>
      <c r="K1426" s="497" t="s">
        <v>5729</v>
      </c>
      <c r="L1426" s="498">
        <v>10.0</v>
      </c>
      <c r="M1426" s="497" t="s">
        <v>5970</v>
      </c>
      <c r="N1426" s="497" t="s">
        <v>7879</v>
      </c>
      <c r="O1426" s="498">
        <v>196.0</v>
      </c>
      <c r="P1426" s="497" t="s">
        <v>7880</v>
      </c>
      <c r="Q1426" s="556"/>
      <c r="R1426" s="557"/>
      <c r="S1426" s="557"/>
      <c r="T1426" s="557"/>
      <c r="U1426" s="557"/>
      <c r="V1426" s="557"/>
      <c r="W1426" s="557"/>
      <c r="X1426" s="557"/>
      <c r="Y1426" s="557"/>
      <c r="Z1426" s="557"/>
      <c r="AA1426" s="557"/>
      <c r="AB1426" s="557"/>
      <c r="AC1426" s="557"/>
      <c r="AD1426" s="557"/>
      <c r="AE1426" s="497"/>
    </row>
    <row r="1427">
      <c r="A1427" s="533" t="s">
        <v>7881</v>
      </c>
      <c r="B1427" s="531" t="s">
        <v>6109</v>
      </c>
      <c r="C1427" s="531" t="s">
        <v>7032</v>
      </c>
      <c r="D1427" s="531" t="s">
        <v>7552</v>
      </c>
      <c r="E1427" s="531" t="s">
        <v>5727</v>
      </c>
      <c r="F1427" s="497" t="s">
        <v>5536</v>
      </c>
      <c r="G1427" s="498">
        <v>2.0</v>
      </c>
      <c r="H1427" s="497" t="s">
        <v>5728</v>
      </c>
      <c r="I1427" s="497" t="s">
        <v>2695</v>
      </c>
      <c r="J1427" s="497" t="s">
        <v>7882</v>
      </c>
      <c r="K1427" s="497" t="s">
        <v>5786</v>
      </c>
      <c r="L1427" s="498">
        <v>12.0</v>
      </c>
      <c r="M1427" s="497" t="s">
        <v>6317</v>
      </c>
      <c r="N1427" s="497" t="s">
        <v>7883</v>
      </c>
      <c r="O1427" s="498">
        <v>316.0</v>
      </c>
      <c r="P1427" s="497" t="s">
        <v>7884</v>
      </c>
      <c r="Q1427" s="557"/>
      <c r="R1427" s="557"/>
      <c r="S1427" s="557"/>
      <c r="T1427" s="557"/>
      <c r="U1427" s="557"/>
      <c r="V1427" s="557"/>
      <c r="W1427" s="557"/>
      <c r="X1427" s="557"/>
      <c r="Y1427" s="557"/>
      <c r="Z1427" s="557"/>
      <c r="AA1427" s="557"/>
      <c r="AB1427" s="557"/>
      <c r="AC1427" s="557"/>
      <c r="AD1427" s="557"/>
      <c r="AE1427" s="497"/>
    </row>
    <row r="1428">
      <c r="A1428" s="558" t="s">
        <v>5502</v>
      </c>
      <c r="B1428" s="531" t="s">
        <v>6116</v>
      </c>
      <c r="C1428" s="531" t="s">
        <v>7133</v>
      </c>
      <c r="D1428" s="531" t="s">
        <v>7514</v>
      </c>
      <c r="E1428" s="531" t="s">
        <v>5727</v>
      </c>
      <c r="F1428" s="228" t="s">
        <v>7885</v>
      </c>
    </row>
    <row r="1429">
      <c r="A1429" s="495" t="s">
        <v>1854</v>
      </c>
      <c r="B1429" s="531" t="s">
        <v>6110</v>
      </c>
      <c r="C1429" s="531" t="s">
        <v>5670</v>
      </c>
      <c r="D1429" s="531" t="s">
        <v>7515</v>
      </c>
      <c r="E1429" s="531" t="s">
        <v>5727</v>
      </c>
      <c r="F1429" s="228" t="s">
        <v>7885</v>
      </c>
    </row>
    <row r="1430">
      <c r="A1430" s="495" t="s">
        <v>7886</v>
      </c>
      <c r="B1430" s="531" t="s">
        <v>2707</v>
      </c>
      <c r="C1430" s="531" t="s">
        <v>7842</v>
      </c>
      <c r="D1430" s="531" t="s">
        <v>7552</v>
      </c>
      <c r="E1430" s="531" t="s">
        <v>5727</v>
      </c>
      <c r="F1430" s="497" t="s">
        <v>1877</v>
      </c>
      <c r="G1430" s="498">
        <v>2.0</v>
      </c>
      <c r="H1430" s="497" t="s">
        <v>5728</v>
      </c>
      <c r="I1430" s="497" t="s">
        <v>2707</v>
      </c>
      <c r="J1430" s="497" t="s">
        <v>7887</v>
      </c>
      <c r="K1430" s="497" t="s">
        <v>5729</v>
      </c>
      <c r="L1430" s="498">
        <v>12.0</v>
      </c>
      <c r="M1430" s="497" t="s">
        <v>7888</v>
      </c>
      <c r="N1430" s="497" t="s">
        <v>7889</v>
      </c>
      <c r="O1430" s="498">
        <v>24.0</v>
      </c>
      <c r="P1430" s="497" t="s">
        <v>7890</v>
      </c>
      <c r="Q1430" s="556"/>
      <c r="R1430" s="557"/>
      <c r="S1430" s="557"/>
      <c r="T1430" s="557"/>
      <c r="U1430" s="557"/>
      <c r="V1430" s="557"/>
      <c r="W1430" s="557"/>
      <c r="X1430" s="557"/>
      <c r="Y1430" s="557"/>
      <c r="Z1430" s="557"/>
      <c r="AA1430" s="557"/>
      <c r="AB1430" s="557"/>
      <c r="AC1430" s="557"/>
      <c r="AD1430" s="557"/>
      <c r="AE1430" s="497"/>
    </row>
    <row r="1431">
      <c r="A1431" s="495" t="s">
        <v>1898</v>
      </c>
      <c r="B1431" s="531" t="s">
        <v>6109</v>
      </c>
      <c r="C1431" s="531" t="s">
        <v>7007</v>
      </c>
      <c r="D1431" s="531" t="s">
        <v>7515</v>
      </c>
      <c r="E1431" s="531" t="s">
        <v>6241</v>
      </c>
      <c r="F1431" s="228" t="s">
        <v>5951</v>
      </c>
    </row>
    <row r="1432">
      <c r="A1432" s="495" t="s">
        <v>1905</v>
      </c>
      <c r="B1432" s="531" t="s">
        <v>6116</v>
      </c>
      <c r="C1432" s="531" t="s">
        <v>5667</v>
      </c>
      <c r="D1432" s="531" t="s">
        <v>7515</v>
      </c>
      <c r="E1432" s="531" t="s">
        <v>6241</v>
      </c>
      <c r="F1432" s="228" t="s">
        <v>5951</v>
      </c>
    </row>
    <row r="1433">
      <c r="A1433" s="495" t="s">
        <v>1912</v>
      </c>
      <c r="B1433" s="531" t="s">
        <v>6109</v>
      </c>
      <c r="C1433" s="531" t="s">
        <v>5671</v>
      </c>
      <c r="D1433" s="531" t="s">
        <v>7552</v>
      </c>
      <c r="E1433" s="531" t="s">
        <v>6241</v>
      </c>
      <c r="F1433" s="228" t="s">
        <v>5951</v>
      </c>
    </row>
    <row r="1434">
      <c r="A1434" s="495" t="s">
        <v>7891</v>
      </c>
      <c r="B1434" s="531" t="s">
        <v>2709</v>
      </c>
      <c r="C1434" s="531" t="s">
        <v>5681</v>
      </c>
      <c r="D1434" s="531" t="s">
        <v>7515</v>
      </c>
      <c r="E1434" s="531" t="s">
        <v>6795</v>
      </c>
      <c r="F1434" s="497" t="s">
        <v>1961</v>
      </c>
      <c r="G1434" s="498">
        <v>2.0</v>
      </c>
      <c r="H1434" s="497" t="s">
        <v>6647</v>
      </c>
      <c r="I1434" s="497" t="s">
        <v>2709</v>
      </c>
      <c r="J1434" s="497" t="s">
        <v>7892</v>
      </c>
      <c r="K1434" s="497" t="s">
        <v>5750</v>
      </c>
      <c r="L1434" s="498">
        <v>11.0</v>
      </c>
      <c r="M1434" s="497" t="s">
        <v>6171</v>
      </c>
      <c r="N1434" s="497" t="s">
        <v>7893</v>
      </c>
      <c r="O1434" s="498">
        <v>259.0</v>
      </c>
      <c r="P1434" s="497" t="s">
        <v>7894</v>
      </c>
      <c r="Q1434" s="556"/>
      <c r="R1434" s="557"/>
      <c r="S1434" s="557"/>
      <c r="T1434" s="557"/>
      <c r="U1434" s="557"/>
      <c r="V1434" s="557"/>
      <c r="W1434" s="557"/>
      <c r="X1434" s="557"/>
      <c r="Y1434" s="557"/>
      <c r="Z1434" s="557"/>
      <c r="AA1434" s="557"/>
      <c r="AB1434" s="557"/>
      <c r="AC1434" s="557"/>
      <c r="AD1434" s="557"/>
      <c r="AE1434" s="497"/>
    </row>
    <row r="1435">
      <c r="A1435" s="533" t="s">
        <v>308</v>
      </c>
      <c r="B1435" s="531" t="s">
        <v>6116</v>
      </c>
      <c r="C1435" s="531" t="s">
        <v>6794</v>
      </c>
      <c r="D1435" s="531" t="s">
        <v>7256</v>
      </c>
      <c r="E1435" s="531" t="s">
        <v>6795</v>
      </c>
      <c r="F1435" s="228" t="s">
        <v>5951</v>
      </c>
    </row>
    <row r="1436">
      <c r="A1436" s="537" t="s">
        <v>672</v>
      </c>
      <c r="B1436" s="531" t="s">
        <v>2704</v>
      </c>
      <c r="C1436" s="531" t="s">
        <v>6489</v>
      </c>
      <c r="D1436" s="531" t="s">
        <v>7256</v>
      </c>
      <c r="E1436" s="531" t="s">
        <v>5727</v>
      </c>
      <c r="F1436" s="228" t="s">
        <v>5951</v>
      </c>
    </row>
    <row r="1437">
      <c r="A1437" s="537" t="s">
        <v>678</v>
      </c>
      <c r="B1437" s="531" t="s">
        <v>6110</v>
      </c>
      <c r="C1437" s="531" t="s">
        <v>7133</v>
      </c>
      <c r="D1437" s="531" t="s">
        <v>5725</v>
      </c>
      <c r="E1437" s="531" t="s">
        <v>5727</v>
      </c>
      <c r="F1437" s="228" t="s">
        <v>5951</v>
      </c>
    </row>
    <row r="1438">
      <c r="A1438" s="537" t="s">
        <v>679</v>
      </c>
      <c r="B1438" s="531" t="s">
        <v>6101</v>
      </c>
      <c r="C1438" s="531" t="s">
        <v>5664</v>
      </c>
      <c r="D1438" s="531" t="s">
        <v>5725</v>
      </c>
      <c r="E1438" s="531" t="s">
        <v>5727</v>
      </c>
      <c r="F1438" s="228" t="s">
        <v>5951</v>
      </c>
    </row>
    <row r="1439">
      <c r="A1439" s="537" t="s">
        <v>680</v>
      </c>
      <c r="B1439" s="531" t="s">
        <v>2709</v>
      </c>
      <c r="C1439" s="531" t="s">
        <v>5670</v>
      </c>
      <c r="D1439" s="531" t="s">
        <v>5725</v>
      </c>
      <c r="E1439" s="531" t="s">
        <v>5727</v>
      </c>
      <c r="F1439" s="228" t="s">
        <v>5951</v>
      </c>
    </row>
    <row r="1440">
      <c r="A1440" s="533" t="s">
        <v>7895</v>
      </c>
      <c r="B1440" s="531" t="s">
        <v>2724</v>
      </c>
      <c r="C1440" s="531" t="s">
        <v>5667</v>
      </c>
      <c r="D1440" s="531" t="s">
        <v>7514</v>
      </c>
      <c r="E1440" s="531" t="s">
        <v>5727</v>
      </c>
      <c r="F1440" s="497" t="s">
        <v>2723</v>
      </c>
      <c r="G1440" s="498">
        <v>2.0</v>
      </c>
      <c r="H1440" s="497" t="s">
        <v>5728</v>
      </c>
      <c r="I1440" s="497" t="s">
        <v>2724</v>
      </c>
      <c r="J1440" s="497" t="s">
        <v>7896</v>
      </c>
      <c r="K1440" s="497" t="s">
        <v>5734</v>
      </c>
      <c r="L1440" s="498">
        <v>10.0</v>
      </c>
      <c r="M1440" s="497" t="s">
        <v>5828</v>
      </c>
      <c r="N1440" s="497" t="s">
        <v>7897</v>
      </c>
      <c r="O1440" s="498">
        <v>214.0</v>
      </c>
      <c r="P1440" s="497" t="s">
        <v>7898</v>
      </c>
      <c r="Q1440" s="557"/>
      <c r="R1440" s="557"/>
      <c r="S1440" s="557"/>
      <c r="T1440" s="557"/>
      <c r="U1440" s="557"/>
      <c r="V1440" s="557"/>
      <c r="W1440" s="557"/>
      <c r="X1440" s="557"/>
      <c r="Y1440" s="557"/>
      <c r="Z1440" s="557"/>
      <c r="AA1440" s="557"/>
      <c r="AB1440" s="557"/>
      <c r="AC1440" s="557"/>
      <c r="AD1440" s="557"/>
      <c r="AE1440" s="497"/>
    </row>
    <row r="1441">
      <c r="A1441" s="531" t="s">
        <v>7863</v>
      </c>
      <c r="B1441" s="534" t="s">
        <v>5699</v>
      </c>
      <c r="C1441" s="531" t="s">
        <v>7133</v>
      </c>
      <c r="D1441" s="531" t="s">
        <v>7552</v>
      </c>
      <c r="E1441" s="531" t="s">
        <v>5727</v>
      </c>
      <c r="F1441" s="497" t="s">
        <v>7899</v>
      </c>
      <c r="G1441" s="498">
        <v>2.0</v>
      </c>
      <c r="H1441" s="497" t="s">
        <v>5728</v>
      </c>
      <c r="I1441" s="497" t="s">
        <v>2702</v>
      </c>
      <c r="J1441" s="497" t="s">
        <v>7900</v>
      </c>
      <c r="K1441" s="497" t="s">
        <v>5711</v>
      </c>
      <c r="L1441" s="498">
        <v>12.0</v>
      </c>
      <c r="M1441" s="497" t="s">
        <v>7531</v>
      </c>
      <c r="N1441" s="497" t="s">
        <v>7901</v>
      </c>
      <c r="O1441" s="498">
        <v>254.0</v>
      </c>
      <c r="P1441" s="497" t="s">
        <v>7902</v>
      </c>
      <c r="Q1441" s="556"/>
      <c r="R1441" s="557"/>
      <c r="S1441" s="557"/>
      <c r="T1441" s="557"/>
      <c r="U1441" s="557"/>
      <c r="V1441" s="557"/>
      <c r="W1441" s="557"/>
      <c r="X1441" s="557"/>
      <c r="Y1441" s="557"/>
      <c r="Z1441" s="557"/>
      <c r="AA1441" s="557"/>
      <c r="AB1441" s="557"/>
      <c r="AC1441" s="557"/>
      <c r="AD1441" s="557"/>
      <c r="AE1441" s="497"/>
    </row>
    <row r="1442">
      <c r="A1442" s="531" t="s">
        <v>2808</v>
      </c>
      <c r="B1442" s="531" t="s">
        <v>6105</v>
      </c>
      <c r="C1442" s="531" t="s">
        <v>5682</v>
      </c>
      <c r="D1442" s="531" t="s">
        <v>7552</v>
      </c>
      <c r="E1442" s="531" t="s">
        <v>6241</v>
      </c>
      <c r="F1442" s="228" t="s">
        <v>6472</v>
      </c>
    </row>
    <row r="1443">
      <c r="A1443" s="523" t="s">
        <v>3210</v>
      </c>
      <c r="B1443" s="531" t="s">
        <v>2707</v>
      </c>
      <c r="C1443" s="531" t="s">
        <v>7133</v>
      </c>
      <c r="D1443" s="531" t="s">
        <v>5716</v>
      </c>
      <c r="E1443" s="531" t="s">
        <v>5727</v>
      </c>
      <c r="F1443" s="228" t="s">
        <v>6472</v>
      </c>
    </row>
    <row r="1444">
      <c r="A1444" s="523" t="s">
        <v>3264</v>
      </c>
      <c r="B1444" s="531" t="s">
        <v>6116</v>
      </c>
      <c r="C1444" s="531" t="s">
        <v>7133</v>
      </c>
      <c r="D1444" s="531" t="s">
        <v>7256</v>
      </c>
      <c r="E1444" s="531" t="s">
        <v>5727</v>
      </c>
      <c r="F1444" s="228" t="s">
        <v>6472</v>
      </c>
    </row>
    <row r="1445">
      <c r="A1445" s="523" t="s">
        <v>3349</v>
      </c>
      <c r="B1445" s="531" t="s">
        <v>6101</v>
      </c>
      <c r="C1445" s="531" t="s">
        <v>5667</v>
      </c>
      <c r="D1445" s="531" t="s">
        <v>6687</v>
      </c>
      <c r="E1445" s="531" t="s">
        <v>6241</v>
      </c>
      <c r="F1445" s="228" t="s">
        <v>6472</v>
      </c>
    </row>
    <row r="1446">
      <c r="A1446" s="533" t="s">
        <v>2187</v>
      </c>
      <c r="B1446" s="531" t="s">
        <v>6109</v>
      </c>
      <c r="C1446" s="531" t="s">
        <v>5670</v>
      </c>
      <c r="D1446" s="531" t="s">
        <v>5683</v>
      </c>
      <c r="E1446" s="531" t="s">
        <v>5727</v>
      </c>
      <c r="F1446" s="228" t="s">
        <v>6472</v>
      </c>
    </row>
    <row r="1447">
      <c r="A1447" s="523" t="s">
        <v>7903</v>
      </c>
      <c r="B1447" s="531" t="s">
        <v>6116</v>
      </c>
      <c r="C1447" s="531" t="s">
        <v>7133</v>
      </c>
      <c r="D1447" s="531" t="s">
        <v>5683</v>
      </c>
      <c r="E1447" s="531" t="s">
        <v>6241</v>
      </c>
      <c r="F1447" s="497" t="s">
        <v>3440</v>
      </c>
      <c r="G1447" s="498">
        <v>2.0</v>
      </c>
      <c r="H1447" s="497" t="s">
        <v>6243</v>
      </c>
      <c r="I1447" s="497" t="s">
        <v>2692</v>
      </c>
      <c r="J1447" s="497" t="s">
        <v>5935</v>
      </c>
      <c r="K1447" s="497" t="s">
        <v>5711</v>
      </c>
      <c r="L1447" s="498">
        <v>4.0</v>
      </c>
      <c r="M1447" s="497" t="s">
        <v>5854</v>
      </c>
      <c r="N1447" s="497" t="s">
        <v>7904</v>
      </c>
      <c r="O1447" s="498">
        <v>422.0</v>
      </c>
      <c r="P1447" s="497" t="s">
        <v>7905</v>
      </c>
      <c r="Q1447" s="556"/>
      <c r="R1447" s="557"/>
      <c r="S1447" s="557"/>
      <c r="T1447" s="557"/>
      <c r="U1447" s="557"/>
      <c r="V1447" s="557"/>
      <c r="W1447" s="557"/>
      <c r="X1447" s="557"/>
      <c r="Y1447" s="557"/>
      <c r="Z1447" s="557"/>
      <c r="AA1447" s="557"/>
      <c r="AB1447" s="557"/>
      <c r="AC1447" s="557"/>
      <c r="AD1447" s="557"/>
      <c r="AE1447" s="497"/>
    </row>
    <row r="1448">
      <c r="A1448" s="523" t="s">
        <v>7906</v>
      </c>
      <c r="B1448" s="531" t="s">
        <v>6109</v>
      </c>
      <c r="C1448" s="531" t="s">
        <v>5667</v>
      </c>
      <c r="D1448" s="531" t="s">
        <v>5683</v>
      </c>
      <c r="E1448" s="531" t="s">
        <v>6241</v>
      </c>
      <c r="F1448" s="497" t="s">
        <v>3445</v>
      </c>
      <c r="G1448" s="498">
        <v>2.0</v>
      </c>
      <c r="H1448" s="497" t="s">
        <v>6243</v>
      </c>
      <c r="I1448" s="497" t="s">
        <v>2695</v>
      </c>
      <c r="J1448" s="497" t="s">
        <v>6352</v>
      </c>
      <c r="K1448" s="497" t="s">
        <v>5734</v>
      </c>
      <c r="L1448" s="498">
        <v>4.0</v>
      </c>
      <c r="M1448" s="497" t="s">
        <v>5879</v>
      </c>
      <c r="N1448" s="497" t="s">
        <v>7907</v>
      </c>
      <c r="O1448" s="498">
        <v>361.0</v>
      </c>
      <c r="P1448" s="497" t="s">
        <v>7908</v>
      </c>
      <c r="Q1448" s="557"/>
      <c r="R1448" s="557"/>
      <c r="S1448" s="557"/>
      <c r="T1448" s="557"/>
      <c r="U1448" s="557"/>
      <c r="V1448" s="557"/>
      <c r="W1448" s="557"/>
      <c r="X1448" s="557"/>
      <c r="Y1448" s="557"/>
      <c r="Z1448" s="557"/>
      <c r="AA1448" s="557"/>
      <c r="AB1448" s="557"/>
      <c r="AC1448" s="557"/>
      <c r="AD1448" s="557"/>
      <c r="AE1448" s="497"/>
    </row>
    <row r="1449">
      <c r="A1449" s="533" t="s">
        <v>3488</v>
      </c>
      <c r="B1449" s="531" t="s">
        <v>6112</v>
      </c>
      <c r="C1449" s="531" t="s">
        <v>6794</v>
      </c>
      <c r="D1449" s="531" t="s">
        <v>5716</v>
      </c>
      <c r="E1449" s="531" t="s">
        <v>6241</v>
      </c>
      <c r="F1449" s="228" t="s">
        <v>5700</v>
      </c>
    </row>
    <row r="1450">
      <c r="A1450" s="523" t="s">
        <v>3586</v>
      </c>
      <c r="B1450" s="531" t="s">
        <v>6532</v>
      </c>
      <c r="C1450" s="531" t="s">
        <v>5664</v>
      </c>
      <c r="D1450" s="531" t="s">
        <v>5668</v>
      </c>
      <c r="E1450" s="531" t="s">
        <v>6795</v>
      </c>
      <c r="F1450" s="228" t="s">
        <v>5700</v>
      </c>
    </row>
    <row r="1451">
      <c r="A1451" s="533" t="s">
        <v>3877</v>
      </c>
      <c r="B1451" s="531" t="s">
        <v>2704</v>
      </c>
      <c r="C1451" s="531" t="s">
        <v>5671</v>
      </c>
      <c r="D1451" s="531" t="s">
        <v>7514</v>
      </c>
      <c r="E1451" s="531" t="s">
        <v>5727</v>
      </c>
      <c r="F1451" s="228" t="s">
        <v>5700</v>
      </c>
    </row>
    <row r="1452">
      <c r="A1452" s="533" t="s">
        <v>3965</v>
      </c>
      <c r="B1452" s="531" t="s">
        <v>6532</v>
      </c>
      <c r="C1452" s="531" t="s">
        <v>7007</v>
      </c>
      <c r="D1452" s="531" t="s">
        <v>7552</v>
      </c>
      <c r="E1452" s="531" t="s">
        <v>6241</v>
      </c>
      <c r="F1452" s="228" t="s">
        <v>5700</v>
      </c>
    </row>
    <row r="1453">
      <c r="A1453" s="555" t="s">
        <v>3967</v>
      </c>
      <c r="B1453" s="531" t="s">
        <v>2724</v>
      </c>
      <c r="C1453" s="531" t="s">
        <v>5670</v>
      </c>
      <c r="D1453" s="531" t="s">
        <v>7552</v>
      </c>
      <c r="E1453" s="531" t="s">
        <v>6241</v>
      </c>
      <c r="F1453" s="228" t="s">
        <v>5700</v>
      </c>
    </row>
    <row r="1454">
      <c r="A1454" s="533" t="s">
        <v>2931</v>
      </c>
      <c r="B1454" s="531" t="s">
        <v>6112</v>
      </c>
      <c r="C1454" s="531" t="s">
        <v>7133</v>
      </c>
      <c r="D1454" s="531" t="s">
        <v>6044</v>
      </c>
      <c r="E1454" s="531" t="s">
        <v>5660</v>
      </c>
      <c r="F1454" s="228" t="s">
        <v>5700</v>
      </c>
    </row>
    <row r="1455">
      <c r="A1455" s="528" t="s">
        <v>3983</v>
      </c>
      <c r="B1455" s="531" t="s">
        <v>2709</v>
      </c>
      <c r="C1455" s="531" t="s">
        <v>5671</v>
      </c>
      <c r="D1455" s="531" t="s">
        <v>7514</v>
      </c>
      <c r="E1455" s="531" t="s">
        <v>6795</v>
      </c>
      <c r="F1455" s="228" t="s">
        <v>5700</v>
      </c>
    </row>
    <row r="1456">
      <c r="A1456" s="528" t="s">
        <v>3988</v>
      </c>
      <c r="B1456" s="531" t="s">
        <v>6109</v>
      </c>
      <c r="C1456" s="531" t="s">
        <v>7007</v>
      </c>
      <c r="D1456" s="531" t="s">
        <v>7514</v>
      </c>
      <c r="E1456" s="531" t="s">
        <v>6795</v>
      </c>
      <c r="F1456" s="228" t="s">
        <v>5700</v>
      </c>
    </row>
    <row r="1457">
      <c r="A1457" s="528" t="s">
        <v>4000</v>
      </c>
      <c r="B1457" s="531" t="s">
        <v>6112</v>
      </c>
      <c r="C1457" s="531" t="s">
        <v>7007</v>
      </c>
      <c r="D1457" s="531" t="s">
        <v>7515</v>
      </c>
      <c r="E1457" s="531" t="s">
        <v>6795</v>
      </c>
      <c r="F1457" s="497" t="s">
        <v>7909</v>
      </c>
      <c r="G1457" s="498">
        <v>2.0</v>
      </c>
      <c r="H1457" s="497" t="s">
        <v>6647</v>
      </c>
      <c r="I1457" s="497" t="s">
        <v>2707</v>
      </c>
      <c r="J1457" s="497" t="s">
        <v>7892</v>
      </c>
      <c r="K1457" s="497" t="s">
        <v>5750</v>
      </c>
      <c r="L1457" s="498">
        <v>11.0</v>
      </c>
      <c r="M1457" s="497" t="s">
        <v>7910</v>
      </c>
      <c r="N1457" s="497" t="s">
        <v>7911</v>
      </c>
      <c r="O1457" s="498">
        <v>253.0</v>
      </c>
      <c r="P1457" s="497" t="s">
        <v>7912</v>
      </c>
      <c r="Q1457" s="556"/>
      <c r="R1457" s="557"/>
      <c r="S1457" s="557"/>
      <c r="T1457" s="557"/>
      <c r="U1457" s="557"/>
      <c r="V1457" s="557"/>
      <c r="W1457" s="557"/>
      <c r="X1457" s="557"/>
      <c r="Y1457" s="557"/>
      <c r="Z1457" s="557"/>
      <c r="AA1457" s="557"/>
      <c r="AB1457" s="557"/>
      <c r="AC1457" s="557"/>
      <c r="AD1457" s="557"/>
      <c r="AE1457" s="497"/>
    </row>
    <row r="1458">
      <c r="A1458" s="537" t="s">
        <v>633</v>
      </c>
      <c r="B1458" s="531" t="s">
        <v>2724</v>
      </c>
      <c r="C1458" s="531" t="s">
        <v>6489</v>
      </c>
      <c r="D1458" s="531" t="s">
        <v>5716</v>
      </c>
      <c r="E1458" s="531" t="s">
        <v>5727</v>
      </c>
      <c r="F1458" s="228" t="s">
        <v>5700</v>
      </c>
    </row>
    <row r="1459">
      <c r="A1459" s="495" t="s">
        <v>349</v>
      </c>
      <c r="B1459" s="531" t="s">
        <v>6532</v>
      </c>
      <c r="C1459" s="531" t="s">
        <v>5670</v>
      </c>
      <c r="D1459" s="531" t="s">
        <v>5668</v>
      </c>
      <c r="E1459" s="531" t="s">
        <v>5660</v>
      </c>
      <c r="F1459" s="228" t="s">
        <v>5700</v>
      </c>
    </row>
    <row r="1460">
      <c r="A1460" s="495" t="s">
        <v>1112</v>
      </c>
      <c r="B1460" s="531" t="s">
        <v>6532</v>
      </c>
      <c r="C1460" s="531" t="s">
        <v>6489</v>
      </c>
      <c r="D1460" s="531" t="s">
        <v>6687</v>
      </c>
      <c r="E1460" s="531" t="s">
        <v>5660</v>
      </c>
      <c r="F1460" s="228" t="s">
        <v>5700</v>
      </c>
    </row>
    <row r="1461">
      <c r="A1461" s="495" t="s">
        <v>1114</v>
      </c>
      <c r="B1461" s="531" t="s">
        <v>2709</v>
      </c>
      <c r="C1461" s="531" t="s">
        <v>6489</v>
      </c>
      <c r="D1461" s="531" t="s">
        <v>6687</v>
      </c>
      <c r="E1461" s="531" t="s">
        <v>5660</v>
      </c>
      <c r="F1461" s="228" t="s">
        <v>5700</v>
      </c>
    </row>
    <row r="1462">
      <c r="A1462" s="495" t="s">
        <v>1117</v>
      </c>
      <c r="B1462" s="531" t="s">
        <v>6112</v>
      </c>
      <c r="C1462" s="531" t="s">
        <v>7007</v>
      </c>
      <c r="D1462" s="531" t="s">
        <v>6044</v>
      </c>
      <c r="E1462" s="531" t="s">
        <v>5660</v>
      </c>
      <c r="F1462" s="228" t="s">
        <v>5700</v>
      </c>
    </row>
    <row r="1463">
      <c r="A1463" s="523" t="s">
        <v>3710</v>
      </c>
      <c r="B1463" s="531" t="s">
        <v>6488</v>
      </c>
      <c r="C1463" s="531" t="s">
        <v>5664</v>
      </c>
      <c r="D1463" s="531" t="s">
        <v>5692</v>
      </c>
      <c r="E1463" s="531" t="s">
        <v>6795</v>
      </c>
      <c r="F1463" s="228" t="s">
        <v>5700</v>
      </c>
    </row>
    <row r="1464">
      <c r="A1464" s="533" t="s">
        <v>4013</v>
      </c>
      <c r="B1464" s="531" t="s">
        <v>6116</v>
      </c>
      <c r="C1464" s="531" t="s">
        <v>7032</v>
      </c>
      <c r="D1464" s="531" t="s">
        <v>7515</v>
      </c>
      <c r="E1464" s="531" t="s">
        <v>6795</v>
      </c>
      <c r="F1464" s="516" t="s">
        <v>7913</v>
      </c>
      <c r="G1464" s="498">
        <v>2.0</v>
      </c>
      <c r="H1464" s="497" t="s">
        <v>6647</v>
      </c>
      <c r="I1464" s="497" t="s">
        <v>2707</v>
      </c>
      <c r="J1464" s="497" t="s">
        <v>7914</v>
      </c>
      <c r="K1464" s="497" t="s">
        <v>5786</v>
      </c>
      <c r="L1464" s="498">
        <v>11.0</v>
      </c>
      <c r="M1464" s="497" t="s">
        <v>7915</v>
      </c>
      <c r="N1464" s="497" t="s">
        <v>7916</v>
      </c>
      <c r="O1464" s="498">
        <v>328.0</v>
      </c>
      <c r="P1464" s="497" t="s">
        <v>7917</v>
      </c>
      <c r="Q1464" s="556"/>
      <c r="R1464" s="557"/>
      <c r="S1464" s="557"/>
      <c r="T1464" s="557"/>
      <c r="U1464" s="557"/>
      <c r="V1464" s="557"/>
      <c r="W1464" s="557"/>
      <c r="X1464" s="557"/>
      <c r="Y1464" s="557"/>
      <c r="Z1464" s="557"/>
      <c r="AA1464" s="557"/>
      <c r="AB1464" s="557"/>
      <c r="AC1464" s="557"/>
      <c r="AD1464" s="557"/>
      <c r="AE1464" s="497"/>
    </row>
    <row r="1465">
      <c r="A1465" s="533" t="s">
        <v>2197</v>
      </c>
      <c r="B1465" s="531" t="s">
        <v>6488</v>
      </c>
      <c r="C1465" s="531" t="s">
        <v>7133</v>
      </c>
      <c r="D1465" s="531" t="s">
        <v>7088</v>
      </c>
      <c r="E1465" s="531" t="s">
        <v>5727</v>
      </c>
      <c r="F1465" s="497" t="s">
        <v>7918</v>
      </c>
      <c r="G1465" s="498">
        <v>2.0</v>
      </c>
      <c r="H1465" s="497" t="s">
        <v>5728</v>
      </c>
      <c r="I1465" s="497" t="s">
        <v>2704</v>
      </c>
      <c r="J1465" s="497" t="s">
        <v>1283</v>
      </c>
      <c r="K1465" s="497" t="s">
        <v>5711</v>
      </c>
      <c r="L1465" s="498">
        <v>4.0</v>
      </c>
      <c r="M1465" s="497" t="s">
        <v>5839</v>
      </c>
      <c r="N1465" s="497" t="s">
        <v>7919</v>
      </c>
      <c r="O1465" s="498">
        <v>256.0</v>
      </c>
      <c r="P1465" s="497" t="s">
        <v>7920</v>
      </c>
      <c r="Q1465" s="556"/>
      <c r="R1465" s="557"/>
      <c r="S1465" s="557"/>
      <c r="T1465" s="557"/>
      <c r="U1465" s="557"/>
      <c r="V1465" s="557"/>
      <c r="W1465" s="557"/>
      <c r="X1465" s="557"/>
      <c r="Y1465" s="557"/>
      <c r="Z1465" s="557"/>
      <c r="AA1465" s="557"/>
      <c r="AB1465" s="557"/>
      <c r="AC1465" s="557"/>
      <c r="AD1465" s="557"/>
      <c r="AE1465" s="497"/>
    </row>
    <row r="1466">
      <c r="A1466" s="531" t="s">
        <v>2713</v>
      </c>
      <c r="B1466" s="531" t="s">
        <v>2698</v>
      </c>
      <c r="C1466" s="531" t="s">
        <v>6794</v>
      </c>
      <c r="D1466" s="531" t="s">
        <v>7552</v>
      </c>
      <c r="E1466" s="531" t="s">
        <v>5660</v>
      </c>
      <c r="F1466" s="228" t="s">
        <v>5700</v>
      </c>
    </row>
    <row r="1467">
      <c r="A1467" s="533" t="s">
        <v>419</v>
      </c>
      <c r="B1467" s="534" t="s">
        <v>5699</v>
      </c>
      <c r="C1467" s="531" t="s">
        <v>6794</v>
      </c>
      <c r="D1467" s="531" t="s">
        <v>7921</v>
      </c>
      <c r="E1467" s="531" t="s">
        <v>5660</v>
      </c>
      <c r="F1467" s="228" t="s">
        <v>5700</v>
      </c>
    </row>
    <row r="1468">
      <c r="A1468" s="528" t="s">
        <v>4121</v>
      </c>
      <c r="B1468" s="531" t="s">
        <v>6109</v>
      </c>
      <c r="C1468" s="531" t="s">
        <v>7032</v>
      </c>
      <c r="D1468" s="531" t="s">
        <v>5716</v>
      </c>
      <c r="E1468" s="531" t="s">
        <v>5660</v>
      </c>
      <c r="F1468" s="228" t="s">
        <v>5700</v>
      </c>
    </row>
    <row r="1469">
      <c r="A1469" s="533" t="s">
        <v>4123</v>
      </c>
      <c r="B1469" s="531" t="s">
        <v>6105</v>
      </c>
      <c r="C1469" s="531" t="s">
        <v>7032</v>
      </c>
      <c r="D1469" s="531" t="s">
        <v>5716</v>
      </c>
      <c r="E1469" s="531" t="s">
        <v>5660</v>
      </c>
      <c r="F1469" s="228" t="s">
        <v>5700</v>
      </c>
    </row>
    <row r="1470">
      <c r="A1470" s="528" t="s">
        <v>4274</v>
      </c>
      <c r="B1470" s="531" t="s">
        <v>2709</v>
      </c>
      <c r="C1470" s="531" t="s">
        <v>6489</v>
      </c>
      <c r="D1470" s="531" t="s">
        <v>7256</v>
      </c>
      <c r="E1470" s="531" t="s">
        <v>5727</v>
      </c>
      <c r="F1470" s="228" t="s">
        <v>5700</v>
      </c>
    </row>
    <row r="1471">
      <c r="A1471" s="527" t="s">
        <v>4944</v>
      </c>
      <c r="B1471" s="531" t="s">
        <v>2724</v>
      </c>
      <c r="C1471" s="531" t="s">
        <v>7133</v>
      </c>
      <c r="D1471" s="531" t="s">
        <v>5716</v>
      </c>
      <c r="E1471" s="531" t="s">
        <v>5660</v>
      </c>
      <c r="F1471" s="228" t="s">
        <v>5700</v>
      </c>
    </row>
    <row r="1472">
      <c r="A1472" s="527" t="s">
        <v>4952</v>
      </c>
      <c r="B1472" s="531" t="s">
        <v>6110</v>
      </c>
      <c r="C1472" s="531" t="s">
        <v>6794</v>
      </c>
      <c r="D1472" s="531" t="s">
        <v>7256</v>
      </c>
      <c r="E1472" s="531" t="s">
        <v>5660</v>
      </c>
      <c r="F1472" s="228" t="s">
        <v>5700</v>
      </c>
    </row>
    <row r="1473">
      <c r="A1473" s="527" t="s">
        <v>4961</v>
      </c>
      <c r="B1473" s="531" t="s">
        <v>6105</v>
      </c>
      <c r="C1473" s="531" t="s">
        <v>5667</v>
      </c>
      <c r="D1473" s="531" t="s">
        <v>7256</v>
      </c>
      <c r="E1473" s="531" t="s">
        <v>5660</v>
      </c>
      <c r="F1473" s="228" t="s">
        <v>5700</v>
      </c>
    </row>
    <row r="1474">
      <c r="A1474" s="527" t="s">
        <v>4969</v>
      </c>
      <c r="B1474" s="531" t="s">
        <v>6116</v>
      </c>
      <c r="C1474" s="531" t="s">
        <v>7032</v>
      </c>
      <c r="D1474" s="531" t="s">
        <v>7256</v>
      </c>
      <c r="E1474" s="531" t="s">
        <v>5727</v>
      </c>
      <c r="F1474" s="228" t="s">
        <v>5700</v>
      </c>
    </row>
    <row r="1475">
      <c r="A1475" s="527" t="s">
        <v>4984</v>
      </c>
      <c r="B1475" s="531" t="s">
        <v>6109</v>
      </c>
      <c r="C1475" s="531" t="s">
        <v>6489</v>
      </c>
      <c r="D1475" s="531" t="s">
        <v>7922</v>
      </c>
      <c r="E1475" s="531" t="s">
        <v>5727</v>
      </c>
      <c r="F1475" s="228" t="s">
        <v>5700</v>
      </c>
    </row>
    <row r="1476">
      <c r="A1476" s="526" t="s">
        <v>5003</v>
      </c>
      <c r="B1476" s="531" t="s">
        <v>6488</v>
      </c>
      <c r="C1476" s="531" t="s">
        <v>7007</v>
      </c>
      <c r="D1476" s="531" t="s">
        <v>6044</v>
      </c>
      <c r="E1476" s="531" t="s">
        <v>5727</v>
      </c>
      <c r="F1476" s="228" t="s">
        <v>5700</v>
      </c>
    </row>
    <row r="1477">
      <c r="A1477" s="526" t="s">
        <v>5020</v>
      </c>
      <c r="B1477" s="534" t="s">
        <v>5699</v>
      </c>
      <c r="C1477" s="531" t="s">
        <v>7032</v>
      </c>
      <c r="D1477" s="531" t="s">
        <v>6044</v>
      </c>
      <c r="E1477" s="531" t="s">
        <v>5727</v>
      </c>
      <c r="F1477" s="228" t="s">
        <v>5700</v>
      </c>
    </row>
    <row r="1478">
      <c r="A1478" s="533" t="s">
        <v>5042</v>
      </c>
      <c r="B1478" s="531" t="s">
        <v>6488</v>
      </c>
      <c r="C1478" s="531" t="s">
        <v>6794</v>
      </c>
      <c r="D1478" s="531" t="s">
        <v>5692</v>
      </c>
      <c r="E1478" s="531" t="s">
        <v>5727</v>
      </c>
      <c r="F1478" s="228" t="s">
        <v>5700</v>
      </c>
    </row>
    <row r="1479">
      <c r="A1479" s="526" t="s">
        <v>596</v>
      </c>
      <c r="B1479" s="531" t="s">
        <v>2724</v>
      </c>
      <c r="C1479" s="531" t="s">
        <v>7007</v>
      </c>
      <c r="D1479" s="531" t="s">
        <v>7921</v>
      </c>
      <c r="E1479" s="531" t="s">
        <v>5727</v>
      </c>
      <c r="F1479" s="228" t="s">
        <v>5700</v>
      </c>
    </row>
    <row r="1480">
      <c r="A1480" s="526" t="s">
        <v>1338</v>
      </c>
      <c r="B1480" s="531" t="s">
        <v>6105</v>
      </c>
      <c r="C1480" s="531" t="s">
        <v>7007</v>
      </c>
      <c r="D1480" s="531" t="s">
        <v>7921</v>
      </c>
      <c r="E1480" s="531" t="s">
        <v>5727</v>
      </c>
      <c r="F1480" s="497" t="s">
        <v>7923</v>
      </c>
      <c r="G1480" s="498">
        <v>2.0</v>
      </c>
      <c r="H1480" s="497" t="s">
        <v>5728</v>
      </c>
      <c r="I1480" s="497" t="s">
        <v>2740</v>
      </c>
      <c r="J1480" s="497" t="s">
        <v>6589</v>
      </c>
      <c r="K1480" s="497" t="s">
        <v>5750</v>
      </c>
      <c r="L1480" s="498">
        <v>6.0</v>
      </c>
      <c r="M1480" s="497" t="s">
        <v>5712</v>
      </c>
      <c r="N1480" s="497" t="s">
        <v>7924</v>
      </c>
      <c r="O1480" s="498">
        <v>270.0</v>
      </c>
      <c r="P1480" s="497" t="s">
        <v>7925</v>
      </c>
      <c r="Q1480" s="557"/>
      <c r="R1480" s="557"/>
      <c r="S1480" s="557"/>
      <c r="T1480" s="557"/>
      <c r="U1480" s="557"/>
      <c r="V1480" s="557"/>
      <c r="W1480" s="557"/>
      <c r="X1480" s="557"/>
      <c r="Y1480" s="557"/>
      <c r="Z1480" s="557"/>
      <c r="AA1480" s="557"/>
      <c r="AB1480" s="557"/>
      <c r="AC1480" s="557"/>
      <c r="AD1480" s="557"/>
      <c r="AE1480" s="497"/>
    </row>
    <row r="1481">
      <c r="A1481" s="526" t="s">
        <v>3204</v>
      </c>
      <c r="B1481" s="531" t="s">
        <v>2709</v>
      </c>
      <c r="C1481" s="531" t="s">
        <v>5671</v>
      </c>
      <c r="D1481" s="531" t="s">
        <v>7921</v>
      </c>
      <c r="E1481" s="531" t="s">
        <v>5727</v>
      </c>
      <c r="F1481" s="228" t="s">
        <v>5700</v>
      </c>
    </row>
    <row r="1482">
      <c r="A1482" s="526" t="s">
        <v>5068</v>
      </c>
      <c r="B1482" s="534" t="s">
        <v>5699</v>
      </c>
      <c r="C1482" s="531" t="s">
        <v>7007</v>
      </c>
      <c r="D1482" s="531" t="s">
        <v>5716</v>
      </c>
      <c r="E1482" s="531" t="s">
        <v>5727</v>
      </c>
      <c r="F1482" s="497" t="s">
        <v>7926</v>
      </c>
      <c r="G1482" s="498">
        <v>2.0</v>
      </c>
      <c r="H1482" s="497" t="s">
        <v>5728</v>
      </c>
      <c r="I1482" s="497" t="s">
        <v>2702</v>
      </c>
      <c r="J1482" s="497" t="s">
        <v>7341</v>
      </c>
      <c r="K1482" s="497" t="s">
        <v>5750</v>
      </c>
      <c r="L1482" s="498">
        <v>7.0</v>
      </c>
      <c r="M1482" s="497" t="s">
        <v>5839</v>
      </c>
      <c r="N1482" s="497" t="s">
        <v>7927</v>
      </c>
      <c r="O1482" s="498">
        <v>217.0</v>
      </c>
      <c r="P1482" s="497" t="s">
        <v>7928</v>
      </c>
      <c r="Q1482" s="556"/>
      <c r="R1482" s="557"/>
      <c r="S1482" s="557"/>
      <c r="T1482" s="557"/>
      <c r="U1482" s="557"/>
      <c r="V1482" s="557"/>
      <c r="W1482" s="557"/>
      <c r="X1482" s="557"/>
      <c r="Y1482" s="557"/>
      <c r="Z1482" s="557"/>
      <c r="AA1482" s="557"/>
      <c r="AB1482" s="557"/>
      <c r="AC1482" s="557"/>
      <c r="AD1482" s="557"/>
      <c r="AE1482" s="497"/>
    </row>
    <row r="1483">
      <c r="A1483" s="526" t="s">
        <v>5083</v>
      </c>
      <c r="B1483" s="531" t="s">
        <v>6110</v>
      </c>
      <c r="C1483" s="531" t="s">
        <v>5671</v>
      </c>
      <c r="D1483" s="531" t="s">
        <v>5716</v>
      </c>
      <c r="E1483" s="531" t="s">
        <v>5727</v>
      </c>
      <c r="F1483" s="497" t="s">
        <v>7929</v>
      </c>
      <c r="G1483" s="498">
        <v>2.0</v>
      </c>
      <c r="H1483" s="497" t="s">
        <v>5728</v>
      </c>
      <c r="I1483" s="497" t="s">
        <v>2698</v>
      </c>
      <c r="J1483" s="497" t="s">
        <v>6135</v>
      </c>
      <c r="K1483" s="497" t="s">
        <v>5729</v>
      </c>
      <c r="L1483" s="498">
        <v>7.0</v>
      </c>
      <c r="M1483" s="497" t="s">
        <v>5790</v>
      </c>
      <c r="N1483" s="497" t="s">
        <v>7930</v>
      </c>
      <c r="O1483" s="498">
        <v>204.0</v>
      </c>
      <c r="P1483" s="497" t="s">
        <v>7931</v>
      </c>
      <c r="Q1483" s="556"/>
      <c r="R1483" s="557"/>
      <c r="S1483" s="557"/>
      <c r="T1483" s="557"/>
      <c r="U1483" s="557"/>
      <c r="V1483" s="557"/>
      <c r="W1483" s="557"/>
      <c r="X1483" s="557"/>
      <c r="Y1483" s="557"/>
      <c r="Z1483" s="557"/>
      <c r="AA1483" s="557"/>
      <c r="AB1483" s="557"/>
      <c r="AC1483" s="557"/>
      <c r="AD1483" s="557"/>
      <c r="AE1483" s="497"/>
    </row>
    <row r="1484">
      <c r="A1484" s="526" t="s">
        <v>5087</v>
      </c>
      <c r="B1484" s="534" t="s">
        <v>5699</v>
      </c>
      <c r="C1484" s="531" t="s">
        <v>6489</v>
      </c>
      <c r="D1484" s="531" t="s">
        <v>7256</v>
      </c>
      <c r="E1484" s="531" t="s">
        <v>5727</v>
      </c>
      <c r="F1484" s="497" t="s">
        <v>7932</v>
      </c>
      <c r="G1484" s="498">
        <v>2.0</v>
      </c>
      <c r="H1484" s="497" t="s">
        <v>5728</v>
      </c>
      <c r="I1484" s="497" t="s">
        <v>2702</v>
      </c>
      <c r="J1484" s="497" t="s">
        <v>6469</v>
      </c>
      <c r="K1484" s="497" t="s">
        <v>5754</v>
      </c>
      <c r="L1484" s="498">
        <v>8.0</v>
      </c>
      <c r="M1484" s="497" t="s">
        <v>6463</v>
      </c>
      <c r="N1484" s="497" t="s">
        <v>7933</v>
      </c>
      <c r="O1484" s="498">
        <v>299.0</v>
      </c>
      <c r="P1484" s="497" t="s">
        <v>7934</v>
      </c>
      <c r="Q1484" s="556"/>
      <c r="R1484" s="557"/>
      <c r="S1484" s="557"/>
      <c r="T1484" s="557"/>
      <c r="U1484" s="557"/>
      <c r="V1484" s="557"/>
      <c r="W1484" s="557"/>
      <c r="X1484" s="557"/>
      <c r="Y1484" s="557"/>
      <c r="Z1484" s="557"/>
      <c r="AA1484" s="557"/>
      <c r="AB1484" s="557"/>
      <c r="AC1484" s="557"/>
      <c r="AD1484" s="557"/>
      <c r="AE1484" s="497"/>
    </row>
    <row r="1485">
      <c r="A1485" s="526" t="s">
        <v>5182</v>
      </c>
      <c r="B1485" s="531" t="s">
        <v>6110</v>
      </c>
      <c r="C1485" s="531" t="s">
        <v>7133</v>
      </c>
      <c r="D1485" s="531" t="s">
        <v>6044</v>
      </c>
      <c r="E1485" s="531" t="s">
        <v>6241</v>
      </c>
    </row>
    <row r="1486">
      <c r="A1486" s="527" t="s">
        <v>71</v>
      </c>
      <c r="B1486" s="531" t="s">
        <v>6116</v>
      </c>
      <c r="C1486" s="531" t="s">
        <v>7032</v>
      </c>
      <c r="D1486" s="531" t="s">
        <v>7031</v>
      </c>
      <c r="E1486" s="531" t="s">
        <v>6241</v>
      </c>
    </row>
    <row r="1487">
      <c r="A1487" s="527" t="s">
        <v>5301</v>
      </c>
      <c r="B1487" s="531" t="s">
        <v>2709</v>
      </c>
      <c r="C1487" s="531" t="s">
        <v>7007</v>
      </c>
      <c r="D1487" s="531" t="s">
        <v>6717</v>
      </c>
      <c r="E1487" s="531" t="s">
        <v>6241</v>
      </c>
    </row>
    <row r="1488">
      <c r="A1488" s="438" t="s">
        <v>5248</v>
      </c>
      <c r="B1488" s="228" t="s">
        <v>6532</v>
      </c>
      <c r="C1488" s="228" t="s">
        <v>5681</v>
      </c>
      <c r="D1488" s="228" t="s">
        <v>5716</v>
      </c>
      <c r="E1488" s="228" t="s">
        <v>6241</v>
      </c>
      <c r="F1488" s="497" t="s">
        <v>7935</v>
      </c>
      <c r="G1488" s="498">
        <v>2.0</v>
      </c>
      <c r="H1488" s="497" t="s">
        <v>6243</v>
      </c>
      <c r="I1488" s="497" t="s">
        <v>2740</v>
      </c>
      <c r="J1488" s="497" t="s">
        <v>5969</v>
      </c>
      <c r="K1488" s="497" t="s">
        <v>5750</v>
      </c>
      <c r="L1488" s="498">
        <v>7.0</v>
      </c>
      <c r="M1488" s="497" t="s">
        <v>5712</v>
      </c>
      <c r="N1488" s="497" t="s">
        <v>7936</v>
      </c>
      <c r="O1488" s="498">
        <v>476.0</v>
      </c>
      <c r="P1488" s="497" t="s">
        <v>7937</v>
      </c>
      <c r="Q1488" s="557"/>
      <c r="R1488" s="557"/>
      <c r="S1488" s="557"/>
      <c r="T1488" s="557"/>
      <c r="U1488" s="557"/>
      <c r="V1488" s="557"/>
      <c r="W1488" s="557"/>
      <c r="X1488" s="557"/>
      <c r="Y1488" s="557"/>
      <c r="Z1488" s="557"/>
      <c r="AA1488" s="557"/>
      <c r="AB1488" s="557"/>
      <c r="AC1488" s="557"/>
      <c r="AD1488" s="557"/>
      <c r="AE1488" s="497"/>
    </row>
    <row r="1489">
      <c r="A1489" s="524" t="s">
        <v>5229</v>
      </c>
      <c r="B1489" s="228" t="s">
        <v>6116</v>
      </c>
      <c r="C1489" s="228" t="s">
        <v>7133</v>
      </c>
      <c r="D1489" s="228" t="s">
        <v>5692</v>
      </c>
      <c r="E1489" s="228" t="s">
        <v>6241</v>
      </c>
      <c r="F1489" s="228" t="s">
        <v>5700</v>
      </c>
    </row>
    <row r="1490">
      <c r="A1490" s="438" t="s">
        <v>4147</v>
      </c>
      <c r="B1490" s="228" t="s">
        <v>2704</v>
      </c>
      <c r="C1490" s="228" t="s">
        <v>5657</v>
      </c>
      <c r="D1490" s="228" t="s">
        <v>5658</v>
      </c>
      <c r="E1490" s="228" t="s">
        <v>5727</v>
      </c>
      <c r="F1490" s="228" t="s">
        <v>5700</v>
      </c>
    </row>
    <row r="1491">
      <c r="A1491" s="559"/>
    </row>
    <row r="1492">
      <c r="A1492" s="559"/>
    </row>
    <row r="1493">
      <c r="A1493" s="559"/>
    </row>
    <row r="1494">
      <c r="A1494" s="559"/>
    </row>
    <row r="1495">
      <c r="A1495" s="559"/>
    </row>
    <row r="1496">
      <c r="A1496" s="559"/>
    </row>
    <row r="1497">
      <c r="A1497" s="559"/>
    </row>
    <row r="1498">
      <c r="A1498" s="559"/>
    </row>
    <row r="1499">
      <c r="A1499" s="559"/>
    </row>
    <row r="1500">
      <c r="A1500" s="559"/>
    </row>
    <row r="1501">
      <c r="A1501" s="559"/>
    </row>
    <row r="1502">
      <c r="A1502" s="559"/>
    </row>
    <row r="1503">
      <c r="A1503" s="559"/>
    </row>
    <row r="1504">
      <c r="A1504" s="559"/>
    </row>
    <row r="1505">
      <c r="A1505" s="559"/>
    </row>
    <row r="1506">
      <c r="A1506" s="559"/>
    </row>
    <row r="1507">
      <c r="A1507" s="559"/>
    </row>
    <row r="1508">
      <c r="A1508" s="559"/>
    </row>
    <row r="1509">
      <c r="A1509" s="559"/>
    </row>
    <row r="1510">
      <c r="A1510" s="559"/>
    </row>
    <row r="1511">
      <c r="A1511" s="559"/>
    </row>
    <row r="1512">
      <c r="A1512" s="559"/>
    </row>
    <row r="1513">
      <c r="A1513" s="559"/>
    </row>
    <row r="1514">
      <c r="A1514" s="559"/>
    </row>
    <row r="1515">
      <c r="A1515" s="559"/>
    </row>
    <row r="1516">
      <c r="A1516" s="559"/>
    </row>
    <row r="1517">
      <c r="A1517" s="559"/>
    </row>
    <row r="1518">
      <c r="A1518" s="559"/>
    </row>
    <row r="1519">
      <c r="A1519" s="559"/>
    </row>
    <row r="1520">
      <c r="A1520" s="559"/>
    </row>
    <row r="1521">
      <c r="A1521" s="559"/>
    </row>
    <row r="1522">
      <c r="A1522" s="559"/>
    </row>
    <row r="1523">
      <c r="A1523" s="559"/>
    </row>
    <row r="1524">
      <c r="A1524" s="559"/>
    </row>
    <row r="1525">
      <c r="A1525" s="559"/>
    </row>
    <row r="1526">
      <c r="A1526" s="559"/>
    </row>
    <row r="1527">
      <c r="A1527" s="559"/>
    </row>
    <row r="1528">
      <c r="A1528" s="559"/>
    </row>
    <row r="1529">
      <c r="A1529" s="559"/>
    </row>
    <row r="1530">
      <c r="A1530" s="559"/>
    </row>
    <row r="1531">
      <c r="A1531" s="559"/>
    </row>
    <row r="1532">
      <c r="A1532" s="559"/>
    </row>
    <row r="1533">
      <c r="A1533" s="559"/>
    </row>
    <row r="1534">
      <c r="A1534" s="559"/>
    </row>
    <row r="1535">
      <c r="A1535" s="559"/>
    </row>
    <row r="1536">
      <c r="A1536" s="559"/>
    </row>
    <row r="1537">
      <c r="A1537" s="559"/>
    </row>
    <row r="1538">
      <c r="A1538" s="559"/>
    </row>
    <row r="1539">
      <c r="A1539" s="559"/>
    </row>
    <row r="1540">
      <c r="A1540" s="559"/>
    </row>
    <row r="1541">
      <c r="A1541" s="559"/>
    </row>
    <row r="1542">
      <c r="A1542" s="559"/>
    </row>
    <row r="1543">
      <c r="A1543" s="559"/>
    </row>
    <row r="1544">
      <c r="A1544" s="559"/>
    </row>
    <row r="1545">
      <c r="A1545" s="559"/>
    </row>
    <row r="1546">
      <c r="A1546" s="559"/>
    </row>
    <row r="1547">
      <c r="A1547" s="559"/>
    </row>
    <row r="1548">
      <c r="A1548" s="559"/>
    </row>
    <row r="1549">
      <c r="A1549" s="559"/>
    </row>
    <row r="1550">
      <c r="A1550" s="559"/>
    </row>
    <row r="1551">
      <c r="A1551" s="559"/>
    </row>
    <row r="1552">
      <c r="A1552" s="559"/>
    </row>
    <row r="1553">
      <c r="A1553" s="559"/>
    </row>
    <row r="1554">
      <c r="A1554" s="559"/>
    </row>
    <row r="1555">
      <c r="A1555" s="559"/>
    </row>
    <row r="1556">
      <c r="A1556" s="559"/>
    </row>
    <row r="1557">
      <c r="A1557" s="559"/>
    </row>
    <row r="1558">
      <c r="A1558" s="559"/>
    </row>
    <row r="1559">
      <c r="A1559" s="559"/>
    </row>
    <row r="1560">
      <c r="A1560" s="559"/>
    </row>
    <row r="1561">
      <c r="A1561" s="559"/>
    </row>
    <row r="1562">
      <c r="A1562" s="559"/>
    </row>
    <row r="1563">
      <c r="A1563" s="559"/>
    </row>
    <row r="1564">
      <c r="A1564" s="559"/>
    </row>
    <row r="1565">
      <c r="A1565" s="559"/>
    </row>
    <row r="1566">
      <c r="A1566" s="559"/>
    </row>
    <row r="1567">
      <c r="A1567" s="559"/>
    </row>
    <row r="1568">
      <c r="A1568" s="559"/>
    </row>
    <row r="1569">
      <c r="A1569" s="559"/>
    </row>
    <row r="1570">
      <c r="A1570" s="559"/>
    </row>
    <row r="1571">
      <c r="A1571" s="559"/>
    </row>
    <row r="1572">
      <c r="A1572" s="559"/>
    </row>
    <row r="1573">
      <c r="A1573" s="559"/>
    </row>
    <row r="1574">
      <c r="A1574" s="559"/>
    </row>
    <row r="1575">
      <c r="A1575" s="559"/>
    </row>
    <row r="1576">
      <c r="A1576" s="559"/>
    </row>
    <row r="1577">
      <c r="A1577" s="559"/>
    </row>
    <row r="1578">
      <c r="A1578" s="559"/>
    </row>
    <row r="1579">
      <c r="A1579" s="559"/>
    </row>
    <row r="1580">
      <c r="A1580" s="559"/>
    </row>
    <row r="1581">
      <c r="A1581" s="559"/>
    </row>
    <row r="1582">
      <c r="A1582" s="559"/>
    </row>
    <row r="1583">
      <c r="A1583" s="559"/>
    </row>
    <row r="1584">
      <c r="A1584" s="559"/>
    </row>
    <row r="1585">
      <c r="A1585" s="559"/>
    </row>
    <row r="1586">
      <c r="A1586" s="559"/>
    </row>
    <row r="1587">
      <c r="A1587" s="559"/>
    </row>
    <row r="1588">
      <c r="A1588" s="559"/>
    </row>
    <row r="1589">
      <c r="A1589" s="559"/>
    </row>
    <row r="1590">
      <c r="A1590" s="559"/>
    </row>
    <row r="1591">
      <c r="A1591" s="559"/>
    </row>
    <row r="1592">
      <c r="A1592" s="559"/>
    </row>
    <row r="1593">
      <c r="A1593" s="559"/>
    </row>
    <row r="1594">
      <c r="A1594" s="559"/>
    </row>
    <row r="1595">
      <c r="A1595" s="559"/>
    </row>
    <row r="1596">
      <c r="A1596" s="559"/>
    </row>
    <row r="1597">
      <c r="A1597" s="559"/>
    </row>
    <row r="1598">
      <c r="A1598" s="559"/>
    </row>
    <row r="1599">
      <c r="A1599" s="559"/>
    </row>
    <row r="1600">
      <c r="A1600" s="559"/>
    </row>
    <row r="1601">
      <c r="A1601" s="559"/>
    </row>
    <row r="1602">
      <c r="A1602" s="559"/>
    </row>
    <row r="1603">
      <c r="A1603" s="559"/>
    </row>
    <row r="1604">
      <c r="A1604" s="559"/>
    </row>
    <row r="1605">
      <c r="A1605" s="559"/>
    </row>
    <row r="1606">
      <c r="A1606" s="559"/>
    </row>
    <row r="1607">
      <c r="A1607" s="559"/>
    </row>
    <row r="1608">
      <c r="A1608" s="559"/>
    </row>
    <row r="1609">
      <c r="A1609" s="559"/>
    </row>
    <row r="1610">
      <c r="A1610" s="559"/>
    </row>
    <row r="1611">
      <c r="A1611" s="559"/>
    </row>
    <row r="1612">
      <c r="A1612" s="559"/>
    </row>
    <row r="1613">
      <c r="A1613" s="559"/>
    </row>
    <row r="1614">
      <c r="A1614" s="559"/>
    </row>
    <row r="1615">
      <c r="A1615" s="559"/>
    </row>
    <row r="1616">
      <c r="A1616" s="559"/>
    </row>
    <row r="1617">
      <c r="A1617" s="559"/>
    </row>
    <row r="1618">
      <c r="A1618" s="559"/>
    </row>
    <row r="1619">
      <c r="A1619" s="559"/>
    </row>
    <row r="1620">
      <c r="A1620" s="559"/>
    </row>
    <row r="1621">
      <c r="A1621" s="559"/>
    </row>
    <row r="1622">
      <c r="A1622" s="559"/>
    </row>
    <row r="1623">
      <c r="A1623" s="559"/>
    </row>
    <row r="1624">
      <c r="A1624" s="559"/>
    </row>
    <row r="1625">
      <c r="A1625" s="559"/>
    </row>
    <row r="1626">
      <c r="A1626" s="559"/>
    </row>
    <row r="1627">
      <c r="A1627" s="559"/>
    </row>
    <row r="1628">
      <c r="A1628" s="559"/>
    </row>
    <row r="1629">
      <c r="A1629" s="559"/>
    </row>
    <row r="1630">
      <c r="A1630" s="559"/>
    </row>
    <row r="1631">
      <c r="A1631" s="559"/>
    </row>
    <row r="1632">
      <c r="A1632" s="559"/>
    </row>
    <row r="1633">
      <c r="A1633" s="559"/>
    </row>
    <row r="1634">
      <c r="A1634" s="559"/>
    </row>
    <row r="1635">
      <c r="A1635" s="559"/>
    </row>
    <row r="1636">
      <c r="A1636" s="559"/>
    </row>
    <row r="1637">
      <c r="A1637" s="559"/>
    </row>
    <row r="1638">
      <c r="A1638" s="559"/>
    </row>
    <row r="1639">
      <c r="A1639" s="559"/>
    </row>
    <row r="1640">
      <c r="A1640" s="559"/>
    </row>
    <row r="1641">
      <c r="A1641" s="559"/>
    </row>
    <row r="1642">
      <c r="A1642" s="559"/>
    </row>
    <row r="1643">
      <c r="A1643" s="559"/>
    </row>
    <row r="1644">
      <c r="A1644" s="559"/>
    </row>
    <row r="1645">
      <c r="A1645" s="559"/>
    </row>
    <row r="1646">
      <c r="A1646" s="559"/>
    </row>
    <row r="1647">
      <c r="A1647" s="559"/>
    </row>
    <row r="1648">
      <c r="A1648" s="559"/>
    </row>
    <row r="1649">
      <c r="A1649" s="559"/>
    </row>
    <row r="1650">
      <c r="A1650" s="559"/>
    </row>
    <row r="1651">
      <c r="A1651" s="559"/>
    </row>
    <row r="1652">
      <c r="A1652" s="559"/>
    </row>
    <row r="1653">
      <c r="A1653" s="559"/>
    </row>
    <row r="1654">
      <c r="A1654" s="559"/>
    </row>
    <row r="1655">
      <c r="A1655" s="559"/>
    </row>
    <row r="1656">
      <c r="A1656" s="559"/>
    </row>
    <row r="1657">
      <c r="A1657" s="559"/>
    </row>
    <row r="1658">
      <c r="A1658" s="559"/>
    </row>
    <row r="1659">
      <c r="A1659" s="559"/>
    </row>
    <row r="1660">
      <c r="A1660" s="559"/>
    </row>
    <row r="1661">
      <c r="A1661" s="559"/>
    </row>
    <row r="1662">
      <c r="A1662" s="559"/>
    </row>
    <row r="1663">
      <c r="A1663" s="559"/>
    </row>
    <row r="1664">
      <c r="A1664" s="559"/>
    </row>
    <row r="1665">
      <c r="A1665" s="559"/>
    </row>
    <row r="1666">
      <c r="A1666" s="559"/>
    </row>
    <row r="1667">
      <c r="A1667" s="559"/>
    </row>
    <row r="1668">
      <c r="A1668" s="559"/>
    </row>
    <row r="1669">
      <c r="A1669" s="559"/>
    </row>
    <row r="1670">
      <c r="A1670" s="559"/>
    </row>
    <row r="1671">
      <c r="A1671" s="559"/>
    </row>
    <row r="1672">
      <c r="A1672" s="559"/>
    </row>
    <row r="1673">
      <c r="A1673" s="559"/>
    </row>
    <row r="1674">
      <c r="A1674" s="559"/>
    </row>
    <row r="1675">
      <c r="A1675" s="559"/>
    </row>
    <row r="1676">
      <c r="A1676" s="559"/>
    </row>
    <row r="1677">
      <c r="A1677" s="559"/>
    </row>
    <row r="1678">
      <c r="A1678" s="559"/>
    </row>
    <row r="1679">
      <c r="A1679" s="559"/>
    </row>
    <row r="1680">
      <c r="A1680" s="559"/>
    </row>
    <row r="1681">
      <c r="A1681" s="559"/>
    </row>
    <row r="1682">
      <c r="A1682" s="559"/>
    </row>
    <row r="1683">
      <c r="A1683" s="559"/>
    </row>
    <row r="1684">
      <c r="A1684" s="559"/>
    </row>
    <row r="1685">
      <c r="A1685" s="559"/>
    </row>
    <row r="1686">
      <c r="A1686" s="559"/>
    </row>
    <row r="1687">
      <c r="A1687" s="559"/>
    </row>
    <row r="1688">
      <c r="A1688" s="559"/>
    </row>
    <row r="1689">
      <c r="A1689" s="559"/>
    </row>
    <row r="1690">
      <c r="A1690" s="559"/>
    </row>
    <row r="1691">
      <c r="A1691" s="559"/>
    </row>
    <row r="1692">
      <c r="A1692" s="559"/>
    </row>
    <row r="1693">
      <c r="A1693" s="559"/>
    </row>
    <row r="1694">
      <c r="A1694" s="559"/>
    </row>
    <row r="1695">
      <c r="A1695" s="559"/>
    </row>
    <row r="1696">
      <c r="A1696" s="559"/>
    </row>
    <row r="1697">
      <c r="A1697" s="559"/>
    </row>
    <row r="1698">
      <c r="A1698" s="559"/>
    </row>
    <row r="1699">
      <c r="A1699" s="559"/>
    </row>
    <row r="1700">
      <c r="A1700" s="559"/>
    </row>
    <row r="1701">
      <c r="A1701" s="559"/>
    </row>
    <row r="1702">
      <c r="A1702" s="559"/>
    </row>
    <row r="1703">
      <c r="A1703" s="559"/>
    </row>
    <row r="1704">
      <c r="A1704" s="559"/>
    </row>
    <row r="1705">
      <c r="A1705" s="559"/>
    </row>
    <row r="1706">
      <c r="A1706" s="559"/>
    </row>
    <row r="1707">
      <c r="A1707" s="559"/>
    </row>
    <row r="1708">
      <c r="A1708" s="559"/>
    </row>
    <row r="1709">
      <c r="A1709" s="559"/>
    </row>
    <row r="1710">
      <c r="A1710" s="559"/>
    </row>
    <row r="1711">
      <c r="A1711" s="559"/>
    </row>
    <row r="1712">
      <c r="A1712" s="559"/>
    </row>
    <row r="1713">
      <c r="A1713" s="559"/>
    </row>
    <row r="1714">
      <c r="A1714" s="559"/>
    </row>
    <row r="1715">
      <c r="A1715" s="559"/>
    </row>
    <row r="1716">
      <c r="A1716" s="559"/>
    </row>
    <row r="1717">
      <c r="A1717" s="559"/>
    </row>
    <row r="1718">
      <c r="A1718" s="559"/>
    </row>
    <row r="1719">
      <c r="A1719" s="559"/>
    </row>
    <row r="1720">
      <c r="A1720" s="559"/>
    </row>
    <row r="1721">
      <c r="A1721" s="559"/>
    </row>
    <row r="1722">
      <c r="A1722" s="559"/>
    </row>
    <row r="1723">
      <c r="A1723" s="559"/>
    </row>
    <row r="1724">
      <c r="A1724" s="559"/>
    </row>
    <row r="1725">
      <c r="A1725" s="559"/>
    </row>
    <row r="1726">
      <c r="A1726" s="559"/>
    </row>
    <row r="1727">
      <c r="A1727" s="559"/>
    </row>
    <row r="1728">
      <c r="A1728" s="559"/>
    </row>
    <row r="1729">
      <c r="A1729" s="559"/>
    </row>
    <row r="1730">
      <c r="A1730" s="559"/>
    </row>
    <row r="1731">
      <c r="A1731" s="559"/>
    </row>
    <row r="1732">
      <c r="A1732" s="559"/>
    </row>
    <row r="1733">
      <c r="A1733" s="559"/>
    </row>
    <row r="1734">
      <c r="A1734" s="559"/>
    </row>
    <row r="1735">
      <c r="A1735" s="559"/>
    </row>
    <row r="1736">
      <c r="A1736" s="559"/>
    </row>
    <row r="1737">
      <c r="A1737" s="559"/>
    </row>
    <row r="1738">
      <c r="A1738" s="559"/>
    </row>
    <row r="1739">
      <c r="A1739" s="559"/>
    </row>
    <row r="1740">
      <c r="A1740" s="559"/>
    </row>
    <row r="1741">
      <c r="A1741" s="559"/>
    </row>
    <row r="1742">
      <c r="A1742" s="559"/>
    </row>
    <row r="1743">
      <c r="A1743" s="559"/>
    </row>
    <row r="1744">
      <c r="A1744" s="559"/>
    </row>
    <row r="1745">
      <c r="A1745" s="559"/>
    </row>
    <row r="1746">
      <c r="A1746" s="559"/>
    </row>
    <row r="1747">
      <c r="A1747" s="559"/>
    </row>
    <row r="1748">
      <c r="A1748" s="559"/>
    </row>
    <row r="1749">
      <c r="A1749" s="559"/>
    </row>
    <row r="1750">
      <c r="A1750" s="559"/>
    </row>
    <row r="1751">
      <c r="A1751" s="559"/>
    </row>
    <row r="1752">
      <c r="A1752" s="559"/>
    </row>
    <row r="1753">
      <c r="A1753" s="559"/>
    </row>
    <row r="1754">
      <c r="A1754" s="559"/>
    </row>
    <row r="1755">
      <c r="A1755" s="559"/>
    </row>
    <row r="1756">
      <c r="A1756" s="559"/>
    </row>
    <row r="1757">
      <c r="A1757" s="559"/>
    </row>
    <row r="1758">
      <c r="A1758" s="559"/>
    </row>
    <row r="1759">
      <c r="A1759" s="559"/>
    </row>
    <row r="1760">
      <c r="A1760" s="559"/>
    </row>
    <row r="1761">
      <c r="A1761" s="559"/>
    </row>
    <row r="1762">
      <c r="A1762" s="559"/>
    </row>
    <row r="1763">
      <c r="A1763" s="559"/>
    </row>
    <row r="1764">
      <c r="A1764" s="559"/>
    </row>
    <row r="1765">
      <c r="A1765" s="559"/>
    </row>
    <row r="1766">
      <c r="A1766" s="559"/>
    </row>
    <row r="1767">
      <c r="A1767" s="559"/>
    </row>
    <row r="1768">
      <c r="A1768" s="559"/>
    </row>
    <row r="1769">
      <c r="A1769" s="559"/>
    </row>
    <row r="1770">
      <c r="A1770" s="559"/>
    </row>
    <row r="1771">
      <c r="A1771" s="559"/>
    </row>
    <row r="1772">
      <c r="A1772" s="559"/>
    </row>
    <row r="1773">
      <c r="A1773" s="559"/>
    </row>
    <row r="1774">
      <c r="A1774" s="559"/>
    </row>
    <row r="1775">
      <c r="A1775" s="559"/>
    </row>
    <row r="1776">
      <c r="A1776" s="559"/>
    </row>
    <row r="1777">
      <c r="A1777" s="559"/>
    </row>
    <row r="1778">
      <c r="A1778" s="559"/>
    </row>
    <row r="1779">
      <c r="A1779" s="559"/>
    </row>
    <row r="1780">
      <c r="A1780" s="559"/>
    </row>
    <row r="1781">
      <c r="A1781" s="559"/>
    </row>
    <row r="1782">
      <c r="A1782" s="559"/>
    </row>
    <row r="1783">
      <c r="A1783" s="559"/>
    </row>
    <row r="1784">
      <c r="A1784" s="559"/>
    </row>
    <row r="1785">
      <c r="A1785" s="559"/>
    </row>
    <row r="1786">
      <c r="A1786" s="559"/>
    </row>
    <row r="1787">
      <c r="A1787" s="559"/>
    </row>
    <row r="1788">
      <c r="A1788" s="559"/>
    </row>
    <row r="1789">
      <c r="A1789" s="559"/>
    </row>
    <row r="1790">
      <c r="A1790" s="559"/>
    </row>
    <row r="1791">
      <c r="A1791" s="559"/>
    </row>
    <row r="1792">
      <c r="A1792" s="559"/>
    </row>
    <row r="1793">
      <c r="A1793" s="559"/>
    </row>
    <row r="1794">
      <c r="A1794" s="559"/>
    </row>
    <row r="1795">
      <c r="A1795" s="559"/>
    </row>
    <row r="1796">
      <c r="A1796" s="559"/>
    </row>
    <row r="1797">
      <c r="A1797" s="559"/>
    </row>
    <row r="1798">
      <c r="A1798" s="559"/>
    </row>
    <row r="1799">
      <c r="A1799" s="559"/>
    </row>
    <row r="1800">
      <c r="A1800" s="559"/>
    </row>
    <row r="1801">
      <c r="A1801" s="559"/>
    </row>
    <row r="1802">
      <c r="A1802" s="559"/>
    </row>
    <row r="1803">
      <c r="A1803" s="559"/>
    </row>
    <row r="1804">
      <c r="A1804" s="559"/>
    </row>
    <row r="1805">
      <c r="A1805" s="559"/>
    </row>
    <row r="1806">
      <c r="A1806" s="559"/>
    </row>
    <row r="1807">
      <c r="A1807" s="559"/>
    </row>
    <row r="1808">
      <c r="A1808" s="559"/>
    </row>
    <row r="1809">
      <c r="A1809" s="559"/>
    </row>
    <row r="1810">
      <c r="A1810" s="559"/>
    </row>
    <row r="1811">
      <c r="A1811" s="559"/>
    </row>
    <row r="1812">
      <c r="A1812" s="559"/>
    </row>
    <row r="1813">
      <c r="A1813" s="559"/>
    </row>
    <row r="1814">
      <c r="A1814" s="559"/>
    </row>
    <row r="1815">
      <c r="A1815" s="559"/>
    </row>
    <row r="1816">
      <c r="A1816" s="559"/>
    </row>
    <row r="1817">
      <c r="A1817" s="559"/>
    </row>
    <row r="1818">
      <c r="A1818" s="559"/>
    </row>
    <row r="1819">
      <c r="A1819" s="559"/>
    </row>
    <row r="1820">
      <c r="A1820" s="559"/>
    </row>
    <row r="1821">
      <c r="A1821" s="559"/>
    </row>
    <row r="1822">
      <c r="A1822" s="559"/>
    </row>
    <row r="1823">
      <c r="A1823" s="559"/>
    </row>
    <row r="1824">
      <c r="A1824" s="559"/>
    </row>
    <row r="1825">
      <c r="A1825" s="559"/>
    </row>
    <row r="1826">
      <c r="A1826" s="559"/>
    </row>
    <row r="1827">
      <c r="A1827" s="559"/>
    </row>
    <row r="1828">
      <c r="A1828" s="559"/>
    </row>
    <row r="1829">
      <c r="A1829" s="559"/>
    </row>
    <row r="1830">
      <c r="A1830" s="559"/>
    </row>
    <row r="1831">
      <c r="A1831" s="559"/>
    </row>
    <row r="1832">
      <c r="A1832" s="559"/>
    </row>
    <row r="1833">
      <c r="A1833" s="559"/>
    </row>
    <row r="1834">
      <c r="A1834" s="559"/>
    </row>
    <row r="1835">
      <c r="A1835" s="559"/>
    </row>
    <row r="1836">
      <c r="A1836" s="559"/>
    </row>
    <row r="1837">
      <c r="A1837" s="559"/>
    </row>
    <row r="1838">
      <c r="A1838" s="559"/>
    </row>
    <row r="1839">
      <c r="A1839" s="559"/>
    </row>
    <row r="1840">
      <c r="A1840" s="559"/>
    </row>
    <row r="1841">
      <c r="A1841" s="559"/>
    </row>
    <row r="1842">
      <c r="A1842" s="559"/>
    </row>
    <row r="1843">
      <c r="A1843" s="559"/>
    </row>
    <row r="1844">
      <c r="A1844" s="559"/>
    </row>
    <row r="1845">
      <c r="A1845" s="559"/>
    </row>
    <row r="1846">
      <c r="A1846" s="559"/>
    </row>
    <row r="1847">
      <c r="A1847" s="559"/>
    </row>
    <row r="1848">
      <c r="A1848" s="559"/>
    </row>
    <row r="1849">
      <c r="A1849" s="559"/>
    </row>
    <row r="1850">
      <c r="A1850" s="559"/>
    </row>
    <row r="1851">
      <c r="A1851" s="559"/>
    </row>
    <row r="1852">
      <c r="A1852" s="559"/>
    </row>
    <row r="1853">
      <c r="A1853" s="559"/>
    </row>
    <row r="1854">
      <c r="A1854" s="559"/>
    </row>
    <row r="1855">
      <c r="A1855" s="559"/>
    </row>
    <row r="1856">
      <c r="A1856" s="559"/>
    </row>
    <row r="1857">
      <c r="A1857" s="559"/>
    </row>
    <row r="1858">
      <c r="A1858" s="559"/>
    </row>
    <row r="1859">
      <c r="A1859" s="559"/>
    </row>
    <row r="1860">
      <c r="A1860" s="559"/>
    </row>
    <row r="1861">
      <c r="A1861" s="559"/>
    </row>
    <row r="1862">
      <c r="A1862" s="559"/>
    </row>
    <row r="1863">
      <c r="A1863" s="559"/>
    </row>
    <row r="1864">
      <c r="A1864" s="559"/>
    </row>
    <row r="1865">
      <c r="A1865" s="559"/>
    </row>
    <row r="1866">
      <c r="A1866" s="559"/>
    </row>
    <row r="1867">
      <c r="A1867" s="559"/>
    </row>
    <row r="1868">
      <c r="A1868" s="559"/>
    </row>
    <row r="1869">
      <c r="A1869" s="559"/>
    </row>
    <row r="1870">
      <c r="A1870" s="559"/>
    </row>
    <row r="1871">
      <c r="A1871" s="559"/>
    </row>
    <row r="1872">
      <c r="A1872" s="559"/>
    </row>
    <row r="1873">
      <c r="A1873" s="559"/>
    </row>
    <row r="1874">
      <c r="A1874" s="559"/>
    </row>
    <row r="1875">
      <c r="A1875" s="559"/>
    </row>
    <row r="1876">
      <c r="A1876" s="559"/>
    </row>
    <row r="1877">
      <c r="A1877" s="559"/>
    </row>
    <row r="1878">
      <c r="A1878" s="559"/>
    </row>
    <row r="1879">
      <c r="A1879" s="559"/>
    </row>
    <row r="1880">
      <c r="A1880" s="559"/>
    </row>
    <row r="1881">
      <c r="A1881" s="559"/>
    </row>
    <row r="1882">
      <c r="A1882" s="559"/>
    </row>
    <row r="1883">
      <c r="A1883" s="559"/>
    </row>
    <row r="1884">
      <c r="A1884" s="559"/>
    </row>
    <row r="1885">
      <c r="A1885" s="559"/>
    </row>
    <row r="1886">
      <c r="A1886" s="559"/>
    </row>
    <row r="1887">
      <c r="A1887" s="559"/>
    </row>
    <row r="1888">
      <c r="A1888" s="559"/>
    </row>
    <row r="1889">
      <c r="A1889" s="559"/>
    </row>
    <row r="1890">
      <c r="A1890" s="559"/>
    </row>
    <row r="1891">
      <c r="A1891" s="559"/>
    </row>
    <row r="1892">
      <c r="A1892" s="559"/>
    </row>
    <row r="1893">
      <c r="A1893" s="559"/>
    </row>
    <row r="1894">
      <c r="A1894" s="559"/>
    </row>
    <row r="1895">
      <c r="A1895" s="559"/>
    </row>
    <row r="1896">
      <c r="A1896" s="559"/>
    </row>
    <row r="1897">
      <c r="A1897" s="559"/>
    </row>
    <row r="1898">
      <c r="A1898" s="559"/>
    </row>
    <row r="1899">
      <c r="A1899" s="559"/>
    </row>
    <row r="1900">
      <c r="A1900" s="559"/>
    </row>
    <row r="1901">
      <c r="A1901" s="559"/>
    </row>
    <row r="1902">
      <c r="A1902" s="559"/>
    </row>
    <row r="1903">
      <c r="A1903" s="559"/>
    </row>
    <row r="1904">
      <c r="A1904" s="559"/>
    </row>
    <row r="1905">
      <c r="A1905" s="559"/>
    </row>
    <row r="1906">
      <c r="A1906" s="559"/>
    </row>
    <row r="1907">
      <c r="A1907" s="559"/>
    </row>
    <row r="1908">
      <c r="A1908" s="559"/>
    </row>
    <row r="1909">
      <c r="A1909" s="559"/>
    </row>
    <row r="1910">
      <c r="A1910" s="559"/>
    </row>
    <row r="1911">
      <c r="A1911" s="559"/>
    </row>
    <row r="1912">
      <c r="A1912" s="559"/>
    </row>
    <row r="1913">
      <c r="A1913" s="559"/>
    </row>
    <row r="1914">
      <c r="A1914" s="559"/>
    </row>
    <row r="1915">
      <c r="A1915" s="559"/>
    </row>
    <row r="1916">
      <c r="A1916" s="559"/>
    </row>
    <row r="1917">
      <c r="A1917" s="559"/>
    </row>
    <row r="1918">
      <c r="A1918" s="559"/>
    </row>
    <row r="1919">
      <c r="A1919" s="559"/>
    </row>
    <row r="1920">
      <c r="A1920" s="559"/>
    </row>
    <row r="1921">
      <c r="A1921" s="559"/>
    </row>
    <row r="1922">
      <c r="A1922" s="559"/>
    </row>
    <row r="1923">
      <c r="A1923" s="559"/>
    </row>
    <row r="1924">
      <c r="A1924" s="559"/>
    </row>
    <row r="1925">
      <c r="A1925" s="559"/>
    </row>
    <row r="1926">
      <c r="A1926" s="559"/>
    </row>
    <row r="1927">
      <c r="A1927" s="559"/>
    </row>
    <row r="1928">
      <c r="A1928" s="559"/>
    </row>
    <row r="1929">
      <c r="A1929" s="559"/>
    </row>
    <row r="1930">
      <c r="A1930" s="559"/>
    </row>
    <row r="1931">
      <c r="A1931" s="559"/>
    </row>
    <row r="1932">
      <c r="A1932" s="559"/>
    </row>
    <row r="1933">
      <c r="A1933" s="559"/>
    </row>
    <row r="1934">
      <c r="A1934" s="559"/>
    </row>
    <row r="1935">
      <c r="A1935" s="559"/>
    </row>
    <row r="1936">
      <c r="A1936" s="559"/>
    </row>
    <row r="1937">
      <c r="A1937" s="559"/>
    </row>
    <row r="1938">
      <c r="A1938" s="559"/>
    </row>
    <row r="1939">
      <c r="A1939" s="559"/>
    </row>
    <row r="1940">
      <c r="A1940" s="559"/>
    </row>
    <row r="1941">
      <c r="A1941" s="559"/>
    </row>
    <row r="1942">
      <c r="A1942" s="559"/>
    </row>
    <row r="1943">
      <c r="A1943" s="559"/>
    </row>
    <row r="1944">
      <c r="A1944" s="559"/>
    </row>
    <row r="1945">
      <c r="A1945" s="559"/>
    </row>
    <row r="1946">
      <c r="A1946" s="559"/>
    </row>
    <row r="1947">
      <c r="A1947" s="559"/>
    </row>
    <row r="1948">
      <c r="A1948" s="559"/>
    </row>
    <row r="1949">
      <c r="A1949" s="559"/>
    </row>
    <row r="1950">
      <c r="A1950" s="559"/>
    </row>
    <row r="1951">
      <c r="A1951" s="559"/>
    </row>
    <row r="1952">
      <c r="A1952" s="559"/>
    </row>
    <row r="1953">
      <c r="A1953" s="559"/>
    </row>
    <row r="1954">
      <c r="A1954" s="559"/>
    </row>
    <row r="1955">
      <c r="A1955" s="559"/>
    </row>
    <row r="1956">
      <c r="A1956" s="559"/>
    </row>
    <row r="1957">
      <c r="A1957" s="559"/>
    </row>
    <row r="1958">
      <c r="A1958" s="559"/>
    </row>
    <row r="1959">
      <c r="A1959" s="559"/>
    </row>
    <row r="1960">
      <c r="A1960" s="559"/>
    </row>
    <row r="1961">
      <c r="A1961" s="559"/>
    </row>
    <row r="1962">
      <c r="A1962" s="559"/>
    </row>
    <row r="1963">
      <c r="A1963" s="559"/>
    </row>
    <row r="1964">
      <c r="A1964" s="559"/>
    </row>
    <row r="1965">
      <c r="A1965" s="559"/>
    </row>
    <row r="1966">
      <c r="A1966" s="559"/>
    </row>
    <row r="1967">
      <c r="A1967" s="559"/>
    </row>
    <row r="1968">
      <c r="A1968" s="559"/>
    </row>
    <row r="1969">
      <c r="A1969" s="559"/>
    </row>
    <row r="1970">
      <c r="A1970" s="559"/>
    </row>
    <row r="1971">
      <c r="A1971" s="559"/>
    </row>
    <row r="1972">
      <c r="A1972" s="559"/>
    </row>
    <row r="1973">
      <c r="A1973" s="559"/>
    </row>
    <row r="1974">
      <c r="A1974" s="559"/>
    </row>
    <row r="1975">
      <c r="A1975" s="559"/>
    </row>
    <row r="1976">
      <c r="A1976" s="559"/>
    </row>
    <row r="1977">
      <c r="A1977" s="559"/>
    </row>
    <row r="1978">
      <c r="A1978" s="559"/>
    </row>
    <row r="1979">
      <c r="A1979" s="559"/>
    </row>
    <row r="1980">
      <c r="A1980" s="559"/>
    </row>
    <row r="1981">
      <c r="A1981" s="559"/>
    </row>
    <row r="1982">
      <c r="A1982" s="559"/>
    </row>
    <row r="1983">
      <c r="A1983" s="559"/>
    </row>
    <row r="1984">
      <c r="A1984" s="559"/>
    </row>
    <row r="1985">
      <c r="A1985" s="559"/>
    </row>
    <row r="1986">
      <c r="A1986" s="559"/>
    </row>
    <row r="1987">
      <c r="A1987" s="559"/>
    </row>
    <row r="1988">
      <c r="A1988" s="559"/>
    </row>
    <row r="1989">
      <c r="A1989" s="559"/>
    </row>
    <row r="1990">
      <c r="A1990" s="559"/>
    </row>
    <row r="1991">
      <c r="A1991" s="559"/>
    </row>
    <row r="1992">
      <c r="A1992" s="559"/>
    </row>
    <row r="1993">
      <c r="A1993" s="559"/>
    </row>
    <row r="1994">
      <c r="A1994" s="559"/>
    </row>
    <row r="1995">
      <c r="A1995" s="559"/>
    </row>
    <row r="1996">
      <c r="A1996" s="559"/>
    </row>
    <row r="1997">
      <c r="A1997" s="559"/>
    </row>
    <row r="1998">
      <c r="A1998" s="559"/>
    </row>
    <row r="1999">
      <c r="A1999" s="559"/>
    </row>
    <row r="2000">
      <c r="A2000" s="559"/>
    </row>
    <row r="2001">
      <c r="A2001" s="559"/>
    </row>
    <row r="2002">
      <c r="A2002" s="559"/>
    </row>
    <row r="2003">
      <c r="A2003" s="559"/>
    </row>
    <row r="2004">
      <c r="A2004" s="559"/>
    </row>
    <row r="2005">
      <c r="A2005" s="559"/>
    </row>
    <row r="2006">
      <c r="A2006" s="559"/>
    </row>
    <row r="2007">
      <c r="A2007" s="559"/>
    </row>
    <row r="2008">
      <c r="A2008" s="559"/>
    </row>
  </sheetData>
  <autoFilter ref="$A$9:$Q$255"/>
  <customSheetViews>
    <customSheetView guid="{E3B16FF4-157A-41A8-880D-5DDB83361892}" filter="1" showAutoFilter="1">
      <autoFilter ref="$A$10:$A$314">
        <sortState ref="A10:A314">
          <sortCondition ref="A10:A314"/>
        </sortState>
      </autoFilter>
    </customSheetView>
  </customSheetViews>
  <mergeCells count="8">
    <mergeCell ref="A1:B1"/>
    <mergeCell ref="A2:E2"/>
    <mergeCell ref="A3:E3"/>
    <mergeCell ref="A4:E4"/>
    <mergeCell ref="A5:E5"/>
    <mergeCell ref="A7:E7"/>
    <mergeCell ref="A9:E9"/>
    <mergeCell ref="F9:P9"/>
  </mergeCells>
  <hyperlinks>
    <hyperlink r:id="rId1" ref="B11"/>
    <hyperlink r:id="rId2" ref="P11"/>
    <hyperlink r:id="rId3" ref="B12"/>
    <hyperlink r:id="rId4" ref="B13"/>
    <hyperlink r:id="rId5" ref="B14"/>
    <hyperlink r:id="rId6" ref="B15"/>
    <hyperlink r:id="rId7" ref="B16"/>
    <hyperlink r:id="rId8" ref="B17"/>
    <hyperlink r:id="rId9" ref="B18"/>
    <hyperlink r:id="rId10" ref="B19"/>
    <hyperlink r:id="rId11" ref="P19"/>
    <hyperlink r:id="rId12" ref="B20"/>
    <hyperlink r:id="rId13" ref="P20"/>
    <hyperlink r:id="rId14" ref="B21"/>
    <hyperlink r:id="rId15" ref="B22"/>
    <hyperlink r:id="rId16" ref="B23"/>
    <hyperlink r:id="rId17" ref="B24"/>
    <hyperlink r:id="rId18" ref="B25"/>
    <hyperlink r:id="rId19" ref="B26"/>
    <hyperlink r:id="rId20" ref="B27"/>
    <hyperlink r:id="rId21" ref="P27"/>
    <hyperlink r:id="rId22" ref="B28"/>
    <hyperlink r:id="rId23" ref="P28"/>
    <hyperlink r:id="rId24" ref="B29"/>
    <hyperlink r:id="rId25" ref="B30"/>
    <hyperlink r:id="rId26" ref="B31"/>
    <hyperlink r:id="rId27" ref="B32"/>
    <hyperlink r:id="rId28" ref="P32"/>
    <hyperlink r:id="rId29" ref="B33"/>
    <hyperlink r:id="rId30" ref="P33"/>
    <hyperlink r:id="rId31" ref="B34"/>
    <hyperlink r:id="rId32" ref="B35"/>
    <hyperlink r:id="rId33" ref="B36"/>
    <hyperlink r:id="rId34" ref="B37"/>
    <hyperlink r:id="rId35" ref="B38"/>
    <hyperlink r:id="rId36" ref="B39"/>
    <hyperlink r:id="rId37" ref="B40"/>
    <hyperlink r:id="rId38" ref="B41"/>
    <hyperlink r:id="rId39" ref="P41"/>
    <hyperlink r:id="rId40" ref="B42"/>
    <hyperlink r:id="rId41" ref="B43"/>
    <hyperlink r:id="rId42" ref="B44"/>
    <hyperlink r:id="rId43" ref="B45"/>
    <hyperlink r:id="rId44" ref="B46"/>
    <hyperlink r:id="rId45" ref="B47"/>
    <hyperlink r:id="rId46" ref="B48"/>
    <hyperlink r:id="rId47" ref="P48"/>
    <hyperlink r:id="rId48" ref="B49"/>
    <hyperlink r:id="rId49" ref="P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P64"/>
    <hyperlink r:id="rId66" ref="B65"/>
    <hyperlink r:id="rId67" ref="B66"/>
    <hyperlink r:id="rId68" ref="B67"/>
    <hyperlink r:id="rId69" ref="B68"/>
    <hyperlink r:id="rId70" ref="P68"/>
    <hyperlink r:id="rId71" ref="B69"/>
    <hyperlink r:id="rId72" ref="B70"/>
    <hyperlink r:id="rId73" ref="P70"/>
    <hyperlink r:id="rId74" ref="B71"/>
    <hyperlink r:id="rId75" ref="B72"/>
    <hyperlink r:id="rId76" ref="P72"/>
    <hyperlink r:id="rId77" ref="B73"/>
    <hyperlink r:id="rId78" ref="B74"/>
    <hyperlink r:id="rId79" ref="B75"/>
    <hyperlink r:id="rId80" ref="P75"/>
    <hyperlink r:id="rId81" ref="B76"/>
    <hyperlink r:id="rId82" ref="B77"/>
    <hyperlink r:id="rId83" ref="B78"/>
    <hyperlink r:id="rId84" ref="B79"/>
    <hyperlink r:id="rId85" ref="B80"/>
    <hyperlink r:id="rId86" ref="B81"/>
    <hyperlink r:id="rId87" ref="P81"/>
    <hyperlink r:id="rId88" ref="B82"/>
    <hyperlink r:id="rId89" ref="B83"/>
    <hyperlink r:id="rId90" ref="P83"/>
    <hyperlink r:id="rId91" ref="B84"/>
    <hyperlink r:id="rId92" ref="B85"/>
    <hyperlink r:id="rId93" ref="B86"/>
    <hyperlink r:id="rId94" ref="P86"/>
    <hyperlink r:id="rId95" ref="B87"/>
    <hyperlink r:id="rId96" ref="B88"/>
    <hyperlink r:id="rId97" ref="B89"/>
    <hyperlink r:id="rId98" ref="B90"/>
    <hyperlink r:id="rId99" ref="P90"/>
    <hyperlink r:id="rId100" ref="B91"/>
    <hyperlink r:id="rId101" ref="B92"/>
    <hyperlink r:id="rId102" ref="P92"/>
    <hyperlink r:id="rId103" ref="B93"/>
    <hyperlink r:id="rId104" ref="B94"/>
    <hyperlink r:id="rId105" ref="B95"/>
    <hyperlink r:id="rId106" ref="B96"/>
    <hyperlink r:id="rId107" ref="B97"/>
    <hyperlink r:id="rId108" ref="B98"/>
    <hyperlink r:id="rId109" ref="B99"/>
    <hyperlink r:id="rId110" ref="B100"/>
    <hyperlink r:id="rId111" ref="B101"/>
    <hyperlink r:id="rId112" ref="B102"/>
    <hyperlink r:id="rId113" ref="P102"/>
    <hyperlink r:id="rId114" ref="B103"/>
    <hyperlink r:id="rId115" ref="B104"/>
    <hyperlink r:id="rId116" ref="B105"/>
    <hyperlink r:id="rId117" ref="P105"/>
    <hyperlink r:id="rId118" ref="B106"/>
    <hyperlink r:id="rId119" ref="B107"/>
    <hyperlink r:id="rId120" ref="B108"/>
    <hyperlink r:id="rId121" ref="B109"/>
    <hyperlink r:id="rId122" ref="B110"/>
    <hyperlink r:id="rId123" ref="P110"/>
    <hyperlink r:id="rId124" ref="B111"/>
    <hyperlink r:id="rId125" ref="B112"/>
    <hyperlink r:id="rId126" ref="B113"/>
    <hyperlink r:id="rId127" ref="B114"/>
    <hyperlink r:id="rId128" ref="P114"/>
    <hyperlink r:id="rId129" ref="B115"/>
    <hyperlink r:id="rId130" ref="P115"/>
    <hyperlink r:id="rId131" ref="B116"/>
    <hyperlink r:id="rId132" ref="B117"/>
    <hyperlink r:id="rId133" ref="B118"/>
    <hyperlink r:id="rId134" ref="B119"/>
    <hyperlink r:id="rId135" ref="B120"/>
    <hyperlink r:id="rId136" ref="P120"/>
    <hyperlink r:id="rId137" ref="B121"/>
    <hyperlink r:id="rId138" ref="P121"/>
    <hyperlink r:id="rId139" ref="B122"/>
    <hyperlink r:id="rId140" ref="B123"/>
    <hyperlink r:id="rId141" ref="P123"/>
    <hyperlink r:id="rId142" ref="B124"/>
    <hyperlink r:id="rId143" ref="B125"/>
    <hyperlink r:id="rId144" ref="P125"/>
    <hyperlink r:id="rId145" ref="B126"/>
    <hyperlink r:id="rId146" ref="B127"/>
    <hyperlink r:id="rId147" ref="P127"/>
    <hyperlink r:id="rId148" ref="B128"/>
    <hyperlink r:id="rId149" ref="B129"/>
    <hyperlink r:id="rId150" ref="P129"/>
    <hyperlink r:id="rId151" ref="B130"/>
    <hyperlink r:id="rId152" ref="B131"/>
    <hyperlink r:id="rId153" ref="B132"/>
    <hyperlink r:id="rId154" ref="B133"/>
    <hyperlink r:id="rId155" ref="B134"/>
    <hyperlink r:id="rId156" ref="P134"/>
    <hyperlink r:id="rId157" ref="B135"/>
    <hyperlink r:id="rId158" ref="B136"/>
    <hyperlink r:id="rId159" ref="P136"/>
    <hyperlink r:id="rId160" ref="B137"/>
    <hyperlink r:id="rId161" ref="B138"/>
    <hyperlink r:id="rId162" ref="B139"/>
    <hyperlink r:id="rId163" ref="B140"/>
    <hyperlink r:id="rId164" ref="B141"/>
    <hyperlink r:id="rId165" ref="B142"/>
    <hyperlink r:id="rId166" ref="B143"/>
    <hyperlink r:id="rId167" ref="B144"/>
    <hyperlink r:id="rId168" ref="B145"/>
    <hyperlink r:id="rId169" ref="B146"/>
    <hyperlink r:id="rId170" ref="B147"/>
    <hyperlink r:id="rId171" ref="B148"/>
    <hyperlink r:id="rId172" ref="B149"/>
    <hyperlink r:id="rId173" ref="B150"/>
    <hyperlink r:id="rId174" ref="B151"/>
    <hyperlink r:id="rId175" ref="B152"/>
    <hyperlink r:id="rId176" ref="B153"/>
    <hyperlink r:id="rId177" ref="B154"/>
    <hyperlink r:id="rId178" ref="B155"/>
    <hyperlink r:id="rId179" ref="P155"/>
    <hyperlink r:id="rId180" ref="B156"/>
    <hyperlink r:id="rId181" ref="P156"/>
    <hyperlink r:id="rId182" ref="B157"/>
    <hyperlink r:id="rId183" ref="P157"/>
    <hyperlink r:id="rId184" ref="B158"/>
    <hyperlink r:id="rId185" ref="B159"/>
    <hyperlink r:id="rId186" ref="B160"/>
    <hyperlink r:id="rId187" ref="P160"/>
    <hyperlink r:id="rId188" ref="B161"/>
    <hyperlink r:id="rId189" ref="P161"/>
    <hyperlink r:id="rId190" ref="B162"/>
    <hyperlink r:id="rId191" ref="B163"/>
    <hyperlink r:id="rId192" ref="P163"/>
    <hyperlink r:id="rId193" ref="B164"/>
    <hyperlink r:id="rId194" ref="B165"/>
    <hyperlink r:id="rId195" ref="B166"/>
    <hyperlink r:id="rId196" ref="B167"/>
    <hyperlink r:id="rId197" ref="B168"/>
    <hyperlink r:id="rId198" ref="P168"/>
    <hyperlink r:id="rId199" ref="B169"/>
    <hyperlink r:id="rId200" ref="P169"/>
    <hyperlink r:id="rId201" ref="B170"/>
    <hyperlink r:id="rId202" ref="B171"/>
    <hyperlink r:id="rId203" ref="P171"/>
    <hyperlink r:id="rId204" ref="B172"/>
    <hyperlink r:id="rId205" ref="P172"/>
    <hyperlink r:id="rId206" ref="B173"/>
    <hyperlink r:id="rId207" ref="B174"/>
    <hyperlink r:id="rId208" ref="B175"/>
    <hyperlink r:id="rId209" ref="P175"/>
    <hyperlink r:id="rId210" ref="B177"/>
    <hyperlink r:id="rId211" ref="P177"/>
    <hyperlink r:id="rId212" ref="B178"/>
    <hyperlink r:id="rId213" ref="P178"/>
    <hyperlink r:id="rId214" ref="B179"/>
    <hyperlink r:id="rId215" ref="B180"/>
    <hyperlink r:id="rId216" ref="B181"/>
    <hyperlink r:id="rId217" ref="B182"/>
    <hyperlink r:id="rId218" ref="B183"/>
    <hyperlink r:id="rId219" ref="B184"/>
    <hyperlink r:id="rId220" ref="B185"/>
    <hyperlink r:id="rId221" ref="B186"/>
    <hyperlink r:id="rId222" ref="P186"/>
    <hyperlink r:id="rId223" ref="B187"/>
    <hyperlink r:id="rId224" ref="B188"/>
    <hyperlink r:id="rId225" ref="P188"/>
    <hyperlink r:id="rId226" ref="B189"/>
    <hyperlink r:id="rId227" ref="B190"/>
    <hyperlink r:id="rId228" ref="P190"/>
    <hyperlink r:id="rId229" ref="B191"/>
    <hyperlink r:id="rId230" ref="P191"/>
    <hyperlink r:id="rId231" ref="B192"/>
    <hyperlink r:id="rId232" ref="B193"/>
    <hyperlink r:id="rId233" ref="P193"/>
    <hyperlink r:id="rId234" ref="B194"/>
    <hyperlink r:id="rId235" ref="B195"/>
    <hyperlink r:id="rId236" ref="P195"/>
    <hyperlink r:id="rId237" ref="B196"/>
    <hyperlink r:id="rId238" ref="B197"/>
    <hyperlink r:id="rId239" ref="P197"/>
    <hyperlink r:id="rId240" ref="B198"/>
    <hyperlink r:id="rId241" ref="P198"/>
    <hyperlink r:id="rId242" ref="B199"/>
    <hyperlink r:id="rId243" ref="B200"/>
    <hyperlink r:id="rId244" ref="P200"/>
    <hyperlink r:id="rId245" ref="B201"/>
    <hyperlink r:id="rId246" ref="P201"/>
    <hyperlink r:id="rId247" ref="B202"/>
    <hyperlink r:id="rId248" ref="P202"/>
    <hyperlink r:id="rId249" ref="B203"/>
    <hyperlink r:id="rId250" ref="P203"/>
    <hyperlink r:id="rId251" ref="B204"/>
    <hyperlink r:id="rId252" ref="P204"/>
    <hyperlink r:id="rId253" ref="B205"/>
    <hyperlink r:id="rId254" ref="P205"/>
    <hyperlink r:id="rId255" ref="B206"/>
    <hyperlink r:id="rId256" ref="B207"/>
    <hyperlink r:id="rId257" ref="B208"/>
    <hyperlink r:id="rId258" ref="P208"/>
    <hyperlink r:id="rId259" ref="B209"/>
    <hyperlink r:id="rId260" ref="B210"/>
    <hyperlink r:id="rId261" ref="P210"/>
    <hyperlink r:id="rId262" ref="B211"/>
    <hyperlink r:id="rId263" ref="B212"/>
    <hyperlink r:id="rId264" ref="B213"/>
    <hyperlink r:id="rId265" ref="P213"/>
    <hyperlink r:id="rId266" ref="B214"/>
    <hyperlink r:id="rId267" ref="B215"/>
    <hyperlink r:id="rId268" ref="B216"/>
    <hyperlink r:id="rId269" ref="B217"/>
    <hyperlink r:id="rId270" ref="B218"/>
    <hyperlink r:id="rId271" ref="B219"/>
    <hyperlink r:id="rId272" ref="B220"/>
    <hyperlink r:id="rId273" ref="B221"/>
    <hyperlink r:id="rId274" ref="B222"/>
    <hyperlink r:id="rId275" ref="B223"/>
    <hyperlink r:id="rId276" ref="B224"/>
    <hyperlink r:id="rId277" ref="B225"/>
    <hyperlink r:id="rId278" ref="B226"/>
    <hyperlink r:id="rId279" ref="B227"/>
    <hyperlink r:id="rId280" ref="B228"/>
    <hyperlink r:id="rId281" ref="B229"/>
    <hyperlink r:id="rId282" ref="B230"/>
    <hyperlink r:id="rId283" ref="B231"/>
    <hyperlink r:id="rId284" ref="B232"/>
    <hyperlink r:id="rId285" ref="B233"/>
    <hyperlink r:id="rId286" ref="B234"/>
    <hyperlink r:id="rId287" ref="B235"/>
    <hyperlink r:id="rId288" ref="B236"/>
    <hyperlink r:id="rId289" ref="B237"/>
    <hyperlink r:id="rId290" ref="B238"/>
    <hyperlink r:id="rId291" ref="B239"/>
    <hyperlink r:id="rId292" ref="B240"/>
    <hyperlink r:id="rId293" ref="B241"/>
    <hyperlink r:id="rId294" ref="B242"/>
    <hyperlink r:id="rId295" ref="B243"/>
    <hyperlink r:id="rId296" ref="B244"/>
    <hyperlink r:id="rId297" ref="B245"/>
    <hyperlink r:id="rId298" ref="B246"/>
    <hyperlink r:id="rId299" ref="B247"/>
    <hyperlink r:id="rId300" ref="B248"/>
    <hyperlink r:id="rId301" ref="B249"/>
    <hyperlink r:id="rId302" ref="B250"/>
    <hyperlink r:id="rId303" ref="B251"/>
    <hyperlink r:id="rId304" ref="B252"/>
    <hyperlink r:id="rId305" ref="B253"/>
    <hyperlink r:id="rId306" ref="B254"/>
    <hyperlink r:id="rId307" ref="B255"/>
    <hyperlink r:id="rId308" ref="B256"/>
    <hyperlink r:id="rId309" ref="B257"/>
    <hyperlink r:id="rId310" ref="B258"/>
    <hyperlink r:id="rId311" ref="B259"/>
    <hyperlink r:id="rId312" ref="B260"/>
    <hyperlink r:id="rId313" ref="B261"/>
    <hyperlink r:id="rId314" ref="B262"/>
    <hyperlink r:id="rId315" ref="B263"/>
    <hyperlink r:id="rId316" ref="B264"/>
    <hyperlink r:id="rId317" ref="B265"/>
    <hyperlink r:id="rId318" ref="B266"/>
    <hyperlink r:id="rId319" ref="B267"/>
    <hyperlink r:id="rId320" ref="B268"/>
    <hyperlink r:id="rId321" ref="B269"/>
    <hyperlink r:id="rId322" ref="B270"/>
    <hyperlink r:id="rId323" ref="B271"/>
    <hyperlink r:id="rId324" ref="B272"/>
    <hyperlink r:id="rId325" ref="B273"/>
    <hyperlink r:id="rId326" ref="B274"/>
    <hyperlink r:id="rId327" ref="B275"/>
    <hyperlink r:id="rId328" ref="B276"/>
    <hyperlink r:id="rId329" ref="B277"/>
    <hyperlink r:id="rId330" ref="B278"/>
    <hyperlink r:id="rId331" ref="B279"/>
    <hyperlink r:id="rId332" ref="B280"/>
    <hyperlink r:id="rId333" ref="B281"/>
    <hyperlink r:id="rId334" ref="B282"/>
    <hyperlink r:id="rId335" ref="B283"/>
    <hyperlink r:id="rId336" ref="B284"/>
    <hyperlink r:id="rId337" ref="B285"/>
    <hyperlink r:id="rId338" ref="B286"/>
    <hyperlink r:id="rId339" ref="B287"/>
    <hyperlink r:id="rId340" ref="P287"/>
    <hyperlink r:id="rId341" ref="B288"/>
    <hyperlink r:id="rId342" ref="B289"/>
    <hyperlink r:id="rId343" ref="B290"/>
    <hyperlink r:id="rId344" ref="B291"/>
    <hyperlink r:id="rId345" ref="B292"/>
    <hyperlink r:id="rId346" ref="B293"/>
    <hyperlink r:id="rId347" ref="B294"/>
    <hyperlink r:id="rId348" ref="B295"/>
    <hyperlink r:id="rId349" ref="B296"/>
    <hyperlink r:id="rId350" ref="B306"/>
    <hyperlink r:id="rId351" ref="B307"/>
    <hyperlink r:id="rId352" ref="B308"/>
    <hyperlink r:id="rId353" ref="B309"/>
    <hyperlink r:id="rId354" ref="B310"/>
    <hyperlink r:id="rId355" ref="B311"/>
    <hyperlink r:id="rId356" ref="B312"/>
    <hyperlink r:id="rId357" ref="B313"/>
    <hyperlink r:id="rId358" ref="B314"/>
    <hyperlink r:id="rId359" ref="B317"/>
    <hyperlink r:id="rId360" ref="B320"/>
    <hyperlink r:id="rId361" ref="B321"/>
    <hyperlink r:id="rId362" ref="B322"/>
    <hyperlink r:id="rId363" ref="B324"/>
    <hyperlink r:id="rId364" ref="B325"/>
    <hyperlink r:id="rId365" ref="B326"/>
    <hyperlink r:id="rId366" ref="B327"/>
    <hyperlink r:id="rId367" ref="B328"/>
    <hyperlink r:id="rId368" ref="B329"/>
    <hyperlink r:id="rId369" ref="B330"/>
    <hyperlink r:id="rId370" ref="B331"/>
    <hyperlink r:id="rId371" ref="B332"/>
    <hyperlink r:id="rId372" ref="B333"/>
    <hyperlink r:id="rId373" ref="B336"/>
    <hyperlink r:id="rId374" ref="B337"/>
    <hyperlink r:id="rId375" ref="B338"/>
    <hyperlink r:id="rId376" ref="B383"/>
    <hyperlink r:id="rId377" ref="B391"/>
    <hyperlink r:id="rId378" ref="B392"/>
    <hyperlink r:id="rId379" ref="B398"/>
    <hyperlink r:id="rId380" ref="B437"/>
    <hyperlink r:id="rId381" ref="B438"/>
    <hyperlink r:id="rId382" ref="B447"/>
    <hyperlink r:id="rId383" ref="B450"/>
    <hyperlink r:id="rId384" ref="B452"/>
    <hyperlink r:id="rId385" ref="B453"/>
    <hyperlink r:id="rId386" ref="B455"/>
    <hyperlink r:id="rId387" ref="B456"/>
    <hyperlink r:id="rId388" ref="B457"/>
    <hyperlink r:id="rId389" ref="B460"/>
    <hyperlink r:id="rId390" ref="B462"/>
    <hyperlink r:id="rId391" ref="B463"/>
    <hyperlink r:id="rId392" ref="B465"/>
    <hyperlink r:id="rId393" ref="B466"/>
    <hyperlink r:id="rId394" ref="B467"/>
    <hyperlink r:id="rId395" ref="B469"/>
    <hyperlink r:id="rId396" ref="B474"/>
    <hyperlink r:id="rId397" ref="B516"/>
    <hyperlink r:id="rId398" ref="B523"/>
    <hyperlink r:id="rId399" ref="B524"/>
    <hyperlink r:id="rId400" ref="B525"/>
    <hyperlink r:id="rId401" ref="B526"/>
    <hyperlink r:id="rId402" ref="B527"/>
    <hyperlink r:id="rId403" ref="B528"/>
    <hyperlink r:id="rId404" ref="B529"/>
    <hyperlink r:id="rId405" ref="B530"/>
    <hyperlink r:id="rId406" ref="B531"/>
    <hyperlink r:id="rId407" ref="B532"/>
    <hyperlink r:id="rId408" ref="B533"/>
    <hyperlink r:id="rId409" ref="B535"/>
    <hyperlink r:id="rId410" ref="B549"/>
    <hyperlink r:id="rId411" ref="B552"/>
    <hyperlink r:id="rId412" ref="B553"/>
    <hyperlink r:id="rId413" ref="B557"/>
    <hyperlink r:id="rId414" ref="B575"/>
    <hyperlink r:id="rId415" ref="B610"/>
    <hyperlink r:id="rId416" ref="B620"/>
    <hyperlink r:id="rId417" ref="B621"/>
    <hyperlink r:id="rId418" ref="B622"/>
    <hyperlink r:id="rId419" ref="B630"/>
    <hyperlink r:id="rId420" ref="B720"/>
    <hyperlink r:id="rId421" ref="B729"/>
    <hyperlink r:id="rId422" ref="B737"/>
    <hyperlink r:id="rId423" ref="B739"/>
    <hyperlink r:id="rId424" ref="B743"/>
    <hyperlink r:id="rId425" ref="B745"/>
    <hyperlink r:id="rId426" ref="B749"/>
    <hyperlink r:id="rId427" ref="B755"/>
    <hyperlink r:id="rId428" ref="B757"/>
    <hyperlink r:id="rId429" ref="B758"/>
    <hyperlink r:id="rId430" ref="B759"/>
    <hyperlink r:id="rId431" ref="B764"/>
    <hyperlink r:id="rId432" ref="B765"/>
    <hyperlink r:id="rId433" ref="B766"/>
    <hyperlink r:id="rId434" ref="B768"/>
    <hyperlink r:id="rId435" ref="B769"/>
    <hyperlink r:id="rId436" ref="B771"/>
    <hyperlink r:id="rId437" ref="B778"/>
    <hyperlink r:id="rId438" ref="B779"/>
    <hyperlink r:id="rId439" ref="B781"/>
    <hyperlink r:id="rId440" ref="B783"/>
    <hyperlink r:id="rId441" ref="B787"/>
    <hyperlink r:id="rId442" ref="B789"/>
    <hyperlink r:id="rId443" ref="B792"/>
    <hyperlink r:id="rId444" ref="B794"/>
    <hyperlink r:id="rId445" ref="B795"/>
    <hyperlink r:id="rId446" ref="B797"/>
    <hyperlink r:id="rId447" ref="B805"/>
    <hyperlink r:id="rId448" ref="B808"/>
    <hyperlink r:id="rId449" ref="B811"/>
    <hyperlink r:id="rId450" ref="B813"/>
    <hyperlink r:id="rId451" ref="B823"/>
    <hyperlink r:id="rId452" ref="B844"/>
    <hyperlink r:id="rId453" ref="B856"/>
    <hyperlink r:id="rId454" ref="B872"/>
    <hyperlink r:id="rId455" ref="B879"/>
    <hyperlink r:id="rId456" ref="B880"/>
    <hyperlink r:id="rId457" ref="B885"/>
    <hyperlink r:id="rId458" ref="B886"/>
    <hyperlink r:id="rId459" ref="B901"/>
    <hyperlink r:id="rId460" ref="B904"/>
    <hyperlink r:id="rId461" ref="B917"/>
    <hyperlink r:id="rId462" ref="B927"/>
    <hyperlink r:id="rId463" ref="B931"/>
    <hyperlink r:id="rId464" ref="B956"/>
    <hyperlink r:id="rId465" ref="B957"/>
    <hyperlink r:id="rId466" ref="P962"/>
    <hyperlink r:id="rId467" ref="B963"/>
    <hyperlink r:id="rId468" ref="B976"/>
    <hyperlink r:id="rId469" ref="B981"/>
    <hyperlink r:id="rId470" ref="B982"/>
    <hyperlink r:id="rId471" ref="B983"/>
    <hyperlink r:id="rId472" ref="B987"/>
    <hyperlink r:id="rId473" ref="B990"/>
    <hyperlink r:id="rId474" ref="B1035"/>
    <hyperlink r:id="rId475" ref="B1057"/>
    <hyperlink r:id="rId476" ref="B1092"/>
    <hyperlink r:id="rId477" ref="B1100"/>
    <hyperlink r:id="rId478" ref="P1116"/>
    <hyperlink r:id="rId479" ref="P1119"/>
    <hyperlink r:id="rId480" ref="P1120"/>
    <hyperlink r:id="rId481" ref="P1121"/>
    <hyperlink r:id="rId482" ref="P1123"/>
    <hyperlink r:id="rId483" ref="P1125"/>
    <hyperlink r:id="rId484" ref="P1126"/>
    <hyperlink r:id="rId485" ref="P1127"/>
    <hyperlink r:id="rId486" ref="P1128"/>
    <hyperlink r:id="rId487" ref="P1129"/>
    <hyperlink r:id="rId488" ref="P1131"/>
    <hyperlink r:id="rId489" ref="B1132"/>
    <hyperlink r:id="rId490" ref="P1133"/>
    <hyperlink r:id="rId491" ref="B1136"/>
    <hyperlink r:id="rId492" ref="P1138"/>
    <hyperlink r:id="rId493" ref="P1140"/>
    <hyperlink r:id="rId494" ref="B1143"/>
    <hyperlink r:id="rId495" ref="P1143"/>
    <hyperlink r:id="rId496" ref="B1144"/>
    <hyperlink r:id="rId497" ref="P1144"/>
    <hyperlink r:id="rId498" ref="P1147"/>
    <hyperlink r:id="rId499" ref="B1148"/>
    <hyperlink r:id="rId500" ref="P1150"/>
    <hyperlink r:id="rId501" ref="P1151"/>
    <hyperlink r:id="rId502" ref="P1152"/>
    <hyperlink r:id="rId503" ref="P1154"/>
    <hyperlink r:id="rId504" ref="B1155"/>
    <hyperlink r:id="rId505" ref="P1155"/>
    <hyperlink r:id="rId506" ref="P1158"/>
    <hyperlink r:id="rId507" ref="P1159"/>
    <hyperlink r:id="rId508" ref="P1160"/>
    <hyperlink r:id="rId509" ref="P1162"/>
    <hyperlink r:id="rId510" ref="P1164"/>
    <hyperlink r:id="rId511" ref="P1165"/>
    <hyperlink r:id="rId512" ref="P1166"/>
    <hyperlink r:id="rId513" ref="B1167"/>
    <hyperlink r:id="rId514" ref="P1167"/>
    <hyperlink r:id="rId515" ref="B1168"/>
    <hyperlink r:id="rId516" ref="P1169"/>
    <hyperlink r:id="rId517" ref="B1170"/>
    <hyperlink r:id="rId518" ref="B1179"/>
    <hyperlink r:id="rId519" ref="P1180"/>
    <hyperlink r:id="rId520" ref="P1183"/>
    <hyperlink r:id="rId521" ref="P1184"/>
    <hyperlink r:id="rId522" ref="P1189"/>
    <hyperlink r:id="rId523" ref="P1190"/>
    <hyperlink r:id="rId524" ref="B1197"/>
    <hyperlink r:id="rId525" ref="B1201"/>
    <hyperlink r:id="rId526" ref="P1205"/>
    <hyperlink r:id="rId527" ref="B1207"/>
    <hyperlink r:id="rId528" ref="P1207"/>
    <hyperlink r:id="rId529" ref="P1208"/>
    <hyperlink r:id="rId530" ref="P1209"/>
    <hyperlink r:id="rId531" ref="P1214"/>
    <hyperlink r:id="rId532" ref="P1215"/>
    <hyperlink r:id="rId533" ref="P1217"/>
    <hyperlink r:id="rId534" ref="P1218"/>
    <hyperlink r:id="rId535" ref="P1219"/>
    <hyperlink r:id="rId536" ref="P1221"/>
    <hyperlink r:id="rId537" ref="P1228"/>
    <hyperlink r:id="rId538" ref="P1231"/>
    <hyperlink r:id="rId539" ref="B1233"/>
    <hyperlink r:id="rId540" ref="P1233"/>
    <hyperlink r:id="rId541" ref="B1239"/>
    <hyperlink r:id="rId542" ref="P1240"/>
    <hyperlink r:id="rId543" ref="P1246"/>
    <hyperlink r:id="rId544" ref="P1247"/>
    <hyperlink r:id="rId545" ref="P1248"/>
    <hyperlink r:id="rId546" ref="P1249"/>
    <hyperlink r:id="rId547" ref="P1255"/>
    <hyperlink r:id="rId548" ref="B1259"/>
    <hyperlink r:id="rId549" ref="P1263"/>
    <hyperlink r:id="rId550" ref="B1264"/>
    <hyperlink r:id="rId551" ref="P1268"/>
    <hyperlink r:id="rId552" ref="P1270"/>
    <hyperlink r:id="rId553" ref="P1271"/>
    <hyperlink r:id="rId554" ref="B1273"/>
    <hyperlink r:id="rId555" ref="P1274"/>
    <hyperlink r:id="rId556" ref="P1275"/>
    <hyperlink r:id="rId557" ref="P1276"/>
    <hyperlink r:id="rId558" ref="P1277"/>
    <hyperlink r:id="rId559" ref="P1278"/>
    <hyperlink r:id="rId560" ref="P1279"/>
    <hyperlink r:id="rId561" ref="P1280"/>
    <hyperlink r:id="rId562" ref="P1281"/>
    <hyperlink r:id="rId563" ref="P1282"/>
    <hyperlink r:id="rId564" ref="P1283"/>
    <hyperlink r:id="rId565" ref="P1284"/>
    <hyperlink r:id="rId566" ref="P1286"/>
    <hyperlink r:id="rId567" ref="P1290"/>
    <hyperlink r:id="rId568" ref="P1291"/>
    <hyperlink r:id="rId569" ref="P1293"/>
    <hyperlink r:id="rId570" ref="P1294"/>
    <hyperlink r:id="rId571" ref="P1295"/>
    <hyperlink r:id="rId572" ref="P1298"/>
    <hyperlink r:id="rId573" ref="P1301"/>
    <hyperlink r:id="rId574" ref="P1302"/>
    <hyperlink r:id="rId575" ref="B1306"/>
    <hyperlink r:id="rId576" ref="P1306"/>
    <hyperlink r:id="rId577" ref="P1307"/>
    <hyperlink r:id="rId578" ref="P1308"/>
    <hyperlink r:id="rId579" ref="B1309"/>
    <hyperlink r:id="rId580" ref="P1310"/>
    <hyperlink r:id="rId581" ref="B1312"/>
    <hyperlink r:id="rId582" ref="P1312"/>
    <hyperlink r:id="rId583" ref="P1314"/>
    <hyperlink r:id="rId584" ref="P1315"/>
    <hyperlink r:id="rId585" ref="B1322"/>
    <hyperlink r:id="rId586" ref="P1322"/>
    <hyperlink r:id="rId587" ref="P1324"/>
    <hyperlink r:id="rId588" ref="B1327"/>
    <hyperlink r:id="rId589" ref="P1327"/>
    <hyperlink r:id="rId590" ref="P1330"/>
    <hyperlink r:id="rId591" ref="P1334"/>
    <hyperlink r:id="rId592" ref="P1339"/>
    <hyperlink r:id="rId593" ref="P1340"/>
    <hyperlink r:id="rId594" ref="P1342"/>
    <hyperlink r:id="rId595" ref="P1345"/>
    <hyperlink r:id="rId596" ref="P1346"/>
    <hyperlink r:id="rId597" ref="B1347"/>
    <hyperlink r:id="rId598" ref="B1351"/>
    <hyperlink r:id="rId599" ref="B1355"/>
    <hyperlink r:id="rId600" ref="P1359"/>
    <hyperlink r:id="rId601" ref="P1362"/>
    <hyperlink r:id="rId602" ref="P1367"/>
    <hyperlink r:id="rId603" ref="B1369"/>
    <hyperlink r:id="rId604" ref="P1369"/>
    <hyperlink r:id="rId605" ref="P1372"/>
    <hyperlink r:id="rId606" ref="B1380"/>
    <hyperlink r:id="rId607" ref="P1380"/>
    <hyperlink r:id="rId608" ref="P1384"/>
    <hyperlink r:id="rId609" ref="P1388"/>
    <hyperlink r:id="rId610" ref="P1390"/>
    <hyperlink r:id="rId611" ref="P1392"/>
    <hyperlink r:id="rId612" ref="P1393"/>
    <hyperlink r:id="rId613" ref="P1396"/>
    <hyperlink r:id="rId614" ref="P1397"/>
    <hyperlink r:id="rId615" ref="B1401"/>
    <hyperlink r:id="rId616" ref="P1401"/>
    <hyperlink r:id="rId617" ref="P1403"/>
    <hyperlink r:id="rId618" ref="P1404"/>
    <hyperlink r:id="rId619" ref="P1405"/>
    <hyperlink r:id="rId620" ref="P1407"/>
    <hyperlink r:id="rId621" ref="B1408"/>
    <hyperlink r:id="rId622" ref="P1409"/>
    <hyperlink r:id="rId623" ref="P1412"/>
    <hyperlink r:id="rId624" ref="P1413"/>
    <hyperlink r:id="rId625" ref="B1414"/>
    <hyperlink r:id="rId626" ref="P1414"/>
    <hyperlink r:id="rId627" ref="B1415"/>
    <hyperlink r:id="rId628" ref="P1415"/>
    <hyperlink r:id="rId629" ref="P1416"/>
    <hyperlink r:id="rId630" ref="P1418"/>
    <hyperlink r:id="rId631" ref="B1419"/>
    <hyperlink r:id="rId632" ref="P1419"/>
    <hyperlink r:id="rId633" ref="P1420"/>
    <hyperlink r:id="rId634" ref="B1441"/>
    <hyperlink r:id="rId635" ref="B1467"/>
    <hyperlink r:id="rId636" ref="B1477"/>
    <hyperlink r:id="rId637" ref="B1482"/>
    <hyperlink r:id="rId638" ref="B1484"/>
  </hyperlinks>
  <drawing r:id="rId639"/>
</worksheet>
</file>